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5.xml" ContentType="application/vnd.openxmlformats-officedocument.drawing+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drawings/drawing9.xml" ContentType="application/vnd.openxmlformats-officedocument.drawing+xml"/>
  <Override PartName="/xl/comments25.xml" ContentType="application/vnd.openxmlformats-officedocument.spreadsheetml.comments+xml"/>
  <Override PartName="/xl/drawings/drawing10.xml" ContentType="application/vnd.openxmlformats-officedocument.drawing+xml"/>
  <Override PartName="/xl/comments26.xml" ContentType="application/vnd.openxmlformats-officedocument.spreadsheetml.comments+xml"/>
  <Override PartName="/xl/drawings/drawing11.xml" ContentType="application/vnd.openxmlformats-officedocument.drawing+xml"/>
  <Override PartName="/xl/comments27.xml" ContentType="application/vnd.openxmlformats-officedocument.spreadsheetml.comments+xml"/>
  <Override PartName="/xl/drawings/drawing12.xml" ContentType="application/vnd.openxmlformats-officedocument.drawing+xml"/>
  <Override PartName="/xl/comments28.xml" ContentType="application/vnd.openxmlformats-officedocument.spreadsheetml.comments+xml"/>
  <Override PartName="/xl/drawings/drawing13.xml" ContentType="application/vnd.openxmlformats-officedocument.drawing+xml"/>
  <Override PartName="/xl/comments29.xml" ContentType="application/vnd.openxmlformats-officedocument.spreadsheetml.comments+xml"/>
  <Override PartName="/xl/drawings/drawing14.xml" ContentType="application/vnd.openxmlformats-officedocument.drawing+xml"/>
  <Override PartName="/xl/comments3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firstSheet="5" activeTab="21"/>
  </bookViews>
  <sheets>
    <sheet name="STATPARA" sheetId="19" state="veryHidden" r:id="rId1"/>
    <sheet name="Lead" sheetId="4" r:id="rId2"/>
    <sheet name="noteChecks" sheetId="50" r:id="rId3"/>
    <sheet name="Checks" sheetId="46" r:id="rId4"/>
    <sheet name="preBS" sheetId="7" r:id="rId5"/>
    <sheet name="preIS" sheetId="21" r:id="rId6"/>
    <sheet name="preCF" sheetId="8" r:id="rId7"/>
    <sheet name="preCE" sheetId="2" r:id="rId8"/>
    <sheet name="BS" sheetId="72" r:id="rId9"/>
    <sheet name="IS" sheetId="73" r:id="rId10"/>
    <sheet name="CF" sheetId="74" r:id="rId11"/>
    <sheet name="CE" sheetId="75" r:id="rId12"/>
    <sheet name="TB" sheetId="5" r:id="rId13"/>
    <sheet name="AJE" sheetId="6" r:id="rId14"/>
    <sheet name="CFJE" sheetId="13" r:id="rId15"/>
    <sheet name="UJE" sheetId="11" r:id="rId16"/>
    <sheet name="AJE1" sheetId="12" r:id="rId17"/>
    <sheet name="BalanceSheet" sheetId="68" state="veryHidden" r:id="rId18"/>
    <sheet name="IncomeStatement" sheetId="69" state="veryHidden" r:id="rId19"/>
    <sheet name="CashFlow" sheetId="70" state="veryHidden" r:id="rId20"/>
    <sheet name="OwnersEquity" sheetId="71" state="veryHidden" r:id="rId21"/>
    <sheet name="Notes" sheetId="18" r:id="rId22"/>
    <sheet name="CFWP1" sheetId="16" r:id="rId23"/>
    <sheet name="CFWP2" sheetId="17" r:id="rId24"/>
    <sheet name="STATDATA" sheetId="23" state="veryHidden" r:id="rId25"/>
    <sheet name="TBSPIVOT" sheetId="25" state="veryHidden" r:id="rId26"/>
    <sheet name="NOTEPIVO2" sheetId="45" state="veryHidden" r:id="rId27"/>
    <sheet name="NOTEPIVO" sheetId="24" state="veryHidden" r:id="rId28"/>
    <sheet name="未审报表分析" sheetId="51" r:id="rId29"/>
    <sheet name="未审财务指标分析" sheetId="52" r:id="rId30"/>
    <sheet name="已审报表分析" sheetId="47" r:id="rId31"/>
    <sheet name="已审财务指标分析" sheetId="48" r:id="rId32"/>
    <sheet name="非财务信息" sheetId="49" r:id="rId33"/>
    <sheet name="9000A错报程序表" sheetId="76" r:id="rId34"/>
    <sheet name="9002B未更正错报（不包括披露错报）汇总表" sheetId="77" r:id="rId35"/>
    <sheet name="9002C未更正披露错报汇总表" sheetId="78" r:id="rId36"/>
    <sheet name="9000B对错报性质的评价" sheetId="79" r:id="rId37"/>
    <sheet name="9000C错报评价" sheetId="80" r:id="rId38"/>
    <sheet name="9000D对错报的沟通" sheetId="81" r:id="rId39"/>
  </sheets>
  <definedNames>
    <definedName name="_xlnm._FilterDatabase" localSheetId="13" hidden="1">AJE!$A$8:$AE$38</definedName>
    <definedName name="_xlnm._FilterDatabase" localSheetId="16" hidden="1">'AJE1'!$A$8:$AE$38</definedName>
    <definedName name="_xlnm._FilterDatabase" localSheetId="14" hidden="1">CFJE!$B$8:$Q$41</definedName>
    <definedName name="_xlnm._FilterDatabase" localSheetId="2" hidden="1">noteChecks!$B$8:$Y$408</definedName>
    <definedName name="_xlnm._FilterDatabase" localSheetId="21" hidden="1">Notes!$Z$1:$AE$6252</definedName>
    <definedName name="_xlnm._FilterDatabase" localSheetId="0" hidden="1">STATPARA!$M$1:$X$468</definedName>
    <definedName name="_xlnm._FilterDatabase" localSheetId="15" hidden="1">UJE!$A$8:$AE$38</definedName>
    <definedName name="ACCT_AJE1" hidden="1">STATPARA!$M$1:$M$448</definedName>
    <definedName name="ACCT_AJE2" hidden="1">STATPARA!$P$1:$P$58</definedName>
    <definedName name="Area_RepDate" hidden="1">Lead!$F$5</definedName>
    <definedName name="Area_RepDate1" hidden="1">Lead!$F$6</definedName>
    <definedName name="Area_RepDuration" hidden="1">Lead!$F$7</definedName>
    <definedName name="Area_RepDuration1" hidden="1">Lead!$F$8</definedName>
    <definedName name="Area_TemplateInf" localSheetId="1" hidden="1">Lead!$N$4:$Q$16</definedName>
    <definedName name="Area_UnitId" hidden="1">Lead!$C$7</definedName>
    <definedName name="Area_UnitName2" hidden="1">Lead!$C$6</definedName>
    <definedName name="cellAbove" localSheetId="13">AJE!A1048576</definedName>
    <definedName name="cellAbove" localSheetId="16">'AJE1'!A1048576</definedName>
    <definedName name="cellAbove" localSheetId="14">CFJE!A1048576</definedName>
    <definedName name="cellAbove" localSheetId="15">UJE!A1048576</definedName>
    <definedName name="CheckA1015a" localSheetId="21" hidden="1">Notes!$K$20</definedName>
    <definedName name="CheckA1015b" localSheetId="21" hidden="1">Notes!$K$10</definedName>
    <definedName name="CheckA1015c" localSheetId="21" hidden="1">Notes!$K$59</definedName>
    <definedName name="CheckA1101a" localSheetId="21" hidden="1">Notes!$K$90</definedName>
    <definedName name="CheckA1102a" localSheetId="21" hidden="1">Notes!$K$71</definedName>
    <definedName name="CheckA1115a" localSheetId="21" hidden="1">Notes!$K$109</definedName>
    <definedName name="CheckA1121a" localSheetId="21" hidden="1">Notes!$K$130</definedName>
    <definedName name="CheckA1121b" localSheetId="21" hidden="1">Notes!$K$138</definedName>
    <definedName name="CheckA1121c" localSheetId="21" hidden="1">Notes!$K$160</definedName>
    <definedName name="CheckA1121d" localSheetId="21" hidden="1">Notes!$K$146</definedName>
    <definedName name="CheckA1121e" localSheetId="21" hidden="1">Notes!$K$120</definedName>
    <definedName name="CheckA1121f" localSheetId="21" hidden="1">Notes!$K$170</definedName>
    <definedName name="CheckA1121g" localSheetId="21" hidden="1">Notes!$K$192</definedName>
    <definedName name="CheckA1121h" localSheetId="21" hidden="1">Notes!$K$214</definedName>
    <definedName name="CheckA1121i" localSheetId="21" hidden="1">Notes!$K$251</definedName>
    <definedName name="CheckA1121j" localSheetId="21" hidden="1">Notes!$K$273</definedName>
    <definedName name="CheckA1121k" localSheetId="21" hidden="1">Notes!$K$286</definedName>
    <definedName name="CheckA1121l" localSheetId="21" hidden="1">Notes!$K$293</definedName>
    <definedName name="CheckA1121m" localSheetId="21" hidden="1">Notes!$K$306</definedName>
    <definedName name="CheckA1121n" localSheetId="21" hidden="1">Notes!$K$236</definedName>
    <definedName name="CheckA112202" localSheetId="21" hidden="1">Notes!$K$415</definedName>
    <definedName name="CheckA11222" localSheetId="21" hidden="1">Notes!$K$415</definedName>
    <definedName name="CheckA1122a" localSheetId="21" hidden="1">Notes!$K$485</definedName>
    <definedName name="CheckA1122b" localSheetId="21" hidden="1">Notes!$K$500</definedName>
    <definedName name="CheckA1122c" localSheetId="21" hidden="1">Notes!$K$668</definedName>
    <definedName name="CheckA1122d" localSheetId="21" hidden="1">Notes!$K$535</definedName>
    <definedName name="CheckA1122e" localSheetId="21" hidden="1">Notes!$K$559</definedName>
    <definedName name="CheckA1122f" localSheetId="21" hidden="1">Notes!$K$569</definedName>
    <definedName name="CheckA1122g" localSheetId="21" hidden="1">Notes!$K$515</definedName>
    <definedName name="CheckA1122h" localSheetId="21" hidden="1">Notes!$K$601</definedName>
    <definedName name="CheckA1122i" localSheetId="21" hidden="1">Notes!$K$618</definedName>
    <definedName name="CheckA1122j" localSheetId="21" hidden="1">Notes!$K$317</definedName>
    <definedName name="CheckA1122k" localSheetId="21" hidden="1">Notes!$K$629</definedName>
    <definedName name="CheckA1122l" localSheetId="21" hidden="1">Notes!$K$678</definedName>
    <definedName name="CheckA1122m" localSheetId="21" hidden="1">Notes!$K$648</definedName>
    <definedName name="CheckA1122n" localSheetId="21" hidden="1">Notes!$K$658</definedName>
    <definedName name="CheckA1122p" localSheetId="21" hidden="1">Notes!$K$334</definedName>
    <definedName name="CheckA1122q" localSheetId="21" hidden="1">Notes!$K$430</definedName>
    <definedName name="CheckA1122r" localSheetId="21" hidden="1">Notes!$K$356</definedName>
    <definedName name="CheckA1122s" localSheetId="21" hidden="1">Notes!$K$378</definedName>
    <definedName name="CheckA1122t" localSheetId="21" hidden="1">Notes!$K$400</definedName>
    <definedName name="CheckA1122u" localSheetId="21" hidden="1">Notes!$K$579</definedName>
    <definedName name="CheckA1122v" localSheetId="21" hidden="1">Notes!$K$611</definedName>
    <definedName name="CheckA1122x" localSheetId="21" hidden="1">Notes!$K$688</definedName>
    <definedName name="CheckA1122y" localSheetId="21" hidden="1">Notes!$K$448</definedName>
    <definedName name="CheckA1122z" localSheetId="21" hidden="1">Notes!$K$468</definedName>
    <definedName name="CheckA1124a" localSheetId="21" hidden="1">Notes!$K$698</definedName>
    <definedName name="CheckA1124b" localSheetId="21" hidden="1">Notes!$K$706</definedName>
    <definedName name="CheckA1124c" localSheetId="21" hidden="1">Notes!$K$721</definedName>
    <definedName name="CheckA1124d" localSheetId="21" hidden="1">Notes!$K$740</definedName>
    <definedName name="CheckA1124e" localSheetId="21" hidden="1">Notes!$K$762</definedName>
    <definedName name="CheckA1124f" localSheetId="21" hidden="1">Notes!$K$848</definedName>
    <definedName name="CheckA1124g" localSheetId="21" hidden="1">Notes!$K$777</definedName>
    <definedName name="CheckA1124h" localSheetId="21" hidden="1">Notes!$K$792</definedName>
    <definedName name="CheckA1124i" localSheetId="21" hidden="1">Notes!$K$811</definedName>
    <definedName name="CheckA1124j" localSheetId="21" hidden="1">Notes!$K$833</definedName>
    <definedName name="CheckA1125a" localSheetId="21" hidden="1">Notes!$K$859</definedName>
    <definedName name="CheckA1125c" localSheetId="21" hidden="1">Notes!$K$871</definedName>
    <definedName name="CheckA1125d" localSheetId="21" hidden="1">Notes!$K$890</definedName>
    <definedName name="CheckA1125e" localSheetId="21" hidden="1">Notes!$K$910</definedName>
    <definedName name="CheckA1125f" localSheetId="21" hidden="1">Notes!$K$900</definedName>
    <definedName name="CheckA1125x" localSheetId="21" hidden="1">Notes!$K$920</definedName>
    <definedName name="CheckA1131a" localSheetId="21" hidden="1">Notes!$K$967</definedName>
    <definedName name="CheckA1131b" localSheetId="21" hidden="1">Notes!$K$977</definedName>
    <definedName name="CheckA1132a" localSheetId="21" hidden="1">Notes!$K$944</definedName>
    <definedName name="CheckA1132b" localSheetId="21" hidden="1">Notes!$K$956</definedName>
    <definedName name="CheckA1220a" localSheetId="21" hidden="1">Notes!$K$934</definedName>
    <definedName name="CheckA122100" localSheetId="21" hidden="1">Notes!$K$1027</definedName>
    <definedName name="CheckA122101" localSheetId="21" hidden="1">Notes!$K$1043</definedName>
    <definedName name="CheckA122102" localSheetId="21" hidden="1">Notes!$K$1131</definedName>
    <definedName name="CheckA122103" localSheetId="21" hidden="1">Notes!$K$1219</definedName>
    <definedName name="CheckA122104" localSheetId="21" hidden="1">Notes!$K$1491</definedName>
    <definedName name="CheckA12211" localSheetId="21" hidden="1">Notes!$K$1057</definedName>
    <definedName name="CheckA122111" localSheetId="21" hidden="1">Notes!$K$1057</definedName>
    <definedName name="CheckA122112" localSheetId="21" hidden="1">Notes!$K$1079</definedName>
    <definedName name="CheckA122113" localSheetId="21" hidden="1">Notes!$K$1101</definedName>
    <definedName name="CheckA122114" localSheetId="21" hidden="1">Notes!$K$1116</definedName>
    <definedName name="CheckA12212" localSheetId="21" hidden="1">Notes!$K$1079</definedName>
    <definedName name="CheckA122121" localSheetId="21" hidden="1">Notes!$K$1145</definedName>
    <definedName name="CheckA122122" localSheetId="21" hidden="1">Notes!$K$1167</definedName>
    <definedName name="CheckA122123" localSheetId="21" hidden="1">Notes!$K$1189</definedName>
    <definedName name="CheckA122124" localSheetId="21" hidden="1">Notes!$K$1204</definedName>
    <definedName name="CheckA12213" localSheetId="21" hidden="1">Notes!$K$1101</definedName>
    <definedName name="CheckA122131" localSheetId="21" hidden="1">Notes!$K$1233</definedName>
    <definedName name="CheckA122132" localSheetId="21" hidden="1">Notes!$K$1255</definedName>
    <definedName name="CheckA122133" localSheetId="21" hidden="1">Notes!$K$1277</definedName>
    <definedName name="CheckA122134" localSheetId="21" hidden="1">Notes!$K$1292</definedName>
    <definedName name="CheckA12214" localSheetId="21" hidden="1">Notes!$K$1491</definedName>
    <definedName name="CheckA1221a" localSheetId="21" hidden="1">Notes!$K$1365</definedName>
    <definedName name="CheckA1221b" localSheetId="21" hidden="1">Notes!$K$1387</definedName>
    <definedName name="CheckA1221c" localSheetId="21" hidden="1">Notes!$K$1587</definedName>
    <definedName name="CheckA1221d" localSheetId="21" hidden="1">Notes!$K$1428</definedName>
    <definedName name="CheckA1221e" localSheetId="21" hidden="1">Notes!$K$1449</definedName>
    <definedName name="CheckA1221f" localSheetId="21" hidden="1">Notes!$K$1459</definedName>
    <definedName name="CheckA1221g" localSheetId="21" hidden="1">Notes!$K$1409</definedName>
    <definedName name="CheckA1221h" localSheetId="21" hidden="1">Notes!$K$1510</definedName>
    <definedName name="CheckA1221i" localSheetId="21" hidden="1">Notes!$K$1527</definedName>
    <definedName name="CheckA1221j" localSheetId="21" hidden="1">Notes!$K$988</definedName>
    <definedName name="CheckA1221k" localSheetId="21" hidden="1">Notes!$K$1538</definedName>
    <definedName name="CheckA1221l" localSheetId="21" hidden="1">Notes!$K$1013</definedName>
    <definedName name="CheckA1221m" localSheetId="21" hidden="1">Notes!$K$1597</definedName>
    <definedName name="CheckA1221n" localSheetId="21" hidden="1">Notes!$K$1567</definedName>
    <definedName name="CheckA1221o" localSheetId="21" hidden="1">Notes!$K$1577</definedName>
    <definedName name="CheckA1221q" localSheetId="21" hidden="1">Notes!$K$1043</definedName>
    <definedName name="CheckA1221r" localSheetId="21" hidden="1">Notes!$K$1557</definedName>
    <definedName name="CheckA1221s" localSheetId="21" hidden="1">Notes!$K$1219</definedName>
    <definedName name="CheckA1221t" localSheetId="21" hidden="1">Notes!$K$1307</definedName>
    <definedName name="CheckA1221u" localSheetId="21" hidden="1">Notes!$K$1116</definedName>
    <definedName name="CheckA1221v" localSheetId="21" hidden="1">Notes!$K$1326</definedName>
    <definedName name="CheckA1221w" localSheetId="21" hidden="1">Notes!$K$1348</definedName>
    <definedName name="CheckA1221x" localSheetId="21" hidden="1">Notes!$K$1607</definedName>
    <definedName name="CheckA1221y" localSheetId="21" hidden="1">Notes!$K$1469</definedName>
    <definedName name="CheckA1221z" localSheetId="21" hidden="1">Notes!$K$1520</definedName>
    <definedName name="CheckA1315b" localSheetId="21" hidden="1">Notes!$K$1764</definedName>
    <definedName name="CheckA1315f" localSheetId="21" hidden="1">Notes!$K$1774</definedName>
    <definedName name="CheckA1400a" localSheetId="21" hidden="1">Notes!$K$1617</definedName>
    <definedName name="CheckA1400b" localSheetId="21" hidden="1">Notes!$K$1636</definedName>
    <definedName name="CheckA1400c" localSheetId="21" hidden="1">Notes!$K$1736</definedName>
    <definedName name="CheckA1400d" localSheetId="21" hidden="1">Notes!$K$1682</definedName>
    <definedName name="CheckA1400e" localSheetId="21" hidden="1">Notes!$K$1699</definedName>
    <definedName name="CheckA1400g" localSheetId="21" hidden="1">Notes!$K$1716</definedName>
    <definedName name="CheckA1400h" localSheetId="21" hidden="1">Notes!$K$1665</definedName>
    <definedName name="CheckA1400s" localSheetId="21" hidden="1">Notes!$K$1726</definedName>
    <definedName name="CheckA1400t" localSheetId="21" hidden="1">Notes!$K$1655</definedName>
    <definedName name="CheckA1400x" localSheetId="21" hidden="1">Notes!$K$1753</definedName>
    <definedName name="CheckA1495a" localSheetId="21" hidden="1">Notes!$K$1790</definedName>
    <definedName name="CheckA1495b" localSheetId="21" hidden="1">Notes!$K$1799</definedName>
    <definedName name="CheckA1496a" localSheetId="21" hidden="1">Notes!$K$1812</definedName>
    <definedName name="CheckA1501a" localSheetId="21" hidden="1">Notes!$K$2157</definedName>
    <definedName name="CheckA1501d" localSheetId="21" hidden="1">Notes!$K$2171</definedName>
    <definedName name="CheckA1501e" localSheetId="21" hidden="1">Notes!$K$2181</definedName>
    <definedName name="CheckA1501f" localSheetId="21" hidden="1">Notes!$K$2191</definedName>
    <definedName name="CheckA1503a" localSheetId="21" hidden="1">Notes!$K$1947</definedName>
    <definedName name="CheckA1503d" localSheetId="21" hidden="1">Notes!$K$2013</definedName>
    <definedName name="CheckA1503e" localSheetId="21" hidden="1">Notes!$K$1961</definedName>
    <definedName name="CheckA1503g" localSheetId="21" hidden="1">Notes!$K$2021</definedName>
    <definedName name="CheckA1503i" localSheetId="21" hidden="1">Notes!$K$1971</definedName>
    <definedName name="CheckA1503j" localSheetId="21" hidden="1">Notes!$K$1986</definedName>
    <definedName name="CheckA1503k" localSheetId="21" hidden="1">Notes!$K$2001</definedName>
    <definedName name="CheckA1505a" localSheetId="21" hidden="1">Notes!$K$1823</definedName>
    <definedName name="CheckA1505b" localSheetId="21" hidden="1">Notes!$K$1838</definedName>
    <definedName name="CheckA1505c" localSheetId="21" hidden="1">Notes!$K$1869</definedName>
    <definedName name="CheckA1505d" localSheetId="21" hidden="1">Notes!$K$1882</definedName>
    <definedName name="CheckA1505e" localSheetId="21" hidden="1">Notes!$K$1895</definedName>
    <definedName name="CheckA1505f" localSheetId="21" hidden="1">Notes!$K$1927</definedName>
    <definedName name="CheckA1505g" localSheetId="21" hidden="1">Notes!$K$1853</definedName>
    <definedName name="CheckA1505k" localSheetId="21" hidden="1">Notes!$K$1908</definedName>
    <definedName name="CheckA1508a" localSheetId="21" hidden="1">Notes!$K$2032</definedName>
    <definedName name="CheckA1508b" localSheetId="21" hidden="1">Notes!$K$2048</definedName>
    <definedName name="CheckA1508c" localSheetId="21" hidden="1">Notes!$K$2063</definedName>
    <definedName name="CheckA1508d" localSheetId="21" hidden="1">Notes!$K$2079</definedName>
    <definedName name="CheckA1508e" localSheetId="21" hidden="1">Notes!$K$2092</definedName>
    <definedName name="CheckA1508f" localSheetId="21" hidden="1">Notes!$K$2105</definedName>
    <definedName name="CheckA1508g" localSheetId="21" hidden="1">Notes!$K$2137</definedName>
    <definedName name="CheckA1508k" localSheetId="21" hidden="1">Notes!$K$2118</definedName>
    <definedName name="CheckA1511b" localSheetId="21" hidden="1">Notes!$K$2463</definedName>
    <definedName name="CheckA1511c" localSheetId="21" hidden="1">Notes!$K$2412</definedName>
    <definedName name="CheckA1511d" localSheetId="21" hidden="1">Notes!$K$2431</definedName>
    <definedName name="CheckA1521b" localSheetId="21" hidden="1">Notes!$K$2599</definedName>
    <definedName name="CheckA1521c" localSheetId="21" hidden="1">Notes!$K$2618</definedName>
    <definedName name="CheckA1521h" localSheetId="21" hidden="1">Notes!$K$2557</definedName>
    <definedName name="CheckA1521s" localSheetId="21" hidden="1">Notes!$K$2628</definedName>
    <definedName name="CheckA1531a" localSheetId="21" hidden="1">Notes!$K$2202</definedName>
    <definedName name="CheckA1531b" localSheetId="21" hidden="1">Notes!$K$2391</definedName>
    <definedName name="CheckA1531c" localSheetId="21" hidden="1">Notes!$K$2368</definedName>
    <definedName name="CheckA1531f" localSheetId="21" hidden="1">Notes!$K$2401</definedName>
    <definedName name="CheckA1531g" localSheetId="21" hidden="1">Notes!$K$2330</definedName>
    <definedName name="CheckA1531h" localSheetId="21" hidden="1">Notes!$K$2293</definedName>
    <definedName name="CheckA1531i" localSheetId="21" hidden="1">Notes!$K$2234</definedName>
    <definedName name="CheckA1531j" localSheetId="21" hidden="1">Notes!$K$2247</definedName>
    <definedName name="CheckA1531k" localSheetId="21" hidden="1">Notes!$K$2260</definedName>
    <definedName name="CheckA1531m" localSheetId="21" hidden="1">Notes!$K$2315</definedName>
    <definedName name="CheckA1531p" localSheetId="21" hidden="1">Notes!$K$2273</definedName>
    <definedName name="CheckA1531q" localSheetId="21" hidden="1">Notes!$K$2349</definedName>
    <definedName name="CheckA1531s" localSheetId="21" hidden="1">Notes!$K$2378</definedName>
    <definedName name="CheckA1531t" localSheetId="21" hidden="1">Notes!$K$2218</definedName>
    <definedName name="CheckA1538a" localSheetId="21" hidden="1">Notes!$K$2497</definedName>
    <definedName name="CheckA1538b" localSheetId="21" hidden="1">Notes!$K$2506</definedName>
    <definedName name="CheckA1539a" localSheetId="21" hidden="1">Notes!$K$2520</definedName>
    <definedName name="CheckA1539b" localSheetId="21" hidden="1">Notes!$K$2530</definedName>
    <definedName name="CheckA1539c" localSheetId="21" hidden="1">Notes!$K$2543</definedName>
    <definedName name="CheckA1601b" localSheetId="21" hidden="1">Notes!$K$2705</definedName>
    <definedName name="CheckA1601c" localSheetId="21" hidden="1">Notes!$K$2719</definedName>
    <definedName name="CheckA1601d" localSheetId="21" hidden="1">Notes!$K$2733</definedName>
    <definedName name="CheckA1601f" localSheetId="21" hidden="1">Notes!$K$2761</definedName>
    <definedName name="CheckA1601k" localSheetId="21" hidden="1">Notes!$K$2648</definedName>
    <definedName name="CheckA1601l" localSheetId="21" hidden="1">Notes!$K$2748</definedName>
    <definedName name="CheckA1601s" localSheetId="21" hidden="1">Notes!$K$2771</definedName>
    <definedName name="CheckA1601x" localSheetId="21" hidden="1">Notes!$K$2781</definedName>
    <definedName name="CheckA1604a" localSheetId="21" hidden="1">Notes!$K$2830</definedName>
    <definedName name="CheckA1604b" localSheetId="21" hidden="1">Notes!$K$2847</definedName>
    <definedName name="CheckA1604c" localSheetId="21" hidden="1">Notes!$K$2862</definedName>
    <definedName name="CheckA1604d" localSheetId="21" hidden="1">Notes!$K$2897</definedName>
    <definedName name="CheckA1604g" localSheetId="21" hidden="1">Notes!$K$2877</definedName>
    <definedName name="CheckA1605a" localSheetId="21" hidden="1">Notes!$K$2908</definedName>
    <definedName name="CheckA1606a" localSheetId="21" hidden="1">Notes!$K$2810</definedName>
    <definedName name="CheckA1606b" localSheetId="21" hidden="1">Notes!$K$2797</definedName>
    <definedName name="CheckA1611a" localSheetId="21" hidden="1">Notes!$K$2639</definedName>
    <definedName name="CheckA1616a" localSheetId="21" hidden="1">Notes!$K$2821</definedName>
    <definedName name="CheckA1621b" localSheetId="21" hidden="1">Notes!$K$2982</definedName>
    <definedName name="CheckA1621c" localSheetId="21" hidden="1">Notes!$K$2920</definedName>
    <definedName name="CheckA1631b" localSheetId="21" hidden="1">Notes!$K$3006</definedName>
    <definedName name="CheckA1700b" localSheetId="21" hidden="1">Notes!$K$3175</definedName>
    <definedName name="CheckA1701a" localSheetId="21" hidden="1">Notes!$K$3043</definedName>
    <definedName name="CheckA1701e" localSheetId="21" hidden="1">Notes!$K$3126</definedName>
    <definedName name="CheckA1701f" localSheetId="21" hidden="1">Notes!$K$3113</definedName>
    <definedName name="CheckA1701g" localSheetId="21" hidden="1">Notes!$K$3136</definedName>
    <definedName name="CheckA1701h" localSheetId="21" hidden="1">Notes!$K$3149</definedName>
    <definedName name="CheckA1701x" localSheetId="21" hidden="1">Notes!$K$3162</definedName>
    <definedName name="CheckA1704a" localSheetId="21" hidden="1">Notes!$K$5208</definedName>
    <definedName name="CheckA1711a" localSheetId="21" hidden="1">Notes!$K$3188</definedName>
    <definedName name="CheckA1711b" localSheetId="21" hidden="1">Notes!$K$3200</definedName>
    <definedName name="CheckA1801a" localSheetId="21" hidden="1">Notes!$K$3213</definedName>
    <definedName name="CheckA1801x" localSheetId="21" hidden="1">Notes!$K$3225</definedName>
    <definedName name="CheckA1829a" localSheetId="21" hidden="1">Notes!$K$3240</definedName>
    <definedName name="CheckA1829b" localSheetId="21" hidden="1">Notes!$K$3256</definedName>
    <definedName name="CheckA1829c" localSheetId="21" hidden="1">Notes!$K$3269</definedName>
    <definedName name="CheckA1829e" localSheetId="21" hidden="1">Notes!$K$3276</definedName>
    <definedName name="CheckA1829f" localSheetId="21" hidden="1">Notes!$K$3286</definedName>
    <definedName name="CheckA1996a" localSheetId="21" hidden="1">Notes!$K$3306</definedName>
    <definedName name="CheckA1997a" localSheetId="21" hidden="1">Notes!$K$5194</definedName>
    <definedName name="CheckA1999" localSheetId="17" hidden="1">BalanceSheet!$G$59</definedName>
    <definedName name="CheckA1999" localSheetId="8" hidden="1">BS!$G$50</definedName>
    <definedName name="CheckA1999" localSheetId="4" hidden="1">preBS!$F$68</definedName>
    <definedName name="CheckA2001a" localSheetId="21" hidden="1">Notes!$K$3319</definedName>
    <definedName name="CheckA2001b" localSheetId="21" hidden="1">Notes!$K$3359</definedName>
    <definedName name="CheckA2001c" localSheetId="21" hidden="1">Notes!$K$3370</definedName>
    <definedName name="CheckA2001d" localSheetId="21" hidden="1">Notes!$K$3329</definedName>
    <definedName name="CheckA2001e" localSheetId="21" hidden="1">Notes!$K$3339</definedName>
    <definedName name="CheckA2001f" localSheetId="21" hidden="1">Notes!$K$3349</definedName>
    <definedName name="CheckA2101a" localSheetId="21" hidden="1">Notes!$K$3409</definedName>
    <definedName name="CheckA2102a" localSheetId="21" hidden="1">Notes!$K$3381</definedName>
    <definedName name="CheckA2102b" localSheetId="21" hidden="1">Notes!$K$3394</definedName>
    <definedName name="CheckA2115a" localSheetId="21" hidden="1">Notes!$K$3421</definedName>
    <definedName name="CheckA2201a" localSheetId="21" hidden="1">Notes!$K$3432</definedName>
    <definedName name="CheckA2202a" localSheetId="21" hidden="1">Notes!$K$3471</definedName>
    <definedName name="CheckA2202c" localSheetId="21" hidden="1">Notes!$K$3491</definedName>
    <definedName name="CheckA2202d" localSheetId="21" hidden="1">Notes!$K$3481</definedName>
    <definedName name="CheckA2202e" localSheetId="21" hidden="1">Notes!$K$3443</definedName>
    <definedName name="CheckA2202f" localSheetId="21" hidden="1">Notes!$K$3454</definedName>
    <definedName name="CheckA2202g" localSheetId="21" hidden="1">Notes!$K$3501</definedName>
    <definedName name="CheckA2202x" localSheetId="21" hidden="1">Notes!$K$3511</definedName>
    <definedName name="CheckA2205a" localSheetId="21" hidden="1">Notes!$K$3558</definedName>
    <definedName name="CheckA2205c" localSheetId="21" hidden="1">Notes!$K$3588</definedName>
    <definedName name="CheckA2205e" localSheetId="21" hidden="1">Notes!$K$3578</definedName>
    <definedName name="CheckA2205f" localSheetId="21" hidden="1">Notes!$K$3531</definedName>
    <definedName name="CheckA2205g" localSheetId="21" hidden="1">Notes!$K$3541</definedName>
    <definedName name="CheckA2205h" localSheetId="21" hidden="1">Notes!$K$3568</definedName>
    <definedName name="CheckA2205x" localSheetId="21" hidden="1">Notes!$K$3598</definedName>
    <definedName name="CheckA2211a" localSheetId="21" hidden="1">Notes!$K$3618</definedName>
    <definedName name="CheckA2211b" localSheetId="21" hidden="1">Notes!$K$3628</definedName>
    <definedName name="CheckA2211c" localSheetId="21" hidden="1">Notes!$K$3657</definedName>
    <definedName name="CheckA2211d" localSheetId="21" hidden="1">Notes!$K$3681</definedName>
    <definedName name="CheckA2211x" localSheetId="21" hidden="1">Notes!$K$3713</definedName>
    <definedName name="CheckA2221a" localSheetId="21" hidden="1">Notes!$K$3727</definedName>
    <definedName name="CheckA2221x" localSheetId="21" hidden="1">Notes!$K$3746</definedName>
    <definedName name="CheckA2231a" localSheetId="21" hidden="1">Notes!$K$3770</definedName>
    <definedName name="CheckA2231b" localSheetId="21" hidden="1">Notes!$K$3790</definedName>
    <definedName name="CheckA2232a" localSheetId="21" hidden="1">Notes!$K$3801</definedName>
    <definedName name="CheckA2232b" localSheetId="21" hidden="1">Notes!$K$3818</definedName>
    <definedName name="CheckA2241a" localSheetId="21" hidden="1">Notes!$K$3886</definedName>
    <definedName name="CheckA2241b" localSheetId="21" hidden="1">Notes!$K$3866</definedName>
    <definedName name="CheckA2241c" localSheetId="21" hidden="1">Notes!$K$3856</definedName>
    <definedName name="CheckA2241e" localSheetId="21" hidden="1">Notes!$K$3829</definedName>
    <definedName name="CheckA2241f" localSheetId="21" hidden="1">Notes!$K$3839</definedName>
    <definedName name="CheckA2241g" localSheetId="21" hidden="1">Notes!$K$3876</definedName>
    <definedName name="CheckA2241x" localSheetId="21" hidden="1">Notes!$K$3896</definedName>
    <definedName name="CheckA2246a" localSheetId="21" hidden="1">Notes!$K$3760</definedName>
    <definedName name="CheckA2315a" localSheetId="21" hidden="1">Notes!$K$3916</definedName>
    <definedName name="CheckA2395a" localSheetId="21" hidden="1">Notes!$K$3927</definedName>
    <definedName name="CheckA2395b" localSheetId="21" hidden="1">Notes!$K$3937</definedName>
    <definedName name="CheckA2395e" localSheetId="21" hidden="1">Notes!$K$3947</definedName>
    <definedName name="CheckA2395f" localSheetId="21" hidden="1">Notes!$K$3957</definedName>
    <definedName name="CheckA2396a" localSheetId="21" hidden="1">Notes!$K$3968</definedName>
    <definedName name="CheckA2396c" localSheetId="21" hidden="1">Notes!$K$3979</definedName>
    <definedName name="CheckA2401a" localSheetId="21" hidden="1">Notes!$K$4261</definedName>
    <definedName name="CheckA2401b" localSheetId="21" hidden="1">Notes!$K$4269</definedName>
    <definedName name="CheckA2501a" localSheetId="21" hidden="1">Notes!$K$3997</definedName>
    <definedName name="CheckA2501c" localSheetId="21" hidden="1">Notes!$K$4040</definedName>
    <definedName name="CheckA2501d" localSheetId="21" hidden="1">Notes!$K$4010</definedName>
    <definedName name="CheckA2501e" localSheetId="21" hidden="1">Notes!$K$4020</definedName>
    <definedName name="CheckA2501f" localSheetId="21" hidden="1">Notes!$K$4030</definedName>
    <definedName name="CheckA2502a" localSheetId="21" hidden="1">Notes!$K$4061</definedName>
    <definedName name="CheckA2502b" localSheetId="21" hidden="1">Notes!$K$4051</definedName>
    <definedName name="CheckA2502c" localSheetId="21" hidden="1">Notes!$K$4084</definedName>
    <definedName name="CheckA2502d" localSheetId="21" hidden="1">Notes!$K$4074</definedName>
    <definedName name="CheckA2502e" localSheetId="21" hidden="1">Notes!$K$4096</definedName>
    <definedName name="CheckA2701c" localSheetId="21" hidden="1">Notes!$K$4118</definedName>
    <definedName name="CheckA2701d" localSheetId="21" hidden="1">Notes!$K$4136</definedName>
    <definedName name="CheckA2706a" localSheetId="21" hidden="1">Notes!$K$4107</definedName>
    <definedName name="CheckA2711a" localSheetId="21" hidden="1">Notes!$K$4147</definedName>
    <definedName name="CheckA2711b" localSheetId="21" hidden="1">Notes!$K$4157</definedName>
    <definedName name="CheckA2715a" localSheetId="21" hidden="1">Notes!$K$4168</definedName>
    <definedName name="CheckA2715b" localSheetId="21" hidden="1">Notes!$K$4178</definedName>
    <definedName name="CheckA2715c" localSheetId="21" hidden="1">Notes!$K$4198</definedName>
    <definedName name="CheckA2715d" localSheetId="21" hidden="1">Notes!$K$4213</definedName>
    <definedName name="CheckA2715g" localSheetId="21" hidden="1">Notes!$K$4222</definedName>
    <definedName name="CheckA2715h" localSheetId="21" hidden="1">Notes!$K$4233</definedName>
    <definedName name="CheckA2801a" localSheetId="21" hidden="1">Notes!$K$4247</definedName>
    <definedName name="CheckA2996a" localSheetId="21" hidden="1">Notes!$K$4287</definedName>
    <definedName name="CheckA2996x" localSheetId="21" hidden="1">Notes!$K$4297</definedName>
    <definedName name="CheckA4001" localSheetId="17" hidden="1">BalanceSheet!$K$47</definedName>
    <definedName name="CheckA4001" localSheetId="8" hidden="1">BS!$K$38</definedName>
    <definedName name="CheckA4001" localSheetId="4" hidden="1">preBS!$K$54</definedName>
    <definedName name="CheckA4001a" localSheetId="21" hidden="1">Notes!$K$4308</definedName>
    <definedName name="CheckA4001b" localSheetId="21" hidden="1">Notes!$K$4317</definedName>
    <definedName name="CheckA4002" localSheetId="17" hidden="1">BalanceSheet!$K$51</definedName>
    <definedName name="CheckA4002" localSheetId="8" hidden="1">BS!$K$42</definedName>
    <definedName name="CheckA4002" localSheetId="4" hidden="1">preBS!$K$58</definedName>
    <definedName name="CheckA4002a" localSheetId="21" hidden="1">Notes!$K$4351</definedName>
    <definedName name="CheckA4015" localSheetId="17" hidden="1">BalanceSheet!$K$48</definedName>
    <definedName name="CheckA4015" localSheetId="8" hidden="1">BS!$K$39</definedName>
    <definedName name="CheckA4015" localSheetId="4" hidden="1">preBS!$K$55</definedName>
    <definedName name="CheckA4015a" localSheetId="21" hidden="1">Notes!$K$4340</definedName>
    <definedName name="CheckA4015b" localSheetId="21" hidden="1">Notes!$K$4330</definedName>
    <definedName name="CheckA4101" localSheetId="17" hidden="1">BalanceSheet!$K$55</definedName>
    <definedName name="CheckA4101" localSheetId="8" hidden="1">BS!$K$46</definedName>
    <definedName name="CheckA4101" localSheetId="4" hidden="1">preBS!$K$62</definedName>
    <definedName name="CheckA4101a" localSheetId="21" hidden="1">Notes!$K$4437</definedName>
    <definedName name="CheckA4101b" localSheetId="21" hidden="1">Notes!$K$4424</definedName>
    <definedName name="CheckA4102" localSheetId="17" hidden="1">BalanceSheet!$K$56</definedName>
    <definedName name="CheckA4102" localSheetId="8" hidden="1">BS!$K$47</definedName>
    <definedName name="CheckA4102" localSheetId="4" hidden="1">preBS!$K$63</definedName>
    <definedName name="CheckA4102a" localSheetId="21" hidden="1">Notes!$K$4449</definedName>
    <definedName name="CheckA4200" localSheetId="17" hidden="1">BalanceSheet!$K$57</definedName>
    <definedName name="CheckA4200" localSheetId="8" hidden="1">BS!$K$48</definedName>
    <definedName name="CheckA4200" localSheetId="4" hidden="1">preBS!$K$64</definedName>
    <definedName name="CheckA4200a" localSheetId="21" hidden="1">Notes!$K$4457</definedName>
    <definedName name="CheckA4200b" localSheetId="21" hidden="1">Notes!$K$4474</definedName>
    <definedName name="CheckA4201" localSheetId="17" hidden="1">BalanceSheet!$K$52</definedName>
    <definedName name="CheckA4201" localSheetId="8" hidden="1">BS!$K$43</definedName>
    <definedName name="CheckA4201" localSheetId="4" hidden="1">preBS!$K$59</definedName>
    <definedName name="CheckA4201a" localSheetId="21" hidden="1">Notes!$K$4360</definedName>
    <definedName name="CheckA4215" localSheetId="17" hidden="1">BalanceSheet!$K$53</definedName>
    <definedName name="CheckA4215" localSheetId="8" hidden="1">BS!$K$44</definedName>
    <definedName name="CheckA4215" localSheetId="4" hidden="1">preBS!$K$60</definedName>
    <definedName name="CheckA4215a" localSheetId="21" hidden="1">Notes!$K$4392</definedName>
    <definedName name="CheckA4215b" localSheetId="21" hidden="1">Notes!$K$4367</definedName>
    <definedName name="CheckA4298" localSheetId="4" hidden="1">preBS!$K$65</definedName>
    <definedName name="CheckA4301" localSheetId="17" hidden="1">BalanceSheet!$K$54</definedName>
    <definedName name="CheckA4301" localSheetId="8" hidden="1">BS!$K$45</definedName>
    <definedName name="CheckA4301" localSheetId="4" hidden="1">preBS!$K$61</definedName>
    <definedName name="CheckA4301a" localSheetId="21" hidden="1">Notes!$K$4413</definedName>
    <definedName name="CheckA4398" localSheetId="4" hidden="1">preBS!$K$66</definedName>
    <definedName name="CheckA4999" localSheetId="17" hidden="1">BalanceSheet!$K$58</definedName>
    <definedName name="CheckA4999" localSheetId="8" hidden="1">BS!$K$49</definedName>
    <definedName name="CheckA4999" localSheetId="4" hidden="1">preBS!$K$67</definedName>
    <definedName name="CheckA5000" localSheetId="17" hidden="1">BalanceSheet!$K$59</definedName>
    <definedName name="CheckA5000" localSheetId="8" hidden="1">BS!$K$50</definedName>
    <definedName name="CheckA5000" localSheetId="4" hidden="1">preBS!$K$68</definedName>
    <definedName name="CheckA6001x" localSheetId="21" hidden="1">Notes!$K$4612</definedName>
    <definedName name="CheckA6064a" localSheetId="21" hidden="1">Notes!$K$4498</definedName>
    <definedName name="CheckA6064b" localSheetId="21" hidden="1">Notes!$K$4507</definedName>
    <definedName name="CheckA6064c" localSheetId="21" hidden="1">Notes!$K$4516</definedName>
    <definedName name="CheckA6064d" localSheetId="21" hidden="1">Notes!$K$4540</definedName>
    <definedName name="CheckA6064e" localSheetId="21" hidden="1">Notes!$K$4563</definedName>
    <definedName name="CheckA6064f" localSheetId="21" hidden="1">Notes!$K$4582</definedName>
    <definedName name="CheckA6064g" localSheetId="21" hidden="1">Notes!$K$4597</definedName>
    <definedName name="CheckA6064h" localSheetId="21" hidden="1">Notes!$K$4488</definedName>
    <definedName name="CheckA6101a" localSheetId="21" hidden="1">Notes!$K$4848</definedName>
    <definedName name="CheckA6101b" localSheetId="21" hidden="1">Notes!$K$4835</definedName>
    <definedName name="CheckA6102a" localSheetId="21" hidden="1">Notes!$K$4821</definedName>
    <definedName name="CheckA6111a" localSheetId="21" hidden="1">Notes!$K$4799</definedName>
    <definedName name="CheckA6171a" localSheetId="21" hidden="1">Notes!$K$4898</definedName>
    <definedName name="CheckA6181a" localSheetId="21" hidden="1">Notes!$K$4776</definedName>
    <definedName name="CheckA6401x" localSheetId="21" hidden="1">Notes!$K$4622</definedName>
    <definedName name="CheckA6600a" localSheetId="21" hidden="1">Notes!$K$4633</definedName>
    <definedName name="CheckA6600x" localSheetId="21" hidden="1">Notes!$K$4652</definedName>
    <definedName name="CheckA6601a" localSheetId="21" hidden="1">Notes!$K$4663</definedName>
    <definedName name="CheckA6601x" localSheetId="21" hidden="1">Notes!$K$4683</definedName>
    <definedName name="CheckA6602a" localSheetId="21" hidden="1">Notes!$K$4694</definedName>
    <definedName name="CheckA6602x" localSheetId="21" hidden="1">Notes!$K$4714</definedName>
    <definedName name="CheckA6603a" localSheetId="21" hidden="1">Notes!$K$4750</definedName>
    <definedName name="CheckA6603x" localSheetId="21" hidden="1">Notes!$K$4765</definedName>
    <definedName name="CheckA6606a" localSheetId="21" hidden="1">Notes!$K$4725</definedName>
    <definedName name="CheckA6606x" localSheetId="21" hidden="1">Notes!$K$4736</definedName>
    <definedName name="CheckA6671a" localSheetId="21" hidden="1">Notes!$K$4876</definedName>
    <definedName name="CheckA6672a" localSheetId="21" hidden="1">Notes!$K$4862</definedName>
    <definedName name="CheckA6710a" localSheetId="21" hidden="1">Notes!$K$4913</definedName>
    <definedName name="CheckA6710b" localSheetId="21" hidden="1">Notes!$K$4926</definedName>
    <definedName name="CheckA6711a" localSheetId="21" hidden="1">Notes!$K$4944</definedName>
    <definedName name="CheckA6791a" localSheetId="21" hidden="1">Notes!$K$4957</definedName>
    <definedName name="CheckA6791b" localSheetId="21" hidden="1">Notes!$K$4965</definedName>
    <definedName name="CheckA6799" localSheetId="18" hidden="1">IncomeStatement!$E$43</definedName>
    <definedName name="CheckA6799" localSheetId="9" hidden="1">IS!$E$30</definedName>
    <definedName name="CheckA6799" localSheetId="5" hidden="1">preIS!$E$45</definedName>
    <definedName name="CheckA6811" localSheetId="5" hidden="1">preIS!$E$50</definedName>
    <definedName name="CheckA6812" localSheetId="5" hidden="1">preIS!$E$51</definedName>
    <definedName name="CheckA6829" localSheetId="18" hidden="1">IncomeStatement!$E$46</definedName>
    <definedName name="CheckA6829" localSheetId="9" hidden="1">IS!$E$33</definedName>
    <definedName name="CheckA6829" localSheetId="5" hidden="1">preIS!$E$52</definedName>
    <definedName name="CheckA6839" localSheetId="18" hidden="1">IncomeStatement!$E$65</definedName>
    <definedName name="CheckA6839" localSheetId="9" hidden="1">IS!$E$52</definedName>
    <definedName name="CheckA6839" localSheetId="5" hidden="1">preIS!$E$74</definedName>
    <definedName name="CheckA6841" localSheetId="5" hidden="1">preIS!$E$75</definedName>
    <definedName name="CheckA6842" localSheetId="5" hidden="1">preIS!$E$76</definedName>
    <definedName name="CheckA7001x" localSheetId="21" hidden="1">Notes!$K$5868</definedName>
    <definedName name="CheckA7046a" localSheetId="21" hidden="1">Notes!$K$5020</definedName>
    <definedName name="CheckA7046x" localSheetId="21" hidden="1">Notes!$K$5879</definedName>
    <definedName name="CheckA7051x" localSheetId="21" hidden="1">Notes!$K$5890</definedName>
    <definedName name="CheckA7061x" localSheetId="21" hidden="1">Notes!$K$5901</definedName>
    <definedName name="CheckA7071x" localSheetId="21" hidden="1">Notes!$K$5912</definedName>
    <definedName name="CheckA7096a" localSheetId="21" hidden="1">Notes!$K$5036</definedName>
    <definedName name="CheckA7096x" localSheetId="21" hidden="1">Notes!$K$5923</definedName>
    <definedName name="CheckA7099" localSheetId="19" hidden="1">CashFlow!$E$33</definedName>
    <definedName name="CheckA7099" localSheetId="10" hidden="1">CF!$E$17</definedName>
    <definedName name="CheckA7099" localSheetId="6" hidden="1">preCF!$E$35</definedName>
    <definedName name="CheckA7101x" localSheetId="21" hidden="1">Notes!$K$5934</definedName>
    <definedName name="CheckA7105x" localSheetId="21" hidden="1">Notes!$K$5945</definedName>
    <definedName name="CheckA7111x" localSheetId="21" hidden="1">Notes!$K$5956</definedName>
    <definedName name="CheckA7146a" localSheetId="21" hidden="1">Notes!$K$5052</definedName>
    <definedName name="CheckA7151x" localSheetId="21" hidden="1">Notes!$K$5975</definedName>
    <definedName name="CheckA7161x" localSheetId="21" hidden="1">Notes!$K$5996</definedName>
    <definedName name="CheckA7196a" localSheetId="21" hidden="1">Notes!$K$5063</definedName>
    <definedName name="CheckA7211x" localSheetId="21" hidden="1">Notes!$K$6007</definedName>
    <definedName name="CheckA7246a" localSheetId="21" hidden="1">Notes!$K$5074</definedName>
    <definedName name="CheckA7251x" localSheetId="21" hidden="1">Notes!$K$6019</definedName>
    <definedName name="CheckA7261x" localSheetId="21" hidden="1">Notes!$K$6031</definedName>
    <definedName name="CheckA7296a" localSheetId="21" hidden="1">Notes!$K$5085</definedName>
    <definedName name="CheckA7348" localSheetId="19" hidden="1">CashFlow!$E$59</definedName>
    <definedName name="CheckA7348" localSheetId="10" hidden="1">CF!$E$42</definedName>
    <definedName name="CheckA7348" localSheetId="6" hidden="1">preCF!$E$63</definedName>
    <definedName name="CheckA7349" localSheetId="19" hidden="1">CashFlow!$E$60</definedName>
    <definedName name="CheckA7349" localSheetId="10" hidden="1">CF!$E$43</definedName>
    <definedName name="CheckA7349" localSheetId="6" hidden="1">preCF!$E$64</definedName>
    <definedName name="CheckA7399" localSheetId="19" hidden="1">CashFlow!$E$61</definedName>
    <definedName name="CheckA7399" localSheetId="10" hidden="1">CF!$E$44</definedName>
    <definedName name="CheckA7399" localSheetId="6" hidden="1">preCF!$E$65</definedName>
    <definedName name="CheckA7500a" localSheetId="21" hidden="1">Notes!$K$5096</definedName>
    <definedName name="CheckA7500b" localSheetId="21" hidden="1">Notes!$K$5119</definedName>
    <definedName name="CheckA7500c" localSheetId="21" hidden="1">Notes!$K$5127</definedName>
    <definedName name="CheckA7500e" localSheetId="21" hidden="1">Notes!$K$5156</definedName>
    <definedName name="CheckA7500f" localSheetId="21" hidden="1">Notes!$K$5172</definedName>
    <definedName name="CheckA7500g" localSheetId="21" hidden="1">Notes!$K$5136</definedName>
    <definedName name="CheckA7500h" localSheetId="21" hidden="1">Notes!$K$5146</definedName>
    <definedName name="CheckA7502" localSheetId="19" hidden="1">CashFlow!$E$68</definedName>
    <definedName name="CheckA7502" localSheetId="10" hidden="1">CF!$E$51</definedName>
    <definedName name="CheckA7502" localSheetId="6" hidden="1">preCF!$E$71</definedName>
    <definedName name="CheckA7503a" localSheetId="21" hidden="1">Notes!$K$6054</definedName>
    <definedName name="CheckA7505a" localSheetId="21" hidden="1">Notes!$K$6063</definedName>
    <definedName name="CheckA7506a" localSheetId="21" hidden="1">Notes!$K$6074</definedName>
    <definedName name="CheckA7507a" localSheetId="21" hidden="1">Notes!$K$6083</definedName>
    <definedName name="CheckA7508a" localSheetId="21" hidden="1">Notes!$K$6092</definedName>
    <definedName name="CheckA7509a" localSheetId="21" hidden="1">Notes!$K$6106</definedName>
    <definedName name="CheckA7510a" localSheetId="21" hidden="1">Notes!$K$6116</definedName>
    <definedName name="CheckA7511a" localSheetId="21" hidden="1">Notes!$K$6125</definedName>
    <definedName name="CheckA7512a" localSheetId="21" hidden="1">Notes!$K$6136</definedName>
    <definedName name="CheckA7515a" localSheetId="21" hidden="1">Notes!$K$6145</definedName>
    <definedName name="CheckA7516a" localSheetId="21" hidden="1">Notes!$K$6154</definedName>
    <definedName name="CheckA7517a" localSheetId="21" hidden="1">Notes!$K$6163</definedName>
    <definedName name="CheckA7518a" localSheetId="21" hidden="1">Notes!$K$6185</definedName>
    <definedName name="CheckA7519a" localSheetId="21" hidden="1">Notes!$K$6212</definedName>
    <definedName name="CheckA7523a" localSheetId="21" hidden="1">Notes!$K$6241</definedName>
    <definedName name="CheckA7525" localSheetId="19" hidden="1">CashFlow!$E$85</definedName>
    <definedName name="CheckA7525" localSheetId="10" hidden="1">CF!$E$68</definedName>
    <definedName name="CheckA7525" localSheetId="6" hidden="1">preCF!$E$88</definedName>
    <definedName name="CheckA7539" localSheetId="19" hidden="1">CashFlow!$E$95</definedName>
    <definedName name="CheckA7539" localSheetId="10" hidden="1">CF!$E$78</definedName>
    <definedName name="CheckA7539" localSheetId="6" hidden="1">preCF!$E$98</definedName>
    <definedName name="CheckA8001" localSheetId="11" hidden="1">CE!$P$9</definedName>
    <definedName name="CheckA8001" localSheetId="20" hidden="1">OwnersEquity!$P$9</definedName>
    <definedName name="CheckA8001" localSheetId="7" hidden="1">preCE!$Q$9</definedName>
    <definedName name="CheckA8010" localSheetId="11" hidden="1">CE!$P$13</definedName>
    <definedName name="CheckA8010" localSheetId="20" hidden="1">OwnersEquity!$P$13</definedName>
    <definedName name="CheckA8010" localSheetId="7" hidden="1">preCE!$Q$14</definedName>
    <definedName name="CheckA8040" localSheetId="11" hidden="1">CE!$P$15</definedName>
    <definedName name="CheckA8040" localSheetId="20" hidden="1">OwnersEquity!$P$15</definedName>
    <definedName name="CheckA8040" localSheetId="7" hidden="1">preCE!$Q$18</definedName>
    <definedName name="CheckA8099" localSheetId="11" hidden="1">CE!$P$36</definedName>
    <definedName name="CheckA8099" localSheetId="20" hidden="1">OwnersEquity!$P$37</definedName>
    <definedName name="CheckA8099" localSheetId="7" hidden="1">preCE!$Q$40</definedName>
    <definedName name="CheckA8101" localSheetId="11" hidden="1">CE!$D$9</definedName>
    <definedName name="CheckA8101" localSheetId="20" hidden="1">OwnersEquity!$D$9</definedName>
    <definedName name="CheckA8101" localSheetId="7" hidden="1">preCE!$D$9</definedName>
    <definedName name="CheckA8110" localSheetId="11" hidden="1">CE!$D$13</definedName>
    <definedName name="CheckA8110" localSheetId="20" hidden="1">OwnersEquity!$D$13</definedName>
    <definedName name="CheckA8110" localSheetId="7" hidden="1">preCE!$D$14</definedName>
    <definedName name="CheckA8199" localSheetId="11" hidden="1">CE!$D$36</definedName>
    <definedName name="CheckA8199" localSheetId="20" hidden="1">OwnersEquity!$D$37</definedName>
    <definedName name="CheckA8199" localSheetId="7" hidden="1">preCE!$D$40</definedName>
    <definedName name="CheckA8201" localSheetId="11" hidden="1">CE!$H$9</definedName>
    <definedName name="CheckA8201" localSheetId="20" hidden="1">OwnersEquity!$H$9</definedName>
    <definedName name="CheckA8201" localSheetId="7" hidden="1">preCE!$H$9</definedName>
    <definedName name="CheckA8210" localSheetId="11" hidden="1">CE!$H$13</definedName>
    <definedName name="CheckA8210" localSheetId="20" hidden="1">OwnersEquity!$H$13</definedName>
    <definedName name="CheckA8210" localSheetId="7" hidden="1">preCE!$H$14</definedName>
    <definedName name="CheckA8299" localSheetId="11" hidden="1">CE!$H$36</definedName>
    <definedName name="CheckA8299" localSheetId="20" hidden="1">OwnersEquity!$H$37</definedName>
    <definedName name="CheckA8299" localSheetId="7" hidden="1">preCE!$H$40</definedName>
    <definedName name="CheckA8301" localSheetId="11" hidden="1">CE!$I$9</definedName>
    <definedName name="CheckA8301" localSheetId="20" hidden="1">OwnersEquity!$I$9</definedName>
    <definedName name="CheckA8301" localSheetId="7" hidden="1">preCE!$I$9</definedName>
    <definedName name="CheckA8310" localSheetId="11" hidden="1">CE!$I$13</definedName>
    <definedName name="CheckA8310" localSheetId="20" hidden="1">OwnersEquity!$I$13</definedName>
    <definedName name="CheckA8310" localSheetId="7" hidden="1">preCE!$I$14</definedName>
    <definedName name="CheckA8399" localSheetId="11" hidden="1">CE!$I$36</definedName>
    <definedName name="CheckA8399" localSheetId="20" hidden="1">OwnersEquity!$I$37</definedName>
    <definedName name="CheckA8399" localSheetId="7" hidden="1">preCE!$I$40</definedName>
    <definedName name="CheckA8401" localSheetId="11" hidden="1">CE!$K$9</definedName>
    <definedName name="CheckA8401" localSheetId="20" hidden="1">OwnersEquity!$K$9</definedName>
    <definedName name="CheckA8401" localSheetId="7" hidden="1">preCE!$K$9</definedName>
    <definedName name="CheckA8410" localSheetId="11" hidden="1">CE!$K$13</definedName>
    <definedName name="CheckA8410" localSheetId="20" hidden="1">OwnersEquity!$K$13</definedName>
    <definedName name="CheckA8410" localSheetId="7" hidden="1">preCE!$K$14</definedName>
    <definedName name="CheckA8499" localSheetId="11" hidden="1">CE!$K$36</definedName>
    <definedName name="CheckA8499" localSheetId="20" hidden="1">OwnersEquity!$K$37</definedName>
    <definedName name="CheckA8499" localSheetId="7" hidden="1">preCE!$K$40</definedName>
    <definedName name="CheckA8501" localSheetId="11" hidden="1">CE!$L$9</definedName>
    <definedName name="CheckA8501" localSheetId="20" hidden="1">OwnersEquity!$L$9</definedName>
    <definedName name="CheckA8501" localSheetId="7" hidden="1">preCE!$L$9</definedName>
    <definedName name="CheckA8510" localSheetId="11" hidden="1">CE!$L$13</definedName>
    <definedName name="CheckA8510" localSheetId="20" hidden="1">OwnersEquity!$L$13</definedName>
    <definedName name="CheckA8510" localSheetId="7" hidden="1">preCE!$L$14</definedName>
    <definedName name="CheckA8599" localSheetId="11" hidden="1">CE!$L$36</definedName>
    <definedName name="CheckA8599" localSheetId="20" hidden="1">OwnersEquity!$L$37</definedName>
    <definedName name="CheckA8599" localSheetId="7" hidden="1">preCE!$L$40</definedName>
    <definedName name="CheckA8601" localSheetId="20" hidden="1">OwnersEquity!$M$9</definedName>
    <definedName name="CheckA8601" localSheetId="7" hidden="1">preCE!$M$9</definedName>
    <definedName name="CheckA8610" localSheetId="20" hidden="1">OwnersEquity!$M$13</definedName>
    <definedName name="CheckA8610" localSheetId="7" hidden="1">preCE!$M$14</definedName>
    <definedName name="CheckA8699" localSheetId="11" hidden="1">CE!$M$36</definedName>
    <definedName name="CheckA8699" localSheetId="20" hidden="1">OwnersEquity!$M$37</definedName>
    <definedName name="CheckA8699" localSheetId="7" hidden="1">preCE!$M$40</definedName>
    <definedName name="CheckA8701" localSheetId="11" hidden="1">CE!$N$9</definedName>
    <definedName name="CheckA8701" localSheetId="20" hidden="1">OwnersEquity!$N$9</definedName>
    <definedName name="CheckA8701" localSheetId="7" hidden="1">preCE!$N$9</definedName>
    <definedName name="CheckA8710" localSheetId="11" hidden="1">CE!$N$13</definedName>
    <definedName name="CheckA8710" localSheetId="20" hidden="1">OwnersEquity!$N$13</definedName>
    <definedName name="CheckA8710" localSheetId="7" hidden="1">preCE!$N$14</definedName>
    <definedName name="CheckA8740" localSheetId="11" hidden="1">CE!$N$15</definedName>
    <definedName name="CheckA8740" localSheetId="20" hidden="1">OwnersEquity!$N$15</definedName>
    <definedName name="CheckA8740" localSheetId="7" hidden="1">preCE!$N$18</definedName>
    <definedName name="CheckA8799" localSheetId="11" hidden="1">CE!$N$36</definedName>
    <definedName name="CheckA8799" localSheetId="20" hidden="1">OwnersEquity!$N$37</definedName>
    <definedName name="CheckA8799" localSheetId="7" hidden="1">preCE!$N$40</definedName>
    <definedName name="CheckA8801" localSheetId="11" hidden="1">CE!$O$9</definedName>
    <definedName name="CheckA8801" localSheetId="20" hidden="1">OwnersEquity!$O$9</definedName>
    <definedName name="CheckA8801" localSheetId="7" hidden="1">preCE!$O$9</definedName>
    <definedName name="CheckA8810" localSheetId="11" hidden="1">CE!$O$13</definedName>
    <definedName name="CheckA8810" localSheetId="20" hidden="1">OwnersEquity!$O$13</definedName>
    <definedName name="CheckA8810" localSheetId="7" hidden="1">preCE!$O$14</definedName>
    <definedName name="CheckA8899" localSheetId="11" hidden="1">CE!$O$36</definedName>
    <definedName name="CheckA8899" localSheetId="20" hidden="1">OwnersEquity!$O$37</definedName>
    <definedName name="CheckA8899" localSheetId="7" hidden="1">preCE!$O$40</definedName>
    <definedName name="CheckA8901" localSheetId="7" hidden="1">preCE!$P$9</definedName>
    <definedName name="CheckA8910" localSheetId="7" hidden="1">preCE!$P$14</definedName>
    <definedName name="CheckA8940" localSheetId="7" hidden="1">preCE!$P$18</definedName>
    <definedName name="CheckA8999" localSheetId="7" hidden="1">preCE!$P$40</definedName>
    <definedName name="CheckA8b01" localSheetId="11" hidden="1">CE!$E$9</definedName>
    <definedName name="CheckA8b01" localSheetId="20" hidden="1">OwnersEquity!$E$9</definedName>
    <definedName name="CheckA8b01" localSheetId="7" hidden="1">preCE!$E$9</definedName>
    <definedName name="CheckA8b10" localSheetId="11" hidden="1">CE!$E$13</definedName>
    <definedName name="CheckA8b10" localSheetId="20" hidden="1">OwnersEquity!$E$13</definedName>
    <definedName name="CheckA8b10" localSheetId="7" hidden="1">preCE!$E$14</definedName>
    <definedName name="CheckA8b99" localSheetId="11" hidden="1">CE!$E$36</definedName>
    <definedName name="CheckA8b99" localSheetId="20" hidden="1">OwnersEquity!$E$37</definedName>
    <definedName name="CheckA8b99" localSheetId="7" hidden="1">preCE!$E$40</definedName>
    <definedName name="CheckA8c01" localSheetId="11" hidden="1">CE!$F$9</definedName>
    <definedName name="CheckA8c01" localSheetId="20" hidden="1">OwnersEquity!$F$9</definedName>
    <definedName name="CheckA8c01" localSheetId="7" hidden="1">preCE!$F$9</definedName>
    <definedName name="CheckA8c10" localSheetId="11" hidden="1">CE!$F$13</definedName>
    <definedName name="CheckA8c10" localSheetId="20" hidden="1">OwnersEquity!$F$13</definedName>
    <definedName name="CheckA8c10" localSheetId="7" hidden="1">preCE!$F$14</definedName>
    <definedName name="CheckA8c99" localSheetId="11" hidden="1">CE!$F$36</definedName>
    <definedName name="CheckA8c99" localSheetId="20" hidden="1">OwnersEquity!$F$37</definedName>
    <definedName name="CheckA8c99" localSheetId="7" hidden="1">preCE!$F$40</definedName>
    <definedName name="CheckA8d01" localSheetId="11" hidden="1">CE!$G$9</definedName>
    <definedName name="CheckA8d01" localSheetId="20" hidden="1">OwnersEquity!$G$9</definedName>
    <definedName name="CheckA8d01" localSheetId="7" hidden="1">preCE!$G$9</definedName>
    <definedName name="CheckA8d10" localSheetId="11" hidden="1">CE!$G$13</definedName>
    <definedName name="CheckA8d10" localSheetId="20" hidden="1">OwnersEquity!$G$13</definedName>
    <definedName name="CheckA8d10" localSheetId="7" hidden="1">preCE!$G$14</definedName>
    <definedName name="CheckA8d99" localSheetId="11" hidden="1">CE!$G$36</definedName>
    <definedName name="CheckA8d99" localSheetId="20" hidden="1">OwnersEquity!$G$37</definedName>
    <definedName name="CheckA8d99" localSheetId="7" hidden="1">preCE!$G$40</definedName>
    <definedName name="CheckA8g01" localSheetId="11" hidden="1">CE!$J$9</definedName>
    <definedName name="CheckA8g01" localSheetId="20" hidden="1">OwnersEquity!$J$9</definedName>
    <definedName name="CheckA8g01" localSheetId="7" hidden="1">preCE!$J$9</definedName>
    <definedName name="CheckA8g10" localSheetId="11" hidden="1">CE!$J$13</definedName>
    <definedName name="CheckA8g10" localSheetId="20" hidden="1">OwnersEquity!$J$13</definedName>
    <definedName name="CheckA8g10" localSheetId="7" hidden="1">preCE!$J$14</definedName>
    <definedName name="CheckA8g40" localSheetId="11" hidden="1">CE!$J$15</definedName>
    <definedName name="CheckA8g40" localSheetId="20" hidden="1">OwnersEquity!$J$15</definedName>
    <definedName name="CheckA8g40" localSheetId="7" hidden="1">preCE!$J$18</definedName>
    <definedName name="CheckA8g99" localSheetId="11" hidden="1">CE!$J$36</definedName>
    <definedName name="CheckA8g99" localSheetId="20" hidden="1">OwnersEquity!$J$37</definedName>
    <definedName name="CheckA8g99" localSheetId="7" hidden="1">preCE!$J$40</definedName>
    <definedName name="CheckA9120c" localSheetId="21" hidden="1">Notes!$K$5647</definedName>
    <definedName name="CheckA9120d" localSheetId="21" hidden="1">Notes!$K$5657</definedName>
    <definedName name="CheckA9120e" localSheetId="21" hidden="1">Notes!$K$5667</definedName>
    <definedName name="CheckA9120f" localSheetId="21" hidden="1">Notes!$K$5677</definedName>
    <definedName name="CheckA9120g" localSheetId="21" hidden="1">Notes!$K$5687</definedName>
    <definedName name="CheckA9120h" localSheetId="21" hidden="1">Notes!$K$5697</definedName>
    <definedName name="CheckA9120i" localSheetId="21" hidden="1">Notes!$K$5707</definedName>
    <definedName name="CheckA9120j" localSheetId="21" hidden="1">Notes!$K$5717</definedName>
    <definedName name="CheckA9120k" localSheetId="21" hidden="1">Notes!$K$5727</definedName>
    <definedName name="CheckA9120l" localSheetId="21" hidden="1">Notes!$K$5737</definedName>
    <definedName name="CheckA9120m" localSheetId="21" hidden="1">Notes!$K$5621</definedName>
    <definedName name="CheckA9120n" localSheetId="21" hidden="1">Notes!$K$5634</definedName>
    <definedName name="CheckA9120o" localSheetId="21" hidden="1">Notes!$K$5745</definedName>
    <definedName name="CheckA9120p" localSheetId="21" hidden="1">Notes!$K$5760</definedName>
    <definedName name="CheckA9314a" localSheetId="21" hidden="1">Notes!$K$5183</definedName>
    <definedName name="CheckA9325g" localSheetId="21" hidden="1">Notes!$K$5319</definedName>
    <definedName name="CheckA9325h" localSheetId="21" hidden="1">Notes!$K$5336</definedName>
    <definedName name="CheckA9325i" localSheetId="21" hidden="1">Notes!$K$5353</definedName>
    <definedName name="CheckA9325j" localSheetId="21" hidden="1">Notes!$K$5369</definedName>
    <definedName name="CheckA9325k" localSheetId="21" hidden="1">Notes!$K$5385</definedName>
    <definedName name="CheckA9325m" localSheetId="21" hidden="1">Notes!$K$5419</definedName>
    <definedName name="CheckA9331a" localSheetId="21" hidden="1">Notes!$K$5454</definedName>
    <definedName name="CheckA9331b" localSheetId="21" hidden="1">Notes!$K$5601</definedName>
    <definedName name="CheckA9331g" localSheetId="21" hidden="1">Notes!$K$5575</definedName>
    <definedName name="CheckA9331i" localSheetId="21" hidden="1">Notes!$K$5548</definedName>
    <definedName name="CheckA9331j" localSheetId="21" hidden="1">Notes!$K$5557</definedName>
    <definedName name="CheckA9331k" localSheetId="21" hidden="1">Notes!$K$5500</definedName>
    <definedName name="CheckA9367a" localSheetId="21" hidden="1">Notes!$K$5774</definedName>
    <definedName name="CheckA9367b" localSheetId="21" hidden="1">Notes!$K$5795</definedName>
    <definedName name="CheckA9371h" localSheetId="21" hidden="1">Notes!$K$5275</definedName>
    <definedName name="CheckA9371i" localSheetId="21" hidden="1">Notes!$K$5290</definedName>
    <definedName name="CheckA9371j" localSheetId="21" hidden="1">Notes!$K$5305</definedName>
    <definedName name="CheckA9601a" localSheetId="21" hidden="1">Notes!$K$5804</definedName>
    <definedName name="CheckA9601b" localSheetId="21" hidden="1">Notes!$K$5846</definedName>
    <definedName name="CheckA9601c" localSheetId="21" hidden="1">Notes!$K$5836</definedName>
    <definedName name="CheckA9601d" localSheetId="21" hidden="1">Notes!$K$5856</definedName>
    <definedName name="CheckA9690a" localSheetId="21" hidden="1">Notes!$K$4984</definedName>
    <definedName name="CheckA9690b" localSheetId="21" hidden="1">Notes!$K$4998</definedName>
    <definedName name="CheckA9690c" localSheetId="21" hidden="1">Notes!$K$5008</definedName>
    <definedName name="CheckB1015a" localSheetId="21" hidden="1">Notes!$N$20</definedName>
    <definedName name="CheckB1015b" localSheetId="21" hidden="1">Notes!$N$10</definedName>
    <definedName name="CheckB1015c" localSheetId="21" hidden="1">Notes!$N$59</definedName>
    <definedName name="CheckB1101a" localSheetId="21" hidden="1">Notes!$N$90</definedName>
    <definedName name="CheckB1102a" localSheetId="21" hidden="1">Notes!$N$71</definedName>
    <definedName name="CheckB1115a" localSheetId="21" hidden="1">Notes!$N$109</definedName>
    <definedName name="CheckB1121a" localSheetId="21" hidden="1">Notes!$N$130</definedName>
    <definedName name="CheckB1121b" localSheetId="21" hidden="1">Notes!$N$138</definedName>
    <definedName name="CheckB1121c" localSheetId="21" hidden="1">Notes!$N$160</definedName>
    <definedName name="CheckB1121d" localSheetId="21" hidden="1">Notes!$N$146</definedName>
    <definedName name="CheckB1121e" localSheetId="21" hidden="1">Notes!$N$120</definedName>
    <definedName name="CheckB1121f" localSheetId="21" hidden="1">Notes!$N$170</definedName>
    <definedName name="CheckB1121g" localSheetId="21" hidden="1">Notes!$N$192</definedName>
    <definedName name="CheckB1121h" localSheetId="21" hidden="1">Notes!$N$214</definedName>
    <definedName name="CheckB1121i" localSheetId="21" hidden="1">Notes!$N$251</definedName>
    <definedName name="CheckB1121j" localSheetId="21" hidden="1">Notes!$N$273</definedName>
    <definedName name="CheckB1121k" localSheetId="21" hidden="1">Notes!$N$286</definedName>
    <definedName name="CheckB1121l" localSheetId="21" hidden="1">Notes!$N$293</definedName>
    <definedName name="CheckB1121m" localSheetId="21" hidden="1">Notes!$N$306</definedName>
    <definedName name="CheckB1121n" localSheetId="21" hidden="1">Notes!$N$236</definedName>
    <definedName name="CheckB112202" localSheetId="21" hidden="1">Notes!$N$415</definedName>
    <definedName name="CheckB11222" localSheetId="21" hidden="1">Notes!$N$415</definedName>
    <definedName name="CheckB1122a" localSheetId="21" hidden="1">Notes!$N$485</definedName>
    <definedName name="CheckB1122b" localSheetId="21" hidden="1">Notes!$N$500</definedName>
    <definedName name="CheckB1122c" localSheetId="21" hidden="1">Notes!$N$668</definedName>
    <definedName name="CheckB1122d" localSheetId="21" hidden="1">Notes!$N$535</definedName>
    <definedName name="CheckB1122e" localSheetId="21" hidden="1">Notes!$N$559</definedName>
    <definedName name="CheckB1122f" localSheetId="21" hidden="1">Notes!$N$569</definedName>
    <definedName name="CheckB1122g" localSheetId="21" hidden="1">Notes!$N$515</definedName>
    <definedName name="CheckB1122h" localSheetId="21" hidden="1">Notes!$N$601</definedName>
    <definedName name="CheckB1122i" localSheetId="21" hidden="1">Notes!$N$618</definedName>
    <definedName name="CheckB1122j" localSheetId="21" hidden="1">Notes!$N$317</definedName>
    <definedName name="CheckB1122k" localSheetId="21" hidden="1">Notes!$N$629</definedName>
    <definedName name="CheckB1122l" localSheetId="21" hidden="1">Notes!$N$678</definedName>
    <definedName name="CheckB1122m" localSheetId="21" hidden="1">Notes!$N$648</definedName>
    <definedName name="CheckB1122n" localSheetId="21" hidden="1">Notes!$N$658</definedName>
    <definedName name="CheckB1122p" localSheetId="21" hidden="1">Notes!$N$334</definedName>
    <definedName name="CheckB1122q" localSheetId="21" hidden="1">Notes!$N$430</definedName>
    <definedName name="CheckB1122r" localSheetId="21" hidden="1">Notes!$N$356</definedName>
    <definedName name="CheckB1122s" localSheetId="21" hidden="1">Notes!$N$378</definedName>
    <definedName name="CheckB1122t" localSheetId="21" hidden="1">Notes!$N$400</definedName>
    <definedName name="CheckB1122u" localSheetId="21" hidden="1">Notes!$N$579</definedName>
    <definedName name="CheckB1122v" localSheetId="21" hidden="1">Notes!$N$611</definedName>
    <definedName name="CheckB1122x" localSheetId="21" hidden="1">Notes!$N$688</definedName>
    <definedName name="CheckB1122y" localSheetId="21" hidden="1">Notes!$N$448</definedName>
    <definedName name="CheckB1122z" localSheetId="21" hidden="1">Notes!$N$468</definedName>
    <definedName name="CheckB1124a" localSheetId="21" hidden="1">Notes!$N$698</definedName>
    <definedName name="CheckB1124b" localSheetId="21" hidden="1">Notes!$N$706</definedName>
    <definedName name="CheckB1124c" localSheetId="21" hidden="1">Notes!$N$721</definedName>
    <definedName name="CheckB1124d" localSheetId="21" hidden="1">Notes!$N$740</definedName>
    <definedName name="CheckB1124e" localSheetId="21" hidden="1">Notes!$N$762</definedName>
    <definedName name="CheckB1124f" localSheetId="21" hidden="1">Notes!$N$848</definedName>
    <definedName name="CheckB1124g" localSheetId="21" hidden="1">Notes!$N$777</definedName>
    <definedName name="CheckB1124h" localSheetId="21" hidden="1">Notes!$N$792</definedName>
    <definedName name="CheckB1124i" localSheetId="21" hidden="1">Notes!$N$811</definedName>
    <definedName name="CheckB1124j" localSheetId="21" hidden="1">Notes!$N$833</definedName>
    <definedName name="CheckB1125a" localSheetId="21" hidden="1">Notes!$N$859</definedName>
    <definedName name="CheckB1125c" localSheetId="21" hidden="1">Notes!$N$871</definedName>
    <definedName name="CheckB1125d" localSheetId="21" hidden="1">Notes!$N$890</definedName>
    <definedName name="CheckB1125e" localSheetId="21" hidden="1">Notes!$N$910</definedName>
    <definedName name="CheckB1125f" localSheetId="21" hidden="1">Notes!$N$900</definedName>
    <definedName name="CheckB1125x" localSheetId="21" hidden="1">Notes!$N$920</definedName>
    <definedName name="CheckB1131a" localSheetId="21" hidden="1">Notes!$N$967</definedName>
    <definedName name="CheckB1131b" localSheetId="21" hidden="1">Notes!$N$977</definedName>
    <definedName name="CheckB1132a" localSheetId="21" hidden="1">Notes!$N$944</definedName>
    <definedName name="CheckB1132b" localSheetId="21" hidden="1">Notes!$N$956</definedName>
    <definedName name="CheckB1220a" localSheetId="21" hidden="1">Notes!$N$934</definedName>
    <definedName name="CheckB122100" localSheetId="21" hidden="1">Notes!$N$1027</definedName>
    <definedName name="CheckB122101" localSheetId="21" hidden="1">Notes!$N$1043</definedName>
    <definedName name="CheckB122102" localSheetId="21" hidden="1">Notes!$N$1131</definedName>
    <definedName name="CheckB122103" localSheetId="21" hidden="1">Notes!$N$1219</definedName>
    <definedName name="CheckB122104" localSheetId="21" hidden="1">Notes!$N$1491</definedName>
    <definedName name="CheckB12211" localSheetId="21" hidden="1">Notes!$N$1057</definedName>
    <definedName name="CheckB122111" localSheetId="21" hidden="1">Notes!$N$1057</definedName>
    <definedName name="CheckB122112" localSheetId="21" hidden="1">Notes!$N$1079</definedName>
    <definedName name="CheckB122113" localSheetId="21" hidden="1">Notes!$N$1101</definedName>
    <definedName name="CheckB122114" localSheetId="21" hidden="1">Notes!$N$1116</definedName>
    <definedName name="CheckB12212" localSheetId="21" hidden="1">Notes!$N$1079</definedName>
    <definedName name="CheckB122121" localSheetId="21" hidden="1">Notes!$N$1145</definedName>
    <definedName name="CheckB122122" localSheetId="21" hidden="1">Notes!$N$1167</definedName>
    <definedName name="CheckB122123" localSheetId="21" hidden="1">Notes!$N$1189</definedName>
    <definedName name="CheckB122124" localSheetId="21" hidden="1">Notes!$N$1204</definedName>
    <definedName name="CheckB12213" localSheetId="21" hidden="1">Notes!$N$1101</definedName>
    <definedName name="CheckB122131" localSheetId="21" hidden="1">Notes!$N$1233</definedName>
    <definedName name="CheckB122132" localSheetId="21" hidden="1">Notes!$N$1255</definedName>
    <definedName name="CheckB122133" localSheetId="21" hidden="1">Notes!$N$1277</definedName>
    <definedName name="CheckB122134" localSheetId="21" hidden="1">Notes!$N$1292</definedName>
    <definedName name="CheckB12214" localSheetId="21" hidden="1">Notes!$N$1491</definedName>
    <definedName name="CheckB1221a" localSheetId="21" hidden="1">Notes!$N$1365</definedName>
    <definedName name="CheckB1221b" localSheetId="21" hidden="1">Notes!$N$1387</definedName>
    <definedName name="CheckB1221c" localSheetId="21" hidden="1">Notes!$N$1587</definedName>
    <definedName name="CheckB1221d" localSheetId="21" hidden="1">Notes!$N$1428</definedName>
    <definedName name="CheckB1221e" localSheetId="21" hidden="1">Notes!$N$1449</definedName>
    <definedName name="CheckB1221f" localSheetId="21" hidden="1">Notes!$N$1459</definedName>
    <definedName name="CheckB1221g" localSheetId="21" hidden="1">Notes!$N$1409</definedName>
    <definedName name="CheckB1221h" localSheetId="21" hidden="1">Notes!$N$1510</definedName>
    <definedName name="CheckB1221i" localSheetId="21" hidden="1">Notes!$N$1527</definedName>
    <definedName name="CheckB1221j" localSheetId="21" hidden="1">Notes!$N$988</definedName>
    <definedName name="CheckB1221k" localSheetId="21" hidden="1">Notes!$N$1538</definedName>
    <definedName name="CheckB1221l" localSheetId="21" hidden="1">Notes!$N$1013</definedName>
    <definedName name="CheckB1221m" localSheetId="21" hidden="1">Notes!$N$1597</definedName>
    <definedName name="CheckB1221n" localSheetId="21" hidden="1">Notes!$N$1567</definedName>
    <definedName name="CheckB1221o" localSheetId="21" hidden="1">Notes!$N$1577</definedName>
    <definedName name="CheckB1221q" localSheetId="21" hidden="1">Notes!$N$1043</definedName>
    <definedName name="CheckB1221r" localSheetId="21" hidden="1">Notes!$N$1557</definedName>
    <definedName name="CheckB1221s" localSheetId="21" hidden="1">Notes!$N$1219</definedName>
    <definedName name="CheckB1221t" localSheetId="21" hidden="1">Notes!$N$1307</definedName>
    <definedName name="CheckB1221u" localSheetId="21" hidden="1">Notes!$N$1116</definedName>
    <definedName name="CheckB1221v" localSheetId="21" hidden="1">Notes!$N$1326</definedName>
    <definedName name="CheckB1221w" localSheetId="21" hidden="1">Notes!$N$1348</definedName>
    <definedName name="CheckB1221x" localSheetId="21" hidden="1">Notes!$N$1607</definedName>
    <definedName name="CheckB1221y" localSheetId="21" hidden="1">Notes!$N$1469</definedName>
    <definedName name="CheckB1221z" localSheetId="21" hidden="1">Notes!$N$1520</definedName>
    <definedName name="CheckB1315b" localSheetId="21" hidden="1">Notes!$N$1764</definedName>
    <definedName name="CheckB1315f" localSheetId="21" hidden="1">Notes!$N$1774</definedName>
    <definedName name="CheckB1400a" localSheetId="21" hidden="1">Notes!$N$1617</definedName>
    <definedName name="CheckB1400b" localSheetId="21" hidden="1">Notes!$N$1636</definedName>
    <definedName name="CheckB1400c" localSheetId="21" hidden="1">Notes!$N$1736</definedName>
    <definedName name="CheckB1400d" localSheetId="21" hidden="1">Notes!$N$1682</definedName>
    <definedName name="CheckB1400e" localSheetId="21" hidden="1">Notes!$N$1699</definedName>
    <definedName name="CheckB1400g" localSheetId="21" hidden="1">Notes!$N$1716</definedName>
    <definedName name="CheckB1400h" localSheetId="21" hidden="1">Notes!$N$1665</definedName>
    <definedName name="CheckB1400s" localSheetId="21" hidden="1">Notes!$N$1726</definedName>
    <definedName name="CheckB1400t" localSheetId="21" hidden="1">Notes!$N$1655</definedName>
    <definedName name="CheckB1400x" localSheetId="21" hidden="1">Notes!$N$1753</definedName>
    <definedName name="CheckB1495a" localSheetId="21" hidden="1">Notes!$N$1790</definedName>
    <definedName name="CheckB1495b" localSheetId="21" hidden="1">Notes!$N$1799</definedName>
    <definedName name="CheckB1496a" localSheetId="21" hidden="1">Notes!$N$1812</definedName>
    <definedName name="CheckB1501a" localSheetId="21" hidden="1">Notes!$N$2157</definedName>
    <definedName name="CheckB1501d" localSheetId="21" hidden="1">Notes!$N$2171</definedName>
    <definedName name="CheckB1501e" localSheetId="21" hidden="1">Notes!$N$2181</definedName>
    <definedName name="CheckB1501f" localSheetId="21" hidden="1">Notes!$N$2191</definedName>
    <definedName name="CheckB1503a" localSheetId="21" hidden="1">Notes!$N$1947</definedName>
    <definedName name="CheckB1503d" localSheetId="21" hidden="1">Notes!$N$2013</definedName>
    <definedName name="CheckB1503e" localSheetId="21" hidden="1">Notes!$N$1961</definedName>
    <definedName name="CheckB1503g" localSheetId="21" hidden="1">Notes!$N$2021</definedName>
    <definedName name="CheckB1503i" localSheetId="21" hidden="1">Notes!$N$1971</definedName>
    <definedName name="CheckB1503j" localSheetId="21" hidden="1">Notes!$N$1986</definedName>
    <definedName name="CheckB1503k" localSheetId="21" hidden="1">Notes!$N$2001</definedName>
    <definedName name="CheckB1505a" localSheetId="21" hidden="1">Notes!$N$1823</definedName>
    <definedName name="CheckB1505b" localSheetId="21" hidden="1">Notes!$N$1838</definedName>
    <definedName name="CheckB1505c" localSheetId="21" hidden="1">Notes!$N$1869</definedName>
    <definedName name="CheckB1505d" localSheetId="21" hidden="1">Notes!$N$1882</definedName>
    <definedName name="CheckB1505e" localSheetId="21" hidden="1">Notes!$N$1895</definedName>
    <definedName name="CheckB1505f" localSheetId="21" hidden="1">Notes!$N$1927</definedName>
    <definedName name="CheckB1505g" localSheetId="21" hidden="1">Notes!$N$1853</definedName>
    <definedName name="CheckB1505k" localSheetId="21" hidden="1">Notes!$N$1908</definedName>
    <definedName name="CheckB1508a" localSheetId="21" hidden="1">Notes!$N$2032</definedName>
    <definedName name="CheckB1508b" localSheetId="21" hidden="1">Notes!$N$2048</definedName>
    <definedName name="CheckB1508c" localSheetId="21" hidden="1">Notes!$N$2063</definedName>
    <definedName name="CheckB1508d" localSheetId="21" hidden="1">Notes!$N$2079</definedName>
    <definedName name="CheckB1508e" localSheetId="21" hidden="1">Notes!$N$2092</definedName>
    <definedName name="CheckB1508f" localSheetId="21" hidden="1">Notes!$N$2105</definedName>
    <definedName name="CheckB1508g" localSheetId="21" hidden="1">Notes!$N$2137</definedName>
    <definedName name="CheckB1508k" localSheetId="21" hidden="1">Notes!$N$2118</definedName>
    <definedName name="CheckB1511b" localSheetId="21" hidden="1">Notes!$N$2463</definedName>
    <definedName name="CheckB1511c" localSheetId="21" hidden="1">Notes!$N$2412</definedName>
    <definedName name="CheckB1511d" localSheetId="21" hidden="1">Notes!$N$2431</definedName>
    <definedName name="CheckB1521b" localSheetId="21" hidden="1">Notes!$N$2599</definedName>
    <definedName name="CheckB1521c" localSheetId="21" hidden="1">Notes!$N$2618</definedName>
    <definedName name="CheckB1521h" localSheetId="21" hidden="1">Notes!$N$2557</definedName>
    <definedName name="CheckB1521s" localSheetId="21" hidden="1">Notes!$N$2628</definedName>
    <definedName name="CheckB1531a" localSheetId="21" hidden="1">Notes!$N$2202</definedName>
    <definedName name="CheckB1531b" localSheetId="21" hidden="1">Notes!$N$2391</definedName>
    <definedName name="CheckB1531c" localSheetId="21" hidden="1">Notes!$N$2368</definedName>
    <definedName name="CheckB1531f" localSheetId="21" hidden="1">Notes!$N$2401</definedName>
    <definedName name="CheckB1531g" localSheetId="21" hidden="1">Notes!$N$2330</definedName>
    <definedName name="CheckB1531h" localSheetId="21" hidden="1">Notes!$N$2293</definedName>
    <definedName name="CheckB1531i" localSheetId="21" hidden="1">Notes!$N$2234</definedName>
    <definedName name="CheckB1531j" localSheetId="21" hidden="1">Notes!$N$2247</definedName>
    <definedName name="CheckB1531k" localSheetId="21" hidden="1">Notes!$N$2260</definedName>
    <definedName name="CheckB1531m" localSheetId="21" hidden="1">Notes!$N$2315</definedName>
    <definedName name="CheckB1531p" localSheetId="21" hidden="1">Notes!$N$2273</definedName>
    <definedName name="CheckB1531q" localSheetId="21" hidden="1">Notes!$N$2349</definedName>
    <definedName name="CheckB1531s" localSheetId="21" hidden="1">Notes!$N$2378</definedName>
    <definedName name="CheckB1531t" localSheetId="21" hidden="1">Notes!$N$2218</definedName>
    <definedName name="CheckB1538a" localSheetId="21" hidden="1">Notes!$N$2497</definedName>
    <definedName name="CheckB1538b" localSheetId="21" hidden="1">Notes!$N$2506</definedName>
    <definedName name="CheckB1539a" localSheetId="21" hidden="1">Notes!$N$2520</definedName>
    <definedName name="CheckB1539b" localSheetId="21" hidden="1">Notes!$N$2530</definedName>
    <definedName name="CheckB1539c" localSheetId="21" hidden="1">Notes!$N$2543</definedName>
    <definedName name="CheckB1601b" localSheetId="21" hidden="1">Notes!$N$2705</definedName>
    <definedName name="CheckB1601c" localSheetId="21" hidden="1">Notes!$N$2719</definedName>
    <definedName name="CheckB1601d" localSheetId="21" hidden="1">Notes!$N$2733</definedName>
    <definedName name="CheckB1601f" localSheetId="21" hidden="1">Notes!$N$2761</definedName>
    <definedName name="CheckB1601k" localSheetId="21" hidden="1">Notes!$N$2648</definedName>
    <definedName name="CheckB1601l" localSheetId="21" hidden="1">Notes!$N$2748</definedName>
    <definedName name="CheckB1601s" localSheetId="21" hidden="1">Notes!$N$2771</definedName>
    <definedName name="CheckB1601x" localSheetId="21" hidden="1">Notes!$N$2781</definedName>
    <definedName name="CheckB1604a" localSheetId="21" hidden="1">Notes!$N$2830</definedName>
    <definedName name="CheckB1604b" localSheetId="21" hidden="1">Notes!$N$2847</definedName>
    <definedName name="CheckB1604c" localSheetId="21" hidden="1">Notes!$N$2862</definedName>
    <definedName name="CheckB1604d" localSheetId="21" hidden="1">Notes!$N$2897</definedName>
    <definedName name="CheckB1604g" localSheetId="21" hidden="1">Notes!$N$2877</definedName>
    <definedName name="CheckB1605a" localSheetId="21" hidden="1">Notes!$N$2908</definedName>
    <definedName name="CheckB1606a" localSheetId="21" hidden="1">Notes!$N$2810</definedName>
    <definedName name="CheckB1606b" localSheetId="21" hidden="1">Notes!$N$2797</definedName>
    <definedName name="CheckB1611a" localSheetId="21" hidden="1">Notes!$N$2639</definedName>
    <definedName name="CheckB1616a" localSheetId="21" hidden="1">Notes!$N$2821</definedName>
    <definedName name="CheckB1621b" localSheetId="21" hidden="1">Notes!$N$2982</definedName>
    <definedName name="CheckB1621c" localSheetId="21" hidden="1">Notes!$N$2920</definedName>
    <definedName name="CheckB1631b" localSheetId="21" hidden="1">Notes!$N$3006</definedName>
    <definedName name="CheckB1700b" localSheetId="21" hidden="1">Notes!$N$3175</definedName>
    <definedName name="CheckB1701a" localSheetId="21" hidden="1">Notes!$N$3043</definedName>
    <definedName name="CheckB1701e" localSheetId="21" hidden="1">Notes!$N$3126</definedName>
    <definedName name="CheckB1701f" localSheetId="21" hidden="1">Notes!$N$3113</definedName>
    <definedName name="CheckB1701g" localSheetId="21" hidden="1">Notes!$N$3136</definedName>
    <definedName name="CheckB1701h" localSheetId="21" hidden="1">Notes!$N$3149</definedName>
    <definedName name="CheckB1701x" localSheetId="21" hidden="1">Notes!$N$3162</definedName>
    <definedName name="CheckB1704a" localSheetId="21" hidden="1">Notes!$N$5208</definedName>
    <definedName name="CheckB1711a" localSheetId="21" hidden="1">Notes!$N$3188</definedName>
    <definedName name="CheckB1711b" localSheetId="21" hidden="1">Notes!$N$3200</definedName>
    <definedName name="CheckB1801a" localSheetId="21" hidden="1">Notes!$N$3213</definedName>
    <definedName name="CheckB1801x" localSheetId="21" hidden="1">Notes!$N$3225</definedName>
    <definedName name="CheckB1829a" localSheetId="21" hidden="1">Notes!$N$3240</definedName>
    <definedName name="CheckB1829b" localSheetId="21" hidden="1">Notes!$N$3256</definedName>
    <definedName name="CheckB1829c" localSheetId="21" hidden="1">Notes!$N$3269</definedName>
    <definedName name="CheckB1829e" localSheetId="21" hidden="1">Notes!$N$3276</definedName>
    <definedName name="CheckB1829f" localSheetId="21" hidden="1">Notes!$N$3286</definedName>
    <definedName name="CheckB1996a" localSheetId="21" hidden="1">Notes!$N$3306</definedName>
    <definedName name="CheckB1997a" localSheetId="21" hidden="1">Notes!$N$5194</definedName>
    <definedName name="CheckB1999" localSheetId="17" hidden="1">BalanceSheet!$H$59</definedName>
    <definedName name="CheckB1999" localSheetId="8" hidden="1">BS!$H$50</definedName>
    <definedName name="CheckB1999" localSheetId="4" hidden="1">preBS!$G$68</definedName>
    <definedName name="CheckB2001a" localSheetId="21" hidden="1">Notes!$N$3319</definedName>
    <definedName name="CheckB2001b" localSheetId="21" hidden="1">Notes!$N$3359</definedName>
    <definedName name="CheckB2001c" localSheetId="21" hidden="1">Notes!$N$3370</definedName>
    <definedName name="CheckB2001d" localSheetId="21" hidden="1">Notes!$N$3329</definedName>
    <definedName name="CheckB2001e" localSheetId="21" hidden="1">Notes!$N$3339</definedName>
    <definedName name="CheckB2001f" localSheetId="21" hidden="1">Notes!$N$3349</definedName>
    <definedName name="CheckB2101a" localSheetId="21" hidden="1">Notes!$N$3409</definedName>
    <definedName name="CheckB2102a" localSheetId="21" hidden="1">Notes!$N$3381</definedName>
    <definedName name="CheckB2102b" localSheetId="21" hidden="1">Notes!$N$3394</definedName>
    <definedName name="CheckB2115a" localSheetId="21" hidden="1">Notes!$N$3421</definedName>
    <definedName name="CheckB2201a" localSheetId="21" hidden="1">Notes!$N$3432</definedName>
    <definedName name="CheckB2202a" localSheetId="21" hidden="1">Notes!$N$3471</definedName>
    <definedName name="CheckB2202c" localSheetId="21" hidden="1">Notes!$N$3491</definedName>
    <definedName name="CheckB2202d" localSheetId="21" hidden="1">Notes!$N$3481</definedName>
    <definedName name="CheckB2202e" localSheetId="21" hidden="1">Notes!$N$3443</definedName>
    <definedName name="CheckB2202f" localSheetId="21" hidden="1">Notes!$N$3454</definedName>
    <definedName name="CheckB2202g" localSheetId="21" hidden="1">Notes!$N$3501</definedName>
    <definedName name="CheckB2202x" localSheetId="21" hidden="1">Notes!$N$3511</definedName>
    <definedName name="CheckB2205a" localSheetId="21" hidden="1">Notes!$N$3558</definedName>
    <definedName name="CheckB2205c" localSheetId="21" hidden="1">Notes!$N$3588</definedName>
    <definedName name="CheckB2205e" localSheetId="21" hidden="1">Notes!$N$3578</definedName>
    <definedName name="CheckB2205f" localSheetId="21" hidden="1">Notes!$N$3531</definedName>
    <definedName name="CheckB2205g" localSheetId="21" hidden="1">Notes!$N$3541</definedName>
    <definedName name="CheckB2205h" localSheetId="21" hidden="1">Notes!$N$3568</definedName>
    <definedName name="CheckB2205x" localSheetId="21" hidden="1">Notes!$N$3598</definedName>
    <definedName name="CheckB2211a" localSheetId="21" hidden="1">Notes!$N$3618</definedName>
    <definedName name="CheckB2211b" localSheetId="21" hidden="1">Notes!$N$3628</definedName>
    <definedName name="CheckB2211c" localSheetId="21" hidden="1">Notes!$N$3657</definedName>
    <definedName name="CheckB2211d" localSheetId="21" hidden="1">Notes!$N$3681</definedName>
    <definedName name="CheckB2211x" localSheetId="21" hidden="1">Notes!$N$3713</definedName>
    <definedName name="CheckB2221a" localSheetId="21" hidden="1">Notes!$N$3727</definedName>
    <definedName name="CheckB2221x" localSheetId="21" hidden="1">Notes!$N$3746</definedName>
    <definedName name="CheckB2231a" localSheetId="21" hidden="1">Notes!$N$3770</definedName>
    <definedName name="CheckB2231b" localSheetId="21" hidden="1">Notes!$N$3790</definedName>
    <definedName name="CheckB2232a" localSheetId="21" hidden="1">Notes!$N$3801</definedName>
    <definedName name="CheckB2232b" localSheetId="21" hidden="1">Notes!$N$3818</definedName>
    <definedName name="CheckB2241a" localSheetId="21" hidden="1">Notes!$N$3886</definedName>
    <definedName name="CheckB2241b" localSheetId="21" hidden="1">Notes!$N$3866</definedName>
    <definedName name="CheckB2241c" localSheetId="21" hidden="1">Notes!$N$3856</definedName>
    <definedName name="CheckB2241e" localSheetId="21" hidden="1">Notes!$N$3829</definedName>
    <definedName name="CheckB2241f" localSheetId="21" hidden="1">Notes!$N$3839</definedName>
    <definedName name="CheckB2241g" localSheetId="21" hidden="1">Notes!$N$3876</definedName>
    <definedName name="CheckB2241x" localSheetId="21" hidden="1">Notes!$N$3896</definedName>
    <definedName name="CheckB2246a" localSheetId="21" hidden="1">Notes!$N$3760</definedName>
    <definedName name="CheckB2315a" localSheetId="21" hidden="1">Notes!$N$3916</definedName>
    <definedName name="CheckB2395a" localSheetId="21" hidden="1">Notes!$N$3927</definedName>
    <definedName name="CheckB2395b" localSheetId="21" hidden="1">Notes!$N$3937</definedName>
    <definedName name="CheckB2395e" localSheetId="21" hidden="1">Notes!$N$3947</definedName>
    <definedName name="CheckB2395f" localSheetId="21" hidden="1">Notes!$N$3957</definedName>
    <definedName name="CheckB2396a" localSheetId="21" hidden="1">Notes!$N$3968</definedName>
    <definedName name="CheckB2396c" localSheetId="21" hidden="1">Notes!$N$3979</definedName>
    <definedName name="CheckB2401a" localSheetId="21" hidden="1">Notes!$N$4261</definedName>
    <definedName name="CheckB2401b" localSheetId="21" hidden="1">Notes!$N$4269</definedName>
    <definedName name="CheckB2501a" localSheetId="21" hidden="1">Notes!$N$3997</definedName>
    <definedName name="CheckB2501c" localSheetId="21" hidden="1">Notes!$N$4040</definedName>
    <definedName name="CheckB2501d" localSheetId="21" hidden="1">Notes!$N$4010</definedName>
    <definedName name="CheckB2501e" localSheetId="21" hidden="1">Notes!$N$4020</definedName>
    <definedName name="CheckB2501f" localSheetId="21" hidden="1">Notes!$N$4030</definedName>
    <definedName name="CheckB2502a" localSheetId="21" hidden="1">Notes!$N$4061</definedName>
    <definedName name="CheckB2502b" localSheetId="21" hidden="1">Notes!$N$4051</definedName>
    <definedName name="CheckB2502c" localSheetId="21" hidden="1">Notes!$N$4084</definedName>
    <definedName name="CheckB2502d" localSheetId="21" hidden="1">Notes!$N$4074</definedName>
    <definedName name="CheckB2502e" localSheetId="21" hidden="1">Notes!$N$4096</definedName>
    <definedName name="CheckB2701c" localSheetId="21" hidden="1">Notes!$N$4118</definedName>
    <definedName name="CheckB2701d" localSheetId="21" hidden="1">Notes!$N$4136</definedName>
    <definedName name="CheckB2706a" localSheetId="21" hidden="1">Notes!$N$4107</definedName>
    <definedName name="CheckB2711a" localSheetId="21" hidden="1">Notes!$N$4147</definedName>
    <definedName name="CheckB2711b" localSheetId="21" hidden="1">Notes!$N$4157</definedName>
    <definedName name="CheckB2715a" localSheetId="21" hidden="1">Notes!$N$4168</definedName>
    <definedName name="CheckB2715b" localSheetId="21" hidden="1">Notes!$N$4178</definedName>
    <definedName name="CheckB2715c" localSheetId="21" hidden="1">Notes!$N$4198</definedName>
    <definedName name="CheckB2715d" localSheetId="21" hidden="1">Notes!$N$4213</definedName>
    <definedName name="CheckB2715g" localSheetId="21" hidden="1">Notes!$N$4222</definedName>
    <definedName name="CheckB2715h" localSheetId="21" hidden="1">Notes!$N$4233</definedName>
    <definedName name="CheckB2801a" localSheetId="21" hidden="1">Notes!$N$4247</definedName>
    <definedName name="CheckB2996a" localSheetId="21" hidden="1">Notes!$N$4287</definedName>
    <definedName name="CheckB2996x" localSheetId="21" hidden="1">Notes!$N$4297</definedName>
    <definedName name="CheckB4001" localSheetId="17" hidden="1">BalanceSheet!$L$47</definedName>
    <definedName name="CheckB4001" localSheetId="8" hidden="1">BS!$L$38</definedName>
    <definedName name="CheckB4001" localSheetId="4" hidden="1">preBS!$L$54</definedName>
    <definedName name="CheckB4001a" localSheetId="21" hidden="1">Notes!$N$4308</definedName>
    <definedName name="CheckB4001b" localSheetId="21" hidden="1">Notes!$N$4317</definedName>
    <definedName name="CheckB4002" localSheetId="17" hidden="1">BalanceSheet!$L$51</definedName>
    <definedName name="CheckB4002" localSheetId="8" hidden="1">BS!$L$42</definedName>
    <definedName name="CheckB4002" localSheetId="4" hidden="1">preBS!$L$58</definedName>
    <definedName name="CheckB4002a" localSheetId="21" hidden="1">Notes!$N$4351</definedName>
    <definedName name="CheckB4015" localSheetId="17" hidden="1">BalanceSheet!$L$48</definedName>
    <definedName name="CheckB4015" localSheetId="8" hidden="1">BS!$L$39</definedName>
    <definedName name="CheckB4015" localSheetId="4" hidden="1">preBS!$L$55</definedName>
    <definedName name="CheckB4015a" localSheetId="21" hidden="1">Notes!$N$4340</definedName>
    <definedName name="CheckB4015b" localSheetId="21" hidden="1">Notes!$N$4330</definedName>
    <definedName name="CheckB4101" localSheetId="17" hidden="1">BalanceSheet!$L$55</definedName>
    <definedName name="CheckB4101" localSheetId="8" hidden="1">BS!$L$46</definedName>
    <definedName name="CheckB4101" localSheetId="4" hidden="1">preBS!$L$62</definedName>
    <definedName name="CheckB4101a" localSheetId="21" hidden="1">Notes!$N$4437</definedName>
    <definedName name="CheckB4101b" localSheetId="21" hidden="1">Notes!$N$4424</definedName>
    <definedName name="CheckB4102" localSheetId="17" hidden="1">BalanceSheet!$L$56</definedName>
    <definedName name="CheckB4102" localSheetId="8" hidden="1">BS!$L$47</definedName>
    <definedName name="CheckB4102" localSheetId="4" hidden="1">preBS!$L$63</definedName>
    <definedName name="CheckB4102a" localSheetId="21" hidden="1">Notes!$N$4449</definedName>
    <definedName name="CheckB4200" localSheetId="17" hidden="1">BalanceSheet!$L$57</definedName>
    <definedName name="CheckB4200" localSheetId="8" hidden="1">BS!$L$48</definedName>
    <definedName name="CheckB4200" localSheetId="4" hidden="1">preBS!$L$64</definedName>
    <definedName name="CheckB4200a" localSheetId="21" hidden="1">Notes!$N$4457</definedName>
    <definedName name="CheckB4200b" localSheetId="21" hidden="1">Notes!$N$4474</definedName>
    <definedName name="CheckB4201" localSheetId="17" hidden="1">BalanceSheet!$L$52</definedName>
    <definedName name="CheckB4201" localSheetId="8" hidden="1">BS!$L$43</definedName>
    <definedName name="CheckB4201" localSheetId="4" hidden="1">preBS!$L$59</definedName>
    <definedName name="CheckB4201a" localSheetId="21" hidden="1">Notes!$N$4360</definedName>
    <definedName name="CheckB4215" localSheetId="17" hidden="1">BalanceSheet!$L$53</definedName>
    <definedName name="CheckB4215" localSheetId="8" hidden="1">BS!$L$44</definedName>
    <definedName name="CheckB4215" localSheetId="4" hidden="1">preBS!$L$60</definedName>
    <definedName name="CheckB4215a" localSheetId="21" hidden="1">Notes!$N$4392</definedName>
    <definedName name="CheckB4215b" localSheetId="21" hidden="1">Notes!$N$4367</definedName>
    <definedName name="CheckB4298" localSheetId="4" hidden="1">preBS!$L$65</definedName>
    <definedName name="CheckB4301" localSheetId="17" hidden="1">BalanceSheet!$L$54</definedName>
    <definedName name="CheckB4301" localSheetId="8" hidden="1">BS!$L$45</definedName>
    <definedName name="CheckB4301" localSheetId="4" hidden="1">preBS!$L$61</definedName>
    <definedName name="CheckB4301a" localSheetId="21" hidden="1">Notes!$N$4413</definedName>
    <definedName name="CheckB4398" localSheetId="4" hidden="1">preBS!$L$66</definedName>
    <definedName name="CheckB4999" localSheetId="17" hidden="1">BalanceSheet!$L$58</definedName>
    <definedName name="CheckB4999" localSheetId="8" hidden="1">BS!$L$49</definedName>
    <definedName name="CheckB4999" localSheetId="4" hidden="1">preBS!$L$67</definedName>
    <definedName name="CheckB5000" localSheetId="17" hidden="1">BalanceSheet!$L$59</definedName>
    <definedName name="CheckB5000" localSheetId="8" hidden="1">BS!$L$50</definedName>
    <definedName name="CheckB5000" localSheetId="4" hidden="1">preBS!$L$68</definedName>
    <definedName name="CheckB6001x" localSheetId="21" hidden="1">Notes!$N$4612</definedName>
    <definedName name="CheckB6064a" localSheetId="21" hidden="1">Notes!$N$4498</definedName>
    <definedName name="CheckB6064b" localSheetId="21" hidden="1">Notes!$N$4507</definedName>
    <definedName name="CheckB6064c" localSheetId="21" hidden="1">Notes!$N$4516</definedName>
    <definedName name="CheckB6064d" localSheetId="21" hidden="1">Notes!$N$4540</definedName>
    <definedName name="CheckB6064e" localSheetId="21" hidden="1">Notes!$N$4563</definedName>
    <definedName name="CheckB6064f" localSheetId="21" hidden="1">Notes!$N$4582</definedName>
    <definedName name="CheckB6064g" localSheetId="21" hidden="1">Notes!$N$4597</definedName>
    <definedName name="CheckB6064h" localSheetId="21" hidden="1">Notes!$N$4488</definedName>
    <definedName name="CheckB6101a" localSheetId="21" hidden="1">Notes!$N$4848</definedName>
    <definedName name="CheckB6101b" localSheetId="21" hidden="1">Notes!$N$4835</definedName>
    <definedName name="CheckB6102a" localSheetId="21" hidden="1">Notes!$N$4821</definedName>
    <definedName name="CheckB6111a" localSheetId="21" hidden="1">Notes!$N$4799</definedName>
    <definedName name="CheckB6171a" localSheetId="21" hidden="1">Notes!$N$4898</definedName>
    <definedName name="CheckB6181a" localSheetId="21" hidden="1">Notes!$N$4776</definedName>
    <definedName name="CheckB6401x" localSheetId="21" hidden="1">Notes!$N$4622</definedName>
    <definedName name="CheckB6600a" localSheetId="21" hidden="1">Notes!$N$4633</definedName>
    <definedName name="CheckB6600x" localSheetId="21" hidden="1">Notes!$N$4652</definedName>
    <definedName name="CheckB6601a" localSheetId="21" hidden="1">Notes!$N$4663</definedName>
    <definedName name="CheckB6601x" localSheetId="21" hidden="1">Notes!$N$4683</definedName>
    <definedName name="CheckB6602a" localSheetId="21" hidden="1">Notes!$N$4694</definedName>
    <definedName name="CheckB6602x" localSheetId="21" hidden="1">Notes!$N$4714</definedName>
    <definedName name="CheckB6603a" localSheetId="21" hidden="1">Notes!$N$4750</definedName>
    <definedName name="CheckB6603x" localSheetId="21" hidden="1">Notes!$N$4765</definedName>
    <definedName name="CheckB6606a" localSheetId="21" hidden="1">Notes!$N$4725</definedName>
    <definedName name="CheckB6606x" localSheetId="21" hidden="1">Notes!$N$4736</definedName>
    <definedName name="CheckB6671a" localSheetId="21" hidden="1">Notes!$N$4876</definedName>
    <definedName name="CheckB6672a" localSheetId="21" hidden="1">Notes!$N$4862</definedName>
    <definedName name="CheckB6710a" localSheetId="21" hidden="1">Notes!$N$4913</definedName>
    <definedName name="CheckB6710b" localSheetId="21" hidden="1">Notes!$N$4926</definedName>
    <definedName name="CheckB6711a" localSheetId="21" hidden="1">Notes!$N$4944</definedName>
    <definedName name="CheckB6791a" localSheetId="21" hidden="1">Notes!$N$4957</definedName>
    <definedName name="CheckB6791b" localSheetId="21" hidden="1">Notes!$N$4965</definedName>
    <definedName name="CheckB6799" localSheetId="18" hidden="1">IncomeStatement!$F$43</definedName>
    <definedName name="CheckB6799" localSheetId="9" hidden="1">IS!$F$30</definedName>
    <definedName name="CheckB6799" localSheetId="5" hidden="1">preIS!$F$45</definedName>
    <definedName name="CheckB6811" localSheetId="5" hidden="1">preIS!$F$50</definedName>
    <definedName name="CheckB6812" localSheetId="5" hidden="1">preIS!$F$51</definedName>
    <definedName name="CheckB6829" localSheetId="18" hidden="1">IncomeStatement!$F$46</definedName>
    <definedName name="CheckB6829" localSheetId="9" hidden="1">IS!$F$33</definedName>
    <definedName name="CheckB6829" localSheetId="5" hidden="1">preIS!$F$52</definedName>
    <definedName name="CheckB6839" localSheetId="18" hidden="1">IncomeStatement!$F$65</definedName>
    <definedName name="CheckB6839" localSheetId="9" hidden="1">IS!$F$52</definedName>
    <definedName name="CheckB6839" localSheetId="5" hidden="1">preIS!$F$74</definedName>
    <definedName name="CheckB6841" localSheetId="5" hidden="1">preIS!$F$75</definedName>
    <definedName name="CheckB6842" localSheetId="5" hidden="1">preIS!$F$76</definedName>
    <definedName name="CheckB7001x" localSheetId="21" hidden="1">Notes!$N$5868</definedName>
    <definedName name="CheckB7046a" localSheetId="21" hidden="1">Notes!$N$5020</definedName>
    <definedName name="CheckB7046x" localSheetId="21" hidden="1">Notes!$N$5879</definedName>
    <definedName name="CheckB7051x" localSheetId="21" hidden="1">Notes!$N$5890</definedName>
    <definedName name="CheckB7061x" localSheetId="21" hidden="1">Notes!$N$5901</definedName>
    <definedName name="CheckB7071x" localSheetId="21" hidden="1">Notes!$N$5912</definedName>
    <definedName name="CheckB7096a" localSheetId="21" hidden="1">Notes!$N$5036</definedName>
    <definedName name="CheckB7096x" localSheetId="21" hidden="1">Notes!$N$5923</definedName>
    <definedName name="CheckB7099" localSheetId="19" hidden="1">CashFlow!$F$33</definedName>
    <definedName name="CheckB7099" localSheetId="10" hidden="1">CF!$F$17</definedName>
    <definedName name="CheckB7099" localSheetId="6" hidden="1">preCF!$F$35</definedName>
    <definedName name="CheckB7101x" localSheetId="21" hidden="1">Notes!$N$5934</definedName>
    <definedName name="CheckB7105x" localSheetId="21" hidden="1">Notes!$N$5945</definedName>
    <definedName name="CheckB7111x" localSheetId="21" hidden="1">Notes!$N$5956</definedName>
    <definedName name="CheckB7146a" localSheetId="21" hidden="1">Notes!$N$5052</definedName>
    <definedName name="CheckB7151x" localSheetId="21" hidden="1">Notes!$N$5975</definedName>
    <definedName name="CheckB7161x" localSheetId="21" hidden="1">Notes!$N$5996</definedName>
    <definedName name="CheckB7196a" localSheetId="21" hidden="1">Notes!$N$5063</definedName>
    <definedName name="CheckB7211x" localSheetId="21" hidden="1">Notes!$N$6007</definedName>
    <definedName name="CheckB7246a" localSheetId="21" hidden="1">Notes!$N$5074</definedName>
    <definedName name="CheckB7251x" localSheetId="21" hidden="1">Notes!$N$6019</definedName>
    <definedName name="CheckB7261x" localSheetId="21" hidden="1">Notes!$N$6031</definedName>
    <definedName name="CheckB7296a" localSheetId="21" hidden="1">Notes!$N$5085</definedName>
    <definedName name="CheckB7348" localSheetId="19" hidden="1">CashFlow!$F$59</definedName>
    <definedName name="CheckB7348" localSheetId="10" hidden="1">CF!$F$42</definedName>
    <definedName name="CheckB7348" localSheetId="6" hidden="1">preCF!$F$63</definedName>
    <definedName name="CheckB7349" localSheetId="19" hidden="1">CashFlow!$F$60</definedName>
    <definedName name="CheckB7349" localSheetId="10" hidden="1">CF!$F$43</definedName>
    <definedName name="CheckB7349" localSheetId="6" hidden="1">preCF!$F$64</definedName>
    <definedName name="CheckB7399" localSheetId="19" hidden="1">CashFlow!$F$61</definedName>
    <definedName name="CheckB7399" localSheetId="10" hidden="1">CF!$F$44</definedName>
    <definedName name="CheckB7399" localSheetId="6" hidden="1">preCF!$F$65</definedName>
    <definedName name="CheckB7500a" localSheetId="21" hidden="1">Notes!$N$5096</definedName>
    <definedName name="CheckB7500b" localSheetId="21" hidden="1">Notes!$N$5119</definedName>
    <definedName name="CheckB7500c" localSheetId="21" hidden="1">Notes!$N$5127</definedName>
    <definedName name="CheckB7500e" localSheetId="21" hidden="1">Notes!$N$5156</definedName>
    <definedName name="CheckB7500f" localSheetId="21" hidden="1">Notes!$N$5172</definedName>
    <definedName name="CheckB7500g" localSheetId="21" hidden="1">Notes!$N$5136</definedName>
    <definedName name="CheckB7500h" localSheetId="21" hidden="1">Notes!$N$5146</definedName>
    <definedName name="CheckB7502" localSheetId="19" hidden="1">CashFlow!$F$68</definedName>
    <definedName name="CheckB7502" localSheetId="10" hidden="1">CF!$F$51</definedName>
    <definedName name="CheckB7502" localSheetId="6" hidden="1">preCF!$F$71</definedName>
    <definedName name="CheckB7503a" localSheetId="21" hidden="1">Notes!$N$6054</definedName>
    <definedName name="CheckB7505a" localSheetId="21" hidden="1">Notes!$N$6063</definedName>
    <definedName name="CheckB7506a" localSheetId="21" hidden="1">Notes!$N$6074</definedName>
    <definedName name="CheckB7507a" localSheetId="21" hidden="1">Notes!$N$6083</definedName>
    <definedName name="CheckB7508a" localSheetId="21" hidden="1">Notes!$N$6092</definedName>
    <definedName name="CheckB7509a" localSheetId="21" hidden="1">Notes!$N$6106</definedName>
    <definedName name="CheckB7510a" localSheetId="21" hidden="1">Notes!$N$6116</definedName>
    <definedName name="CheckB7511a" localSheetId="21" hidden="1">Notes!$N$6125</definedName>
    <definedName name="CheckB7512a" localSheetId="21" hidden="1">Notes!$N$6136</definedName>
    <definedName name="CheckB7515a" localSheetId="21" hidden="1">Notes!$N$6145</definedName>
    <definedName name="CheckB7516a" localSheetId="21" hidden="1">Notes!$N$6154</definedName>
    <definedName name="CheckB7517a" localSheetId="21" hidden="1">Notes!$N$6163</definedName>
    <definedName name="CheckB7518a" localSheetId="21" hidden="1">Notes!$N$6185</definedName>
    <definedName name="CheckB7519a" localSheetId="21" hidden="1">Notes!$N$6212</definedName>
    <definedName name="CheckB7523a" localSheetId="21" hidden="1">Notes!$N$6241</definedName>
    <definedName name="CheckB7525" localSheetId="19" hidden="1">CashFlow!$F$85</definedName>
    <definedName name="CheckB7525" localSheetId="10" hidden="1">CF!$F$68</definedName>
    <definedName name="CheckB7525" localSheetId="6" hidden="1">preCF!$F$88</definedName>
    <definedName name="CheckB7539" localSheetId="19" hidden="1">CashFlow!$F$95</definedName>
    <definedName name="CheckB7539" localSheetId="10" hidden="1">CF!$F$78</definedName>
    <definedName name="CheckB7539" localSheetId="6" hidden="1">preCF!$F$98</definedName>
    <definedName name="CheckB8001" localSheetId="11" hidden="1">CE!$AC$9</definedName>
    <definedName name="CheckB8001" localSheetId="20" hidden="1">OwnersEquity!$AC$9</definedName>
    <definedName name="CheckB8001" localSheetId="7" hidden="1">preCE!$AE$9</definedName>
    <definedName name="CheckB8040" localSheetId="11" hidden="1">CE!$AC$15</definedName>
    <definedName name="CheckB8040" localSheetId="20" hidden="1">OwnersEquity!$AC$15</definedName>
    <definedName name="CheckB8040" localSheetId="7" hidden="1">preCE!$AE$18</definedName>
    <definedName name="CheckB8099" localSheetId="11" hidden="1">CE!$AC$36</definedName>
    <definedName name="CheckB8099" localSheetId="20" hidden="1">OwnersEquity!$AC$37</definedName>
    <definedName name="CheckB8099" localSheetId="7" hidden="1">preCE!$AE$40</definedName>
    <definedName name="CheckB8101" localSheetId="11" hidden="1">CE!$Q$9</definedName>
    <definedName name="CheckB8101" localSheetId="20" hidden="1">OwnersEquity!$Q$9</definedName>
    <definedName name="CheckB8101" localSheetId="7" hidden="1">preCE!$R$9</definedName>
    <definedName name="CheckB8199" localSheetId="11" hidden="1">CE!$Q$36</definedName>
    <definedName name="CheckB8199" localSheetId="20" hidden="1">OwnersEquity!$Q$37</definedName>
    <definedName name="CheckB8199" localSheetId="7" hidden="1">preCE!$R$40</definedName>
    <definedName name="CheckB8201" localSheetId="11" hidden="1">CE!$U$9</definedName>
    <definedName name="CheckB8201" localSheetId="20" hidden="1">OwnersEquity!$U$9</definedName>
    <definedName name="CheckB8201" localSheetId="7" hidden="1">preCE!$V$9</definedName>
    <definedName name="CheckB8299" localSheetId="11" hidden="1">CE!$U$36</definedName>
    <definedName name="CheckB8299" localSheetId="20" hidden="1">OwnersEquity!$U$37</definedName>
    <definedName name="CheckB8299" localSheetId="7" hidden="1">preCE!$V$40</definedName>
    <definedName name="CheckB8301" localSheetId="11" hidden="1">CE!$V$9</definedName>
    <definedName name="CheckB8301" localSheetId="20" hidden="1">OwnersEquity!$V$9</definedName>
    <definedName name="CheckB8301" localSheetId="7" hidden="1">preCE!$W$9</definedName>
    <definedName name="CheckB8399" localSheetId="11" hidden="1">CE!$V$36</definedName>
    <definedName name="CheckB8399" localSheetId="20" hidden="1">OwnersEquity!$V$37</definedName>
    <definedName name="CheckB8399" localSheetId="7" hidden="1">preCE!$W$40</definedName>
    <definedName name="CheckB8401" localSheetId="11" hidden="1">CE!$X$9</definedName>
    <definedName name="CheckB8401" localSheetId="20" hidden="1">OwnersEquity!$X$9</definedName>
    <definedName name="CheckB8401" localSheetId="7" hidden="1">preCE!$Y$9</definedName>
    <definedName name="CheckB8499" localSheetId="11" hidden="1">CE!$X$36</definedName>
    <definedName name="CheckB8499" localSheetId="20" hidden="1">OwnersEquity!$X$37</definedName>
    <definedName name="CheckB8499" localSheetId="7" hidden="1">preCE!$Y$40</definedName>
    <definedName name="CheckB8501" localSheetId="11" hidden="1">CE!$Y$9</definedName>
    <definedName name="CheckB8501" localSheetId="20" hidden="1">OwnersEquity!$Y$9</definedName>
    <definedName name="CheckB8501" localSheetId="7" hidden="1">preCE!$Z$9</definedName>
    <definedName name="CheckB8599" localSheetId="11" hidden="1">CE!$Y$36</definedName>
    <definedName name="CheckB8599" localSheetId="20" hidden="1">OwnersEquity!$Y$37</definedName>
    <definedName name="CheckB8599" localSheetId="7" hidden="1">preCE!$Z$40</definedName>
    <definedName name="CheckB8601" localSheetId="20" hidden="1">OwnersEquity!$Z$9</definedName>
    <definedName name="CheckB8601" localSheetId="7" hidden="1">preCE!$AA$9</definedName>
    <definedName name="CheckB8699" localSheetId="11" hidden="1">CE!$Z$36</definedName>
    <definedName name="CheckB8699" localSheetId="20" hidden="1">OwnersEquity!$Z$37</definedName>
    <definedName name="CheckB8699" localSheetId="7" hidden="1">preCE!$AA$40</definedName>
    <definedName name="CheckB8701" localSheetId="11" hidden="1">CE!$AA$9</definedName>
    <definedName name="CheckB8701" localSheetId="20" hidden="1">OwnersEquity!$AA$9</definedName>
    <definedName name="CheckB8701" localSheetId="7" hidden="1">preCE!$AB$9</definedName>
    <definedName name="CheckB8740" localSheetId="11" hidden="1">CE!$AA$15</definedName>
    <definedName name="CheckB8740" localSheetId="20" hidden="1">OwnersEquity!$AA$15</definedName>
    <definedName name="CheckB8740" localSheetId="7" hidden="1">preCE!$AB$18</definedName>
    <definedName name="CheckB8799" localSheetId="11" hidden="1">CE!$AA$36</definedName>
    <definedName name="CheckB8799" localSheetId="20" hidden="1">OwnersEquity!$AA$37</definedName>
    <definedName name="CheckB8799" localSheetId="7" hidden="1">preCE!$AB$40</definedName>
    <definedName name="CheckB8801" localSheetId="11" hidden="1">CE!$AB$9</definedName>
    <definedName name="CheckB8801" localSheetId="20" hidden="1">OwnersEquity!$AB$9</definedName>
    <definedName name="CheckB8801" localSheetId="7" hidden="1">preCE!$AC$9</definedName>
    <definedName name="CheckB8899" localSheetId="11" hidden="1">CE!$AB$36</definedName>
    <definedName name="CheckB8899" localSheetId="20" hidden="1">OwnersEquity!$AB$37</definedName>
    <definedName name="CheckB8899" localSheetId="7" hidden="1">preCE!$AC$40</definedName>
    <definedName name="CheckB8901" localSheetId="7" hidden="1">preCE!$AD$9</definedName>
    <definedName name="CheckB8940" localSheetId="7" hidden="1">preCE!$AD$18</definedName>
    <definedName name="CheckB8999" localSheetId="7" hidden="1">preCE!$AD$40</definedName>
    <definedName name="CheckB8a01" localSheetId="7" hidden="1">preCE!$S$9</definedName>
    <definedName name="CheckB8b01" localSheetId="11" hidden="1">CE!$R$9</definedName>
    <definedName name="CheckB8b01" localSheetId="20" hidden="1">OwnersEquity!$R$9</definedName>
    <definedName name="CheckB8b99" localSheetId="11" hidden="1">CE!$R$36</definedName>
    <definedName name="CheckB8b99" localSheetId="20" hidden="1">OwnersEquity!$R$37</definedName>
    <definedName name="CheckB8b99" localSheetId="7" hidden="1">preCE!$S$40</definedName>
    <definedName name="CheckB8c01" localSheetId="11" hidden="1">CE!$S$9</definedName>
    <definedName name="CheckB8c01" localSheetId="20" hidden="1">OwnersEquity!$S$9</definedName>
    <definedName name="CheckB8c01" localSheetId="7" hidden="1">preCE!$T$9</definedName>
    <definedName name="CheckB8c99" localSheetId="11" hidden="1">CE!$S$36</definedName>
    <definedName name="CheckB8c99" localSheetId="20" hidden="1">OwnersEquity!$S$37</definedName>
    <definedName name="CheckB8c99" localSheetId="7" hidden="1">preCE!$T$40</definedName>
    <definedName name="CheckB8d01" localSheetId="11" hidden="1">CE!$T$9</definedName>
    <definedName name="CheckB8d01" localSheetId="20" hidden="1">OwnersEquity!$T$9</definedName>
    <definedName name="CheckB8d01" localSheetId="7" hidden="1">preCE!$U$9</definedName>
    <definedName name="CheckB8d99" localSheetId="11" hidden="1">CE!$T$36</definedName>
    <definedName name="CheckB8d99" localSheetId="20" hidden="1">OwnersEquity!$T$37</definedName>
    <definedName name="CheckB8d99" localSheetId="7" hidden="1">preCE!$U$40</definedName>
    <definedName name="CheckB8g01" localSheetId="11" hidden="1">CE!$W$9</definedName>
    <definedName name="CheckB8g01" localSheetId="20" hidden="1">OwnersEquity!$W$9</definedName>
    <definedName name="CheckB8g01" localSheetId="7" hidden="1">preCE!$X$9</definedName>
    <definedName name="CheckB8g40" localSheetId="11" hidden="1">CE!$W$15</definedName>
    <definedName name="CheckB8g40" localSheetId="20" hidden="1">OwnersEquity!$W$15</definedName>
    <definedName name="CheckB8g40" localSheetId="7" hidden="1">preCE!$X$18</definedName>
    <definedName name="CheckB8g99" localSheetId="11" hidden="1">CE!$W$36</definedName>
    <definedName name="CheckB8g99" localSheetId="20" hidden="1">OwnersEquity!$W$37</definedName>
    <definedName name="CheckB8g99" localSheetId="7" hidden="1">preCE!$X$40</definedName>
    <definedName name="CheckB9120c" localSheetId="21" hidden="1">Notes!$N$5647</definedName>
    <definedName name="CheckB9120d" localSheetId="21" hidden="1">Notes!$N$5657</definedName>
    <definedName name="CheckB9120e" localSheetId="21" hidden="1">Notes!$N$5667</definedName>
    <definedName name="CheckB9120f" localSheetId="21" hidden="1">Notes!$N$5677</definedName>
    <definedName name="CheckB9120g" localSheetId="21" hidden="1">Notes!$N$5687</definedName>
    <definedName name="CheckB9120h" localSheetId="21" hidden="1">Notes!$N$5697</definedName>
    <definedName name="CheckB9120i" localSheetId="21" hidden="1">Notes!$N$5707</definedName>
    <definedName name="CheckB9120j" localSheetId="21" hidden="1">Notes!$N$5717</definedName>
    <definedName name="CheckB9120k" localSheetId="21" hidden="1">Notes!$N$5727</definedName>
    <definedName name="CheckB9120l" localSheetId="21" hidden="1">Notes!$N$5737</definedName>
    <definedName name="CheckB9120m" localSheetId="21" hidden="1">Notes!$N$5621</definedName>
    <definedName name="CheckB9120n" localSheetId="21" hidden="1">Notes!$N$5634</definedName>
    <definedName name="CheckB9120o" localSheetId="21" hidden="1">Notes!$N$5745</definedName>
    <definedName name="CheckB9120p" localSheetId="21" hidden="1">Notes!$N$5760</definedName>
    <definedName name="CheckB9314a" localSheetId="21" hidden="1">Notes!$N$5183</definedName>
    <definedName name="CheckB9325g" localSheetId="21" hidden="1">Notes!$N$5319</definedName>
    <definedName name="CheckB9325h" localSheetId="21" hidden="1">Notes!$N$5336</definedName>
    <definedName name="CheckB9325i" localSheetId="21" hidden="1">Notes!$N$5353</definedName>
    <definedName name="CheckB9325j" localSheetId="21" hidden="1">Notes!$N$5369</definedName>
    <definedName name="CheckB9325k" localSheetId="21" hidden="1">Notes!$N$5385</definedName>
    <definedName name="CheckB9325m" localSheetId="21" hidden="1">Notes!$N$5419</definedName>
    <definedName name="CheckB9331a" localSheetId="21" hidden="1">Notes!$N$5454</definedName>
    <definedName name="CheckB9331b" localSheetId="21" hidden="1">Notes!$N$5601</definedName>
    <definedName name="CheckB9331g" localSheetId="21" hidden="1">Notes!$N$5575</definedName>
    <definedName name="CheckB9331i" localSheetId="21" hidden="1">Notes!$N$5548</definedName>
    <definedName name="CheckB9331j" localSheetId="21" hidden="1">Notes!$N$5557</definedName>
    <definedName name="CheckB9331k" localSheetId="21" hidden="1">Notes!$N$5500</definedName>
    <definedName name="CheckB9367a" localSheetId="21" hidden="1">Notes!$N$5774</definedName>
    <definedName name="CheckB9367b" localSheetId="21" hidden="1">Notes!$N$5795</definedName>
    <definedName name="CheckB9371h" localSheetId="21" hidden="1">Notes!$N$5275</definedName>
    <definedName name="CheckB9371i" localSheetId="21" hidden="1">Notes!$N$5290</definedName>
    <definedName name="CheckB9371j" localSheetId="21" hidden="1">Notes!$N$5305</definedName>
    <definedName name="CheckB9601a" localSheetId="21" hidden="1">Notes!$N$5804</definedName>
    <definedName name="CheckB9601b" localSheetId="21" hidden="1">Notes!$N$5846</definedName>
    <definedName name="CheckB9601c" localSheetId="21" hidden="1">Notes!$N$5836</definedName>
    <definedName name="CheckB9601d" localSheetId="21" hidden="1">Notes!$N$5856</definedName>
    <definedName name="CheckB9690a" localSheetId="21" hidden="1">Notes!$N$4984</definedName>
    <definedName name="CheckB9690b" localSheetId="21" hidden="1">Notes!$N$4998</definedName>
    <definedName name="CheckB9690c" localSheetId="21" hidden="1">Notes!$N$5008</definedName>
    <definedName name="Database_Notes" localSheetId="24" hidden="1">STATDATA!$R$1:$AB$1</definedName>
    <definedName name="Database_Parameters" localSheetId="24" hidden="1">STATDATA!$L$1:$M$30</definedName>
    <definedName name="Database_Trialbal" localSheetId="24" hidden="1">STATDATA!$A$1:$I$1</definedName>
    <definedName name="EAS_Range_AccountDrCr" localSheetId="33">'9000A错报程序表'!$C$1</definedName>
    <definedName name="EAS_Range_AccountDrCr" localSheetId="36">'9000B对错报性质的评价'!$C$1</definedName>
    <definedName name="EAS_Range_AccountDrCr" localSheetId="37">'9000C错报评价'!$C$1</definedName>
    <definedName name="EAS_Range_AccountDrCr" localSheetId="38">'9000D对错报的沟通'!$C$1</definedName>
    <definedName name="EAS_Range_AccountDrCr" localSheetId="34">'9002B未更正错报（不包括披露错报）汇总表'!$C$1</definedName>
    <definedName name="EAS_Range_AccountDrCr" localSheetId="35">'9002C未更正披露错报汇总表'!$C$1</definedName>
    <definedName name="EAS_Range_AccountName" localSheetId="33">'9000A错报程序表'!$A$4</definedName>
    <definedName name="EAS_Range_AccountName" localSheetId="36">'9000B对错报性质的评价'!$A$4</definedName>
    <definedName name="EAS_Range_AccountName" localSheetId="37">'9000C错报评价'!$A$4</definedName>
    <definedName name="EAS_Range_AccountName" localSheetId="38">'9000D对错报的沟通'!$A$4</definedName>
    <definedName name="EAS_Range_AccountName" localSheetId="34">'9002B未更正错报（不包括披露错报）汇总表'!$A$4</definedName>
    <definedName name="EAS_Range_AccountName" localSheetId="35">'9002C未更正披露错报汇总表'!$A$4</definedName>
    <definedName name="EAS_Range_AuditProc" localSheetId="33">'9000A错报程序表'!$A$8:$K$26</definedName>
    <definedName name="EAS_Range_ClientName" localSheetId="33">'9000A错报程序表'!$B$3</definedName>
    <definedName name="EAS_Range_ClientName" localSheetId="36">'9000B对错报性质的评价'!$B$3</definedName>
    <definedName name="EAS_Range_ClientName" localSheetId="37">'9000C错报评价'!$B$3</definedName>
    <definedName name="EAS_Range_ClientName" localSheetId="38">'9000D对错报的沟通'!$B$3</definedName>
    <definedName name="EAS_Range_ClientName" localSheetId="34">'9002B未更正错报（不包括披露错报）汇总表'!$B$3</definedName>
    <definedName name="EAS_Range_ClientName" localSheetId="35">'9002C未更正披露错报汇总表'!$B$3</definedName>
    <definedName name="EAS_Range_PeriodEnd" localSheetId="33">'9000A错报程序表'!$B$5</definedName>
    <definedName name="EAS_Range_PeriodEnd" localSheetId="36">'9000B对错报性质的评价'!$B$5</definedName>
    <definedName name="EAS_Range_PeriodEnd" localSheetId="37">'9000C错报评价'!$B$5</definedName>
    <definedName name="EAS_Range_PeriodEnd" localSheetId="38">'9000D对错报的沟通'!$B$5</definedName>
    <definedName name="EAS_Range_PeriodEnd" localSheetId="34">'9002B未更正错报（不包括披露错报）汇总表'!$B$5</definedName>
    <definedName name="EAS_Range_PeriodEnd" localSheetId="35">'9002C未更正披露错报汇总表'!$B$5</definedName>
    <definedName name="EAS_Range_PreparedDate" localSheetId="33">'9000A错报程序表'!$A$2</definedName>
    <definedName name="EAS_Range_PreparedDate" localSheetId="36">'9000B对错报性质的评价'!$A$2</definedName>
    <definedName name="EAS_Range_PreparedDate" localSheetId="37">'9000C错报评价'!$A$2</definedName>
    <definedName name="EAS_Range_PreparedDate" localSheetId="38">'9000D对错报的沟通'!$A$2</definedName>
    <definedName name="EAS_Range_PreparedDate" localSheetId="34">'9002B未更正错报（不包括披露错报）汇总表'!$A$2</definedName>
    <definedName name="EAS_Range_PreparedDate" localSheetId="35">'9002C未更正披露错报汇总表'!$A$2</definedName>
    <definedName name="EAS_Range_Preparer" localSheetId="33">'9000A错报程序表'!$D$1</definedName>
    <definedName name="EAS_Range_Preparer" localSheetId="36">'9000B对错报性质的评价'!$D$1</definedName>
    <definedName name="EAS_Range_Preparer" localSheetId="37">'9000C错报评价'!$D$1</definedName>
    <definedName name="EAS_Range_Preparer" localSheetId="38">'9000D对错报的沟通'!$D$1</definedName>
    <definedName name="EAS_Range_Preparer" localSheetId="34">'9002B未更正错报（不包括披露错报）汇总表'!$D$1</definedName>
    <definedName name="EAS_Range_Preparer" localSheetId="35">'9002C未更正披露错报汇总表'!$D$1</definedName>
    <definedName name="EAS_Range_ReviewedDate" localSheetId="33">'9000A错报程序表'!$A$6</definedName>
    <definedName name="EAS_Range_ReviewedDate" localSheetId="36">'9000B对错报性质的评价'!$A$6</definedName>
    <definedName name="EAS_Range_ReviewedDate" localSheetId="37">'9000C错报评价'!$A$6</definedName>
    <definedName name="EAS_Range_ReviewedDate" localSheetId="38">'9000D对错报的沟通'!$A$6</definedName>
    <definedName name="EAS_Range_ReviewedDate" localSheetId="34">'9002B未更正错报（不包括披露错报）汇总表'!$A$6</definedName>
    <definedName name="EAS_Range_ReviewedDate" localSheetId="35">'9002C未更正披露错报汇总表'!$A$6</definedName>
    <definedName name="EAS_Range_Reviewer" localSheetId="33">'9000A错报程序表'!$A$5</definedName>
    <definedName name="EAS_Range_Reviewer" localSheetId="36">'9000B对错报性质的评价'!$A$5</definedName>
    <definedName name="EAS_Range_Reviewer" localSheetId="37">'9000C错报评价'!$A$5</definedName>
    <definedName name="EAS_Range_Reviewer" localSheetId="38">'9000D对错报的沟通'!$A$5</definedName>
    <definedName name="EAS_Range_Reviewer" localSheetId="34">'9002B未更正错报（不包括披露错报）汇总表'!$A$5</definedName>
    <definedName name="EAS_Range_Reviewer" localSheetId="35">'9002C未更正披露错报汇总表'!$A$5</definedName>
    <definedName name="EAS_Range_Subject" localSheetId="33">'9000A错报程序表'!$B$4</definedName>
    <definedName name="EAS_Range_Subject" localSheetId="36">'9000B对错报性质的评价'!$B$4</definedName>
    <definedName name="EAS_Range_Subject" localSheetId="37">'9000C错报评价'!$B$4</definedName>
    <definedName name="EAS_Range_Subject" localSheetId="38">'9000D对错报的沟通'!$B$4</definedName>
    <definedName name="EAS_Range_Subject" localSheetId="34">'9002B未更正错报（不包括披露错报）汇总表'!$B$4</definedName>
    <definedName name="EAS_Range_Subject" localSheetId="35">'9002C未更正披露错报汇总表'!$B$4</definedName>
    <definedName name="EAS_Range_TemplID" localSheetId="33">'9000A错报程序表'!$A$3</definedName>
    <definedName name="EAS_Range_TemplID" localSheetId="36">'9000B对错报性质的评价'!$A$3</definedName>
    <definedName name="EAS_Range_TemplID" localSheetId="37">'9000C错报评价'!$A$3</definedName>
    <definedName name="EAS_Range_TemplID" localSheetId="38">'9000D对错报的沟通'!$A$3</definedName>
    <definedName name="EAS_Range_TemplID" localSheetId="34">'9002B未更正错报（不包括披露错报）汇总表'!$A$3</definedName>
    <definedName name="EAS_Range_TemplID" localSheetId="35">'9002C未更正披露错报汇总表'!$A$3</definedName>
    <definedName name="EAS_Range_WPReference" localSheetId="33">'9000A错报程序表'!$B$1</definedName>
    <definedName name="EAS_Range_WPReference" localSheetId="36">'9000B对错报性质的评价'!$B$1</definedName>
    <definedName name="EAS_Range_WPReference" localSheetId="37">'9000C错报评价'!$B$1</definedName>
    <definedName name="EAS_Range_WPReference" localSheetId="38">'9000D对错报的沟通'!$B$1</definedName>
    <definedName name="EAS_Range_WPReference" localSheetId="34">'9002B未更正错报（不包括披露错报）汇总表'!$B$1</definedName>
    <definedName name="EAS_Range_WPReference" localSheetId="35">'9002C未更正披露错报汇总表'!$B$1</definedName>
    <definedName name="EAS_SheetType" localSheetId="33">"FSZ"</definedName>
    <definedName name="EAS_SheetType" localSheetId="36">"FSZ"</definedName>
    <definedName name="EAS_SheetType" localSheetId="37">"FSZ"</definedName>
    <definedName name="EAS_SheetType" localSheetId="38">"FSZ"</definedName>
    <definedName name="EAS_SheetType" localSheetId="34">"FSZ"</definedName>
    <definedName name="EAS_SheetType" localSheetId="35">"FSZ"</definedName>
    <definedName name="EAS_TemplVer" localSheetId="33" hidden="1">"19.09"</definedName>
    <definedName name="EAS_TemplVer" localSheetId="36" hidden="1">"19.09"</definedName>
    <definedName name="EAS_TemplVer" localSheetId="37" hidden="1">"19.09"</definedName>
    <definedName name="EAS_TemplVer" localSheetId="38" hidden="1">"19.09"</definedName>
    <definedName name="EAS_TemplVer" localSheetId="34" hidden="1">"19.09"</definedName>
    <definedName name="EAS_TemplVer" localSheetId="35" hidden="1">"19.09"</definedName>
    <definedName name="NOTE_1015a" localSheetId="21" hidden="1">Notes!$E$21:$M$58</definedName>
    <definedName name="NOTE_1015b" localSheetId="21" hidden="1">Notes!$E$11:$I$19</definedName>
    <definedName name="NOTE_1015c" localSheetId="21" hidden="1">Notes!$E$60:$I$69</definedName>
    <definedName name="NOTE_1101a" localSheetId="21" hidden="1">Notes!$E$91:$I$107</definedName>
    <definedName name="NOTE_1102a" localSheetId="21" hidden="1">Notes!$E$72:$I$88</definedName>
    <definedName name="NOTE_1115a" localSheetId="21" hidden="1">Notes!$E$110:$I$118</definedName>
    <definedName name="NOTE_1121a" localSheetId="21" hidden="1">Notes!$E$131:$I$137</definedName>
    <definedName name="NOTE_1121b" localSheetId="21" hidden="1">Notes!$E$139:$H$145</definedName>
    <definedName name="NOTE_1121c" localSheetId="21" hidden="1">Notes!$E$161:$H$169</definedName>
    <definedName name="NOTE_1121d" localSheetId="21" hidden="1">Notes!$E$147:$I$159</definedName>
    <definedName name="NOTE_1121e" localSheetId="21" hidden="1">Notes!$E$121:$M$129</definedName>
    <definedName name="NOTE_1121f" localSheetId="21" hidden="1">Notes!$E$171:$L$184</definedName>
    <definedName name="NOTE_1121fCHKH01" localSheetId="21" hidden="1">Notes!$G$185:$M$191</definedName>
    <definedName name="NOTE_1121g" localSheetId="21" hidden="1">Notes!$E$193:$K$206</definedName>
    <definedName name="NOTE_1121gCHKH01" localSheetId="21" hidden="1">Notes!$G$207:$L$213</definedName>
    <definedName name="NOTE_1121h" localSheetId="21" hidden="1">Notes!$E$215:$J$228</definedName>
    <definedName name="NOTE_1121hCHKH01" localSheetId="21" hidden="1">Notes!$G$229:$K$235</definedName>
    <definedName name="NOTE_1121i" localSheetId="21" hidden="1">Notes!$E$252:$N$265</definedName>
    <definedName name="NOTE_1121iCHKH01" localSheetId="21" hidden="1">Notes!$G$266:$O$272</definedName>
    <definedName name="NOTE_1121j" localSheetId="21" hidden="1">Notes!$E$274:$I$285</definedName>
    <definedName name="NOTE_1121k" localSheetId="21" hidden="1">Notes!$E$287:$H$292</definedName>
    <definedName name="NOTE_1121l" localSheetId="21" hidden="1">Notes!$E$294:$L$305</definedName>
    <definedName name="NOTE_1121m" localSheetId="21" hidden="1">Notes!$E$307:$J$315</definedName>
    <definedName name="NOTE_1121n" localSheetId="21" hidden="1">Notes!$E$237:$J$250</definedName>
    <definedName name="NOTE_112202" localSheetId="21" hidden="1">Notes!$E$416:$J$429</definedName>
    <definedName name="NOTE_1122a" localSheetId="21" hidden="1">Notes!$E$486:$L$499</definedName>
    <definedName name="NOTE_1122b" localSheetId="21" hidden="1">Notes!$E$501:$L$514</definedName>
    <definedName name="NOTE_1122c" localSheetId="21" hidden="1">Notes!$E$669:$J$677</definedName>
    <definedName name="NOTE_1122d" localSheetId="21" hidden="1">Notes!$E$536:$J$551</definedName>
    <definedName name="NOTE_1122dCHKH01" localSheetId="21" hidden="1">Notes!$G$552:$K$558</definedName>
    <definedName name="NOTE_1122e" localSheetId="21" hidden="1">Notes!$E$560:$K$568</definedName>
    <definedName name="NOTE_1122f" localSheetId="21" hidden="1">Notes!$E$570:$L$578</definedName>
    <definedName name="NOTE_1122g" localSheetId="21" hidden="1">Notes!$E$516:$K$527</definedName>
    <definedName name="NOTE_1122gCHKH01" localSheetId="21" hidden="1">Notes!$G$528:$L$534</definedName>
    <definedName name="NOTE_1122h" localSheetId="21" hidden="1">Notes!$E$602:$I$610</definedName>
    <definedName name="NOTE_1122i" localSheetId="21" hidden="1">Notes!$E$619:$L$628</definedName>
    <definedName name="NOTE_1122j" localSheetId="21" hidden="1">Notes!$E$318:$I$333</definedName>
    <definedName name="NOTE_1122k" localSheetId="21" hidden="1">Notes!$E$630:$J$647</definedName>
    <definedName name="NOTE_1122l" localSheetId="21" hidden="1">Notes!$E$679:$K$687</definedName>
    <definedName name="NOTE_1122m" localSheetId="21" hidden="1">Notes!$E$649:$J$657</definedName>
    <definedName name="NOTE_1122n" localSheetId="21" hidden="1">Notes!$E$659:$J$667</definedName>
    <definedName name="NOTE_1122p" localSheetId="21" hidden="1">Notes!$E$335:$L$348</definedName>
    <definedName name="NOTE_1122pCHKH01" localSheetId="21" hidden="1">Notes!$G$349:$M$355</definedName>
    <definedName name="NOTE_1122q" localSheetId="21" hidden="1">Notes!$E$431:$L$440</definedName>
    <definedName name="NOTE_1122qCHKH01" localSheetId="21" hidden="1">Notes!$G$441:$M$447</definedName>
    <definedName name="NOTE_1122r" localSheetId="21" hidden="1">Notes!$E$357:$K$370</definedName>
    <definedName name="NOTE_1122rCHKH01" localSheetId="21" hidden="1">Notes!$G$371:$L$377</definedName>
    <definedName name="NOTE_1122s" localSheetId="21" hidden="1">Notes!$E$379:$J$392</definedName>
    <definedName name="NOTE_1122sCHKH01" localSheetId="21" hidden="1">Notes!$G$393:$K$399</definedName>
    <definedName name="NOTE_1122t" localSheetId="21" hidden="1">Notes!$E$401:$J$414</definedName>
    <definedName name="NOTE_1122u" localSheetId="21" hidden="1">Notes!$E$580:$N$593</definedName>
    <definedName name="NOTE_1122uCHKH01" localSheetId="21" hidden="1">Notes!$G$594:$O$600</definedName>
    <definedName name="NOTE_1122v" localSheetId="21" hidden="1">Notes!$E$612:$H$617</definedName>
    <definedName name="NOTE_1122x" localSheetId="21" hidden="1">Notes!$E$689:$N$696</definedName>
    <definedName name="NOTE_1122y" localSheetId="21" hidden="1">Notes!$E$449:$K$460</definedName>
    <definedName name="NOTE_1122yCHKH01" localSheetId="21" hidden="1">Notes!$G$461:$L$467</definedName>
    <definedName name="NOTE_1122z" localSheetId="21" hidden="1">Notes!$E$469:$J$484</definedName>
    <definedName name="NOTE_1124a" localSheetId="21" hidden="1">Notes!$E$699:$I$705</definedName>
    <definedName name="NOTE_1124b" localSheetId="21" hidden="1">Notes!$E$707:$K$720</definedName>
    <definedName name="NOTE_1124c" localSheetId="21" hidden="1">Notes!$E$722:$K$732</definedName>
    <definedName name="NOTE_1124cCHKH01" localSheetId="21" hidden="1">Notes!$G$733:$L$739</definedName>
    <definedName name="NOTE_1124d" localSheetId="21" hidden="1">Notes!$E$741:$K$754</definedName>
    <definedName name="NOTE_1124dCHKH01" localSheetId="21" hidden="1">Notes!$G$755:$L$761</definedName>
    <definedName name="NOTE_1124e" localSheetId="21" hidden="1">Notes!$E$763:$K$776</definedName>
    <definedName name="NOTE_1124f" localSheetId="21" hidden="1">Notes!$E$849:$N$857</definedName>
    <definedName name="NOTE_1124g" localSheetId="21" hidden="1">Notes!$E$778:$K$791</definedName>
    <definedName name="NOTE_1124h" localSheetId="21" hidden="1">Notes!$E$793:$K$803</definedName>
    <definedName name="NOTE_1124hCHKH01" localSheetId="21" hidden="1">Notes!$G$804:$L$810</definedName>
    <definedName name="NOTE_1124i" localSheetId="21" hidden="1">Notes!$E$812:$K$825</definedName>
    <definedName name="NOTE_1124iCHKH01" localSheetId="21" hidden="1">Notes!$G$826:$L$832</definedName>
    <definedName name="NOTE_1124j" localSheetId="21" hidden="1">Notes!$E$834:$K$847</definedName>
    <definedName name="NOTE_1125a" localSheetId="21" hidden="1">Notes!$E$860:$K$870</definedName>
    <definedName name="NOTE_1125c" localSheetId="21" hidden="1">Notes!$E$872:$I$889</definedName>
    <definedName name="NOTE_1125d" localSheetId="21" hidden="1">Notes!$E$891:$J$899</definedName>
    <definedName name="NOTE_1125e" localSheetId="21" hidden="1">Notes!$E$911:$I$919</definedName>
    <definedName name="NOTE_1125f" localSheetId="21" hidden="1">Notes!$E$901:$I$909</definedName>
    <definedName name="NOTE_1125x" localSheetId="21" hidden="1">Notes!$E$921:$P$932</definedName>
    <definedName name="NOTE_1131a" localSheetId="21" hidden="1">Notes!$E$968:$I$976</definedName>
    <definedName name="NOTE_1131b" localSheetId="21" hidden="1">Notes!$E$978:$K$986</definedName>
    <definedName name="NOTE_1132a" localSheetId="21" hidden="1">Notes!$E$945:$I$955</definedName>
    <definedName name="NOTE_1132b" localSheetId="21" hidden="1">Notes!$E$957:$K$965</definedName>
    <definedName name="NOTE_1220a" localSheetId="21" hidden="1">Notes!$E$935:$I$942</definedName>
    <definedName name="NOTE_122100" localSheetId="21" hidden="1">Notes!$E$1028:$J$1035</definedName>
    <definedName name="NOTE_122100CHKH01" localSheetId="21" hidden="1">Notes!$G$1036:$K$1042</definedName>
    <definedName name="NOTE_122101" localSheetId="21" hidden="1">Notes!$E$1044:$L$1056</definedName>
    <definedName name="NOTE_122102" localSheetId="21" hidden="1">Notes!$E$1132:$L$1144</definedName>
    <definedName name="NOTE_122103" localSheetId="21" hidden="1">Notes!$E$1220:$L$1232</definedName>
    <definedName name="NOTE_122104" localSheetId="21" hidden="1">Notes!$E$1492:$K$1509</definedName>
    <definedName name="NOTE_122111" localSheetId="21" hidden="1">Notes!$E$1058:$K$1071</definedName>
    <definedName name="NOTE_122111CHKH01" localSheetId="21" hidden="1">Notes!$G$1072:$L$1078</definedName>
    <definedName name="NOTE_122112" localSheetId="21" hidden="1">Notes!$E$1080:$J$1093</definedName>
    <definedName name="NOTE_122112CHKH01" localSheetId="21" hidden="1">Notes!$G$1094:$K$1100</definedName>
    <definedName name="NOTE_122113" localSheetId="21" hidden="1">Notes!$E$1102:$J$1115</definedName>
    <definedName name="NOTE_122114" localSheetId="21" hidden="1">Notes!$E$1117:$J$1130</definedName>
    <definedName name="NOTE_122121" localSheetId="21" hidden="1">Notes!$E$1146:$K$1159</definedName>
    <definedName name="NOTE_122121CHKH01" localSheetId="21" hidden="1">Notes!$G$1160:$L$1166</definedName>
    <definedName name="NOTE_122122" localSheetId="21" hidden="1">Notes!$E$1168:$J$1181</definedName>
    <definedName name="NOTE_122122CHKH01" localSheetId="21" hidden="1">Notes!$G$1182:$K$1188</definedName>
    <definedName name="NOTE_122123" localSheetId="21" hidden="1">Notes!$E$1190:$J$1203</definedName>
    <definedName name="NOTE_122124" localSheetId="21" hidden="1">Notes!$E$1205:$J$1218</definedName>
    <definedName name="NOTE_122131" localSheetId="21" hidden="1">Notes!$E$1234:$K$1247</definedName>
    <definedName name="NOTE_122131CHKH01" localSheetId="21" hidden="1">Notes!$G$1248:$L$1254</definedName>
    <definedName name="NOTE_122132" localSheetId="21" hidden="1">Notes!$E$1256:$J$1269</definedName>
    <definedName name="NOTE_122132CHKH01" localSheetId="21" hidden="1">Notes!$G$1270:$K$1276</definedName>
    <definedName name="NOTE_122133" localSheetId="21" hidden="1">Notes!$E$1278:$J$1291</definedName>
    <definedName name="NOTE_122134" localSheetId="21" hidden="1">Notes!$E$1293:$J$1306</definedName>
    <definedName name="NOTE_1221a" localSheetId="21" hidden="1">Notes!$E$1366:$L$1379</definedName>
    <definedName name="NOTE_1221aCHKH01" localSheetId="21" hidden="1">Notes!$G$1380:$M$1386</definedName>
    <definedName name="NOTE_1221b" localSheetId="21" hidden="1">Notes!$E$1388:$L$1401</definedName>
    <definedName name="NOTE_1221bCHKH01" localSheetId="21" hidden="1">Notes!$G$1402:$M$1408</definedName>
    <definedName name="NOTE_1221c" localSheetId="21" hidden="1">Notes!$E$1588:$J$1596</definedName>
    <definedName name="NOTE_1221d" localSheetId="21" hidden="1">Notes!$E$1429:$L$1441</definedName>
    <definedName name="NOTE_1221dCHKH01" localSheetId="21" hidden="1">Notes!$G$1442:$M$1448</definedName>
    <definedName name="NOTE_1221e" localSheetId="21" hidden="1">Notes!$E$1450:$K$1458</definedName>
    <definedName name="NOTE_1221f" localSheetId="21" hidden="1">Notes!$E$1460:$L$1468</definedName>
    <definedName name="NOTE_1221g" localSheetId="21" hidden="1">Notes!$E$1410:$K$1420</definedName>
    <definedName name="NOTE_1221gCHKH01" localSheetId="21" hidden="1">Notes!$G$1421:$L$1427</definedName>
    <definedName name="NOTE_1221h" localSheetId="21" hidden="1">Notes!$E$1511:$I$1519</definedName>
    <definedName name="NOTE_1221i" localSheetId="21" hidden="1">Notes!$E$1528:$L$1537</definedName>
    <definedName name="NOTE_1221j" localSheetId="21" hidden="1">Notes!$E$989:$I$1005</definedName>
    <definedName name="NOTE_1221jCHKH01" localSheetId="21" hidden="1">Notes!$G$1006:$J$1012</definedName>
    <definedName name="NOTE_1221k" localSheetId="21" hidden="1">Notes!$E$1539:$L$1556</definedName>
    <definedName name="NOTE_1221l" localSheetId="21" hidden="1">Notes!$E$1014:$I$1026</definedName>
    <definedName name="NOTE_1221m" localSheetId="21" hidden="1">Notes!$E$1598:$K$1606</definedName>
    <definedName name="NOTE_1221n" localSheetId="21" hidden="1">Notes!$E$1568:$J$1576</definedName>
    <definedName name="NOTE_1221o" localSheetId="21" hidden="1">Notes!$E$1578:$J$1586</definedName>
    <definedName name="NOTE_1221r" localSheetId="21" hidden="1">Notes!$E$1558:$K$1566</definedName>
    <definedName name="NOTE_1221t" localSheetId="21" hidden="1">Notes!$E$1308:$L$1318</definedName>
    <definedName name="NOTE_1221tCHKH01" localSheetId="21" hidden="1">Notes!$G$1319:$M$1325</definedName>
    <definedName name="NOTE_1221v" localSheetId="21" hidden="1">Notes!$E$1327:$K$1340</definedName>
    <definedName name="NOTE_1221vCHKH01" localSheetId="21" hidden="1">Notes!$G$1341:$L$1347</definedName>
    <definedName name="NOTE_1221w" localSheetId="21" hidden="1">Notes!$E$1349:$J$1364</definedName>
    <definedName name="NOTE_1221x" localSheetId="21" hidden="1">Notes!$E$1608:$N$1615</definedName>
    <definedName name="NOTE_1221y" localSheetId="21" hidden="1">Notes!$E$1470:$N$1483</definedName>
    <definedName name="NOTE_1221yCHKH01" localSheetId="21" hidden="1">Notes!$G$1484:$O$1490</definedName>
    <definedName name="NOTE_1221z" localSheetId="21" hidden="1">Notes!$E$1521:$H$1526</definedName>
    <definedName name="NOTE_1315b" localSheetId="21" hidden="1">Notes!$E$1765:$K$1773</definedName>
    <definedName name="NOTE_1315f" localSheetId="21" hidden="1">Notes!$E$1775:$L$1788</definedName>
    <definedName name="NOTE_1400a" localSheetId="21" hidden="1">Notes!$E$1618:$M$1635</definedName>
    <definedName name="NOTE_1400b" localSheetId="21" hidden="1">Notes!$E$1637:$M$1654</definedName>
    <definedName name="NOTE_1400c" localSheetId="21" hidden="1">Notes!$E$1737:$K$1752</definedName>
    <definedName name="NOTE_1400d" localSheetId="21" hidden="1">Notes!$E$1683:$M$1691</definedName>
    <definedName name="NOTE_1400dCHKH01" localSheetId="21" hidden="1">Notes!$G$1692:$N$1698</definedName>
    <definedName name="NOTE_1400e" localSheetId="21" hidden="1">Notes!$E$1700:$M$1708</definedName>
    <definedName name="NOTE_1400eCHKH01" localSheetId="21" hidden="1">Notes!$G$1709:$N$1715</definedName>
    <definedName name="NOTE_1400g" localSheetId="21" hidden="1">Notes!$E$1717:$K$1725</definedName>
    <definedName name="NOTE_1400h" localSheetId="21" hidden="1">Notes!$E$1666:$H$1674</definedName>
    <definedName name="NOTE_1400hCHKH01" localSheetId="21" hidden="1">Notes!$G$1675:$I$1681</definedName>
    <definedName name="NOTE_1400s" localSheetId="21" hidden="1">Notes!$E$1727:$J$1735</definedName>
    <definedName name="NOTE_1400t" localSheetId="21" hidden="1">Notes!$E$1656:$I$1664</definedName>
    <definedName name="NOTE_1400x" localSheetId="21" hidden="1">Notes!$E$1754:$Q$1762</definedName>
    <definedName name="NOTE_1495a" localSheetId="21" hidden="1">Notes!$E$1791:$I$1798</definedName>
    <definedName name="NOTE_1495b" localSheetId="21" hidden="1">Notes!$E$1800:$O$1810</definedName>
    <definedName name="NOTE_1496a" localSheetId="21" hidden="1">Notes!$E$1813:$I$1821</definedName>
    <definedName name="NOTE_1501a" localSheetId="21" hidden="1">Notes!$E$2158:$M$2170</definedName>
    <definedName name="NOTE_1501d" localSheetId="21" hidden="1">Notes!$E$2172:$K$2180</definedName>
    <definedName name="NOTE_1501e" localSheetId="21" hidden="1">Notes!$E$2182:$J$2190</definedName>
    <definedName name="NOTE_1501f" localSheetId="21" hidden="1">Notes!$E$2192:$J$2200</definedName>
    <definedName name="NOTE_1503a" localSheetId="21" hidden="1">Notes!$E$1948:$M$1960</definedName>
    <definedName name="NOTE_1503d" localSheetId="21" hidden="1">Notes!$E$2014:$M$2020</definedName>
    <definedName name="NOTE_1503e" localSheetId="21" hidden="1">Notes!$E$1962:$K$1970</definedName>
    <definedName name="NOTE_1503g" localSheetId="21" hidden="1">Notes!$E$2022:$M$2030</definedName>
    <definedName name="NOTE_1503i" localSheetId="21" hidden="1">Notes!$E$1972:$K$1985</definedName>
    <definedName name="NOTE_1503j" localSheetId="21" hidden="1">Notes!$E$1987:$M$2000</definedName>
    <definedName name="NOTE_1503k" localSheetId="21" hidden="1">Notes!$E$2002:$J$2012</definedName>
    <definedName name="NOTE_1505a" localSheetId="21" hidden="1">Notes!$E$1824:$M$1837</definedName>
    <definedName name="NOTE_1505b" localSheetId="21" hidden="1">Notes!$E$1839:$O$1852</definedName>
    <definedName name="NOTE_1505c" localSheetId="21" hidden="1">Notes!$E$1870:$L$1881</definedName>
    <definedName name="NOTE_1505d" localSheetId="21" hidden="1">Notes!$E$1883:$L$1894</definedName>
    <definedName name="NOTE_1505e" localSheetId="21" hidden="1">Notes!$E$1896:$L$1907</definedName>
    <definedName name="NOTE_1505f" localSheetId="21" hidden="1">Notes!$E$1928:$K$1945</definedName>
    <definedName name="NOTE_1505g" localSheetId="21" hidden="1">Notes!$E$1854:$J$1861</definedName>
    <definedName name="NOTE_1505gCHKH01" localSheetId="21" hidden="1">Notes!$G$1862:$K$1868</definedName>
    <definedName name="NOTE_1505k" localSheetId="21" hidden="1">Notes!$E$1909:$N$1919</definedName>
    <definedName name="NOTE_1505kCHKH01" localSheetId="21" hidden="1">Notes!$G$1920:$O$1926</definedName>
    <definedName name="NOTE_1508a" localSheetId="21" hidden="1">Notes!$E$2033:$Q$2047</definedName>
    <definedName name="NOTE_1508b" localSheetId="21" hidden="1">Notes!$E$2049:$O$2062</definedName>
    <definedName name="NOTE_1508c" localSheetId="21" hidden="1">Notes!$E$2064:$I$2071</definedName>
    <definedName name="NOTE_1508cCHKH01" localSheetId="21" hidden="1">Notes!$G$2072:$J$2078</definedName>
    <definedName name="NOTE_1508d" localSheetId="21" hidden="1">Notes!$E$2080:$K$2091</definedName>
    <definedName name="NOTE_1508e" localSheetId="21" hidden="1">Notes!$E$2093:$K$2104</definedName>
    <definedName name="NOTE_1508f" localSheetId="21" hidden="1">Notes!$E$2106:$K$2117</definedName>
    <definedName name="NOTE_1508g" localSheetId="21" hidden="1">Notes!$E$2138:$K$2155</definedName>
    <definedName name="NOTE_1508k" localSheetId="21" hidden="1">Notes!$E$2119:$N$2129</definedName>
    <definedName name="NOTE_1508kCHKH01" localSheetId="21" hidden="1">Notes!$G$2130:$O$2136</definedName>
    <definedName name="NOTE_1511b" localSheetId="21" hidden="1">Notes!$E$2464:$R$2495</definedName>
    <definedName name="NOTE_1511c" localSheetId="21" hidden="1">Notes!$E$2413:$M$2423</definedName>
    <definedName name="NOTE_1511cCHKH01" localSheetId="21" hidden="1">Notes!$G$2424:$N$2430</definedName>
    <definedName name="NOTE_1511d" localSheetId="21" hidden="1">Notes!$E$2432:$M$2455</definedName>
    <definedName name="NOTE_1511dCHKH01" localSheetId="21" hidden="1">Notes!$G$2456:$N$2462</definedName>
    <definedName name="NOTE_1521b" localSheetId="21" hidden="1">Notes!$E$2600:$K$2617</definedName>
    <definedName name="NOTE_1521c" localSheetId="21" hidden="1">Notes!$E$2619:$I$2627</definedName>
    <definedName name="NOTE_1521h" localSheetId="21" hidden="1">Notes!$E$2558:$K$2598</definedName>
    <definedName name="NOTE_1521s" localSheetId="21" hidden="1">Notes!$E$2629:$L$2637</definedName>
    <definedName name="NOTE_1531a" localSheetId="21" hidden="1">Notes!$E$2203:$N$2217</definedName>
    <definedName name="NOTE_1531b" localSheetId="21" hidden="1">Notes!$E$2392:$I$2400</definedName>
    <definedName name="NOTE_1531c" localSheetId="21" hidden="1">Notes!$E$2369:$J$2377</definedName>
    <definedName name="NOTE_1531f" localSheetId="21" hidden="1">Notes!$E$2402:$J$2410</definedName>
    <definedName name="NOTE_1531g" localSheetId="21" hidden="1">Notes!$E$2331:$N$2341</definedName>
    <definedName name="NOTE_1531gCHKH01" localSheetId="21" hidden="1">Notes!$G$2342:$O$2348</definedName>
    <definedName name="NOTE_1531h" localSheetId="21" hidden="1">Notes!$E$2294:$K$2307</definedName>
    <definedName name="NOTE_1531hCHKH01" localSheetId="21" hidden="1">Notes!$G$2308:$L$2314</definedName>
    <definedName name="NOTE_1531i" localSheetId="21" hidden="1">Notes!$E$2235:$L$2246</definedName>
    <definedName name="NOTE_1531j" localSheetId="21" hidden="1">Notes!$E$2248:$L$2259</definedName>
    <definedName name="NOTE_1531k" localSheetId="21" hidden="1">Notes!$E$2261:$L$2272</definedName>
    <definedName name="NOTE_1531m" localSheetId="21" hidden="1">Notes!$E$2316:$J$2329</definedName>
    <definedName name="NOTE_1531p" localSheetId="21" hidden="1">Notes!$E$2274:$L$2285</definedName>
    <definedName name="NOTE_1531pCHKH01" localSheetId="21" hidden="1">Notes!$G$2286:$M$2292</definedName>
    <definedName name="NOTE_1531q" localSheetId="21" hidden="1">Notes!$E$2350:$K$2367</definedName>
    <definedName name="NOTE_1531s" localSheetId="21" hidden="1">Notes!$E$2379:$J$2390</definedName>
    <definedName name="NOTE_1531t" localSheetId="21" hidden="1">Notes!$E$2219:$J$2226</definedName>
    <definedName name="NOTE_1531tCHKH01" localSheetId="21" hidden="1">Notes!$G$2227:$K$2233</definedName>
    <definedName name="NOTE_1535c" localSheetId="21" hidden="1">Notes!$E$2619:$I$2627</definedName>
    <definedName name="NOTE_1538a" localSheetId="21" hidden="1">Notes!$E$2498:$I$2505</definedName>
    <definedName name="NOTE_1538b" localSheetId="21" hidden="1">Notes!$E$2507:$M$2518</definedName>
    <definedName name="NOTE_1539a" localSheetId="21" hidden="1">Notes!$E$2521:$I$2529</definedName>
    <definedName name="NOTE_1539b" localSheetId="21" hidden="1">Notes!$E$2531:$M$2542</definedName>
    <definedName name="NOTE_1539c" localSheetId="21" hidden="1">Notes!$E$2544:$K$2555</definedName>
    <definedName name="NOTE_1601b" localSheetId="21" hidden="1">Notes!$E$2706:$L$2718</definedName>
    <definedName name="NOTE_1601c" localSheetId="21" hidden="1">Notes!$E$2720:$K$2732</definedName>
    <definedName name="NOTE_1601d" localSheetId="21" hidden="1">Notes!$E$2734:$H$2747</definedName>
    <definedName name="NOTE_1601f" localSheetId="21" hidden="1">Notes!$E$2762:$M$2770</definedName>
    <definedName name="NOTE_1601k" localSheetId="21" hidden="1">Notes!$E$2649:$P$2697</definedName>
    <definedName name="NOTE_1601kCHKH01" localSheetId="21" hidden="1">Notes!$G$2698:$Q$2704</definedName>
    <definedName name="NOTE_1601l" localSheetId="21" hidden="1">Notes!$E$2749:$I$2760</definedName>
    <definedName name="NOTE_1601s" localSheetId="21" hidden="1">Notes!$E$2772:$L$2780</definedName>
    <definedName name="NOTE_1601x" localSheetId="21" hidden="1">Notes!$E$2782:$I$2795</definedName>
    <definedName name="NOTE_1604a" localSheetId="21" hidden="1">Notes!$E$2831:$M$2846</definedName>
    <definedName name="NOTE_1604b" localSheetId="21" hidden="1">Notes!$E$2848:$M$2861</definedName>
    <definedName name="NOTE_1604c" localSheetId="21" hidden="1">Notes!$E$2863:$M$2876</definedName>
    <definedName name="NOTE_1604d" localSheetId="21" hidden="1">Notes!$E$2898:$I$2906</definedName>
    <definedName name="NOTE_1604g" localSheetId="21" hidden="1">Notes!$E$2878:$J$2889</definedName>
    <definedName name="NOTE_1604gCHKH01" localSheetId="21" hidden="1">Notes!$G$2890:$K$2896</definedName>
    <definedName name="NOTE_1605a" localSheetId="21" hidden="1">Notes!$E$2909:$M$2918</definedName>
    <definedName name="NOTE_1606a" localSheetId="21" hidden="1">Notes!$E$2811:$L$2819</definedName>
    <definedName name="NOTE_1606b" localSheetId="21" hidden="1">Notes!$E$2798:$I$2809</definedName>
    <definedName name="NOTE_1611a" localSheetId="21" hidden="1">Notes!$E$2640:$I$2646</definedName>
    <definedName name="NOTE_1616a" localSheetId="21" hidden="1">Notes!$E$2822:$I$2828</definedName>
    <definedName name="NOTE_1621b" localSheetId="21" hidden="1">Notes!$E$2983:$P$3004</definedName>
    <definedName name="NOTE_1621c" localSheetId="21" hidden="1">Notes!$E$2921:$O$2981</definedName>
    <definedName name="NOTE_1631b" localSheetId="21" hidden="1">Notes!$E$3007:$L$3041</definedName>
    <definedName name="NOTE_1700a" localSheetId="21" hidden="1">Notes!$E$3174:$K$3174</definedName>
    <definedName name="NOTE_1700b" localSheetId="21" hidden="1">Notes!$E$3176:$P$3186</definedName>
    <definedName name="NOTE_1701a" localSheetId="21" hidden="1">Notes!$E$3044:$P$3105</definedName>
    <definedName name="NOTE_1701aCHKH01" localSheetId="21" hidden="1">Notes!$G$3106:$Q$3112</definedName>
    <definedName name="NOTE_1701e" localSheetId="21" hidden="1">Notes!$E$3127:$L$3135</definedName>
    <definedName name="NOTE_1701f" localSheetId="21" hidden="1">Notes!$E$3114:$I$3125</definedName>
    <definedName name="NOTE_1701g" localSheetId="21" hidden="1">Notes!$E$3137:$L$3148</definedName>
    <definedName name="NOTE_1701h" localSheetId="21" hidden="1">Notes!$E$3150:$P$3161</definedName>
    <definedName name="NOTE_1701x" localSheetId="21" hidden="1">Notes!$E$3163:$I$3173</definedName>
    <definedName name="NOTE_1704a" localSheetId="21" hidden="1">Notes!$E$5209:$J$5273</definedName>
    <definedName name="NOTE_1711a" localSheetId="21" hidden="1">Notes!$E$3189:$M$3199</definedName>
    <definedName name="NOTE_1711b" localSheetId="21" hidden="1">Notes!$E$3201:$M$3211</definedName>
    <definedName name="NOTE_1801a" localSheetId="21" hidden="1">Notes!$E$3214:$L$3224</definedName>
    <definedName name="NOTE_1801x" localSheetId="21" hidden="1">Notes!$E$3226:$I$3236</definedName>
    <definedName name="NOTE_1811a" localSheetId="21" hidden="1">Notes!$E$3238:$K$3238</definedName>
    <definedName name="NOTE_1829a" localSheetId="21" hidden="1">Notes!$E$3241:$K$3255</definedName>
    <definedName name="NOTE_1829b" localSheetId="21" hidden="1">Notes!$E$3257:$K$3268</definedName>
    <definedName name="NOTE_1829c" localSheetId="21" hidden="1">Notes!$E$3270:$K$3275</definedName>
    <definedName name="NOTE_1829e" localSheetId="21" hidden="1">Notes!$E$3277:$I$3285</definedName>
    <definedName name="NOTE_1829f" localSheetId="21" hidden="1">Notes!$E$3287:$J$3297</definedName>
    <definedName name="NOTE_1829fCHKH01" localSheetId="21" hidden="1">Notes!$G$3298:$J$3304</definedName>
    <definedName name="NOTE_1996a" localSheetId="21" hidden="1">Notes!$E$3307:$I$3317</definedName>
    <definedName name="NOTE_1997a" localSheetId="21" hidden="1">Notes!$E$5195:$I$5206</definedName>
    <definedName name="NOTE_2001a" localSheetId="21" hidden="1">Notes!$E$3320:$I$3328</definedName>
    <definedName name="NOTE_2001b" localSheetId="21" hidden="1">Notes!$E$3360:$K$3369</definedName>
    <definedName name="NOTE_2001c" localSheetId="21" hidden="1">Notes!$E$3371:$J$3379</definedName>
    <definedName name="NOTE_2001d" localSheetId="21" hidden="1">Notes!$E$3330:$J$3338</definedName>
    <definedName name="NOTE_2001e" localSheetId="21" hidden="1">Notes!$E$3340:$J$3348</definedName>
    <definedName name="NOTE_2001f" localSheetId="21" hidden="1">Notes!$E$3350:$J$3358</definedName>
    <definedName name="NOTE_2101a" localSheetId="21" hidden="1">Notes!$E$3410:$I$3419</definedName>
    <definedName name="NOTE_2102a" localSheetId="21" hidden="1">Notes!$E$3382:$K$3393</definedName>
    <definedName name="NOTE_2102b" localSheetId="21" hidden="1">Notes!$E$3395:$J$3407</definedName>
    <definedName name="NOTE_2115a" localSheetId="21" hidden="1">Notes!$E$3422:$I$3430</definedName>
    <definedName name="NOTE_2201a" localSheetId="21" hidden="1">Notes!$E$3433:$I$3441</definedName>
    <definedName name="NOTE_2202a" localSheetId="21" hidden="1">Notes!$E$3472:$I$3480</definedName>
    <definedName name="NOTE_2202c" localSheetId="21" hidden="1">Notes!$E$3492:$I$3500</definedName>
    <definedName name="NOTE_2202d" localSheetId="21" hidden="1">Notes!$E$3482:$J$3490</definedName>
    <definedName name="NOTE_2202e" localSheetId="21" hidden="1">Notes!$E$3444:$I$3453</definedName>
    <definedName name="NOTE_2202f" localSheetId="21" hidden="1">Notes!$E$3455:$I$3463</definedName>
    <definedName name="NOTE_2202fCHKH01" localSheetId="21" hidden="1">Notes!$G$3464:$J$3470</definedName>
    <definedName name="NOTE_2202g" localSheetId="21" hidden="1">Notes!$E$3502:$J$3510</definedName>
    <definedName name="NOTE_2202x" localSheetId="21" hidden="1">Notes!$E$3512:$I$3529</definedName>
    <definedName name="NOTE_2205a" localSheetId="21" hidden="1">Notes!$E$3559:$I$3567</definedName>
    <definedName name="NOTE_2205c" localSheetId="21" hidden="1">Notes!$E$3589:$I$3597</definedName>
    <definedName name="NOTE_2205e" localSheetId="21" hidden="1">Notes!$E$3579:$K$3587</definedName>
    <definedName name="NOTE_2205f" localSheetId="21" hidden="1">Notes!$E$3532:$I$3540</definedName>
    <definedName name="NOTE_2205g" localSheetId="21" hidden="1">Notes!$E$3542:$I$3550</definedName>
    <definedName name="NOTE_2205gCHKH01" localSheetId="21" hidden="1">Notes!$G$3551:$J$3557</definedName>
    <definedName name="NOTE_2205h" localSheetId="21" hidden="1">Notes!$E$3569:$H$3577</definedName>
    <definedName name="NOTE_2205x" localSheetId="21" hidden="1">Notes!$E$3599:$I$3616</definedName>
    <definedName name="NOTE_2211a" localSheetId="21" hidden="1">Notes!$E$3619:$K$3627</definedName>
    <definedName name="NOTE_2211b" localSheetId="21" hidden="1">Notes!$E$3629:$K$3649</definedName>
    <definedName name="NOTE_2211bCHKH01" localSheetId="21" hidden="1">Notes!$G$3650:$L$3656</definedName>
    <definedName name="NOTE_2211c" localSheetId="21" hidden="1">Notes!$E$3658:$K$3673</definedName>
    <definedName name="NOTE_2211cCHKH01" localSheetId="21" hidden="1">Notes!$G$3674:$L$3680</definedName>
    <definedName name="NOTE_2211d" localSheetId="21" hidden="1">Notes!$E$3682:$K$3712</definedName>
    <definedName name="NOTE_2211x" localSheetId="21" hidden="1">Notes!$E$3714:$I$3725</definedName>
    <definedName name="NOTE_2221a" localSheetId="21" hidden="1">Notes!$E$3728:$K$3745</definedName>
    <definedName name="NOTE_2221x" localSheetId="21" hidden="1">Notes!$E$3747:$K$3758</definedName>
    <definedName name="NOTE_2231a" localSheetId="21" hidden="1">Notes!$E$3771:$I$3789</definedName>
    <definedName name="NOTE_2231b" localSheetId="21" hidden="1">Notes!$E$3791:$I$3799</definedName>
    <definedName name="NOTE_2232a" localSheetId="21" hidden="1">Notes!$E$3802:$I$3817</definedName>
    <definedName name="NOTE_2232b" localSheetId="21" hidden="1">Notes!$E$3819:$I$3827</definedName>
    <definedName name="NOTE_2241a" localSheetId="21" hidden="1">Notes!$E$3887:$I$3895</definedName>
    <definedName name="NOTE_2241b" localSheetId="21" hidden="1">Notes!$E$3867:$J$3875</definedName>
    <definedName name="NOTE_2241c" localSheetId="21" hidden="1">Notes!$E$3857:$I$3865</definedName>
    <definedName name="NOTE_2241e" localSheetId="21" hidden="1">Notes!$E$3830:$I$3838</definedName>
    <definedName name="NOTE_2241f" localSheetId="21" hidden="1">Notes!$E$3840:$I$3848</definedName>
    <definedName name="NOTE_2241fCHKH01" localSheetId="21" hidden="1">Notes!$G$3849:$J$3855</definedName>
    <definedName name="NOTE_2241g" localSheetId="21" hidden="1">Notes!$E$3877:$J$3885</definedName>
    <definedName name="NOTE_2241x" localSheetId="21" hidden="1">Notes!$E$3897:$I$3914</definedName>
    <definedName name="NOTE_2246a" localSheetId="21" hidden="1">Notes!$E$3761:$I$3768</definedName>
    <definedName name="NOTE_2315a" localSheetId="21" hidden="1">Notes!$E$3917:$I$3925</definedName>
    <definedName name="NOTE_2395a" localSheetId="21" hidden="1">Notes!$E$3928:$I$3936</definedName>
    <definedName name="NOTE_2395b" localSheetId="21" hidden="1">Notes!$E$3938:$I$3946</definedName>
    <definedName name="NOTE_2395e" localSheetId="21" hidden="1">Notes!$E$3948:$Q$3956</definedName>
    <definedName name="NOTE_2395f" localSheetId="21" hidden="1">Notes!$E$3958:$I$3966</definedName>
    <definedName name="NOTE_2396a" localSheetId="21" hidden="1">Notes!$E$3969:$I$3978</definedName>
    <definedName name="NOTE_2396c" localSheetId="21" hidden="1">Notes!$E$3980:$Q$3988</definedName>
    <definedName name="NOTE_2396cCHKH01" localSheetId="21" hidden="1">Notes!$G$3989:$Q$3995</definedName>
    <definedName name="NOTE_2401a" localSheetId="21" hidden="1">Notes!$E$4262:$L$4268</definedName>
    <definedName name="NOTE_2401b" localSheetId="21" hidden="1">Notes!$E$4270:$N$4278</definedName>
    <definedName name="NOTE_2401bCHKH01" localSheetId="21" hidden="1">Notes!$G$4279:$O$4285</definedName>
    <definedName name="NOTE_2501a" localSheetId="21" hidden="1">Notes!$E$3998:$J$4009</definedName>
    <definedName name="NOTE_2501c" localSheetId="21" hidden="1">Notes!$E$4041:$J$4049</definedName>
    <definedName name="NOTE_2501d" localSheetId="21" hidden="1">Notes!$E$4011:$L$4019</definedName>
    <definedName name="NOTE_2501e" localSheetId="21" hidden="1">Notes!$E$4021:$L$4029</definedName>
    <definedName name="NOTE_2501f" localSheetId="21" hidden="1">Notes!$E$4031:$K$4039</definedName>
    <definedName name="NOTE_2502a" localSheetId="21" hidden="1">Notes!$E$4062:$Q$4073</definedName>
    <definedName name="NOTE_2502b" localSheetId="21" hidden="1">Notes!$E$4052:$I$4060</definedName>
    <definedName name="NOTE_2502c" localSheetId="21" hidden="1">Notes!$E$4085:$O$4095</definedName>
    <definedName name="NOTE_2502d" localSheetId="21" hidden="1">Notes!$E$4075:$O$4083</definedName>
    <definedName name="NOTE_2502e" localSheetId="21" hidden="1">Notes!$E$4097:$J$4105</definedName>
    <definedName name="NOTE_2701c" localSheetId="21" hidden="1">Notes!$E$4119:$I$4128</definedName>
    <definedName name="NOTE_2701cCHKH01" localSheetId="21" hidden="1">Notes!$G$4129:$J$4135</definedName>
    <definedName name="NOTE_2701d" localSheetId="21" hidden="1">Notes!$E$4137:$J$4145</definedName>
    <definedName name="NOTE_2706a" localSheetId="21" hidden="1">Notes!$E$4108:$I$4116</definedName>
    <definedName name="NOTE_2711a" localSheetId="21" hidden="1">Notes!$E$4148:$L$4156</definedName>
    <definedName name="NOTE_2711b" localSheetId="21" hidden="1">Notes!$E$4158:$J$4166</definedName>
    <definedName name="NOTE_2715a" localSheetId="21" hidden="1">Notes!$E$4169:$I$4177</definedName>
    <definedName name="NOTE_2715b" localSheetId="21" hidden="1">Notes!$E$4179:$I$4197</definedName>
    <definedName name="NOTE_2715c" localSheetId="21" hidden="1">Notes!$E$4199:$I$4212</definedName>
    <definedName name="NOTE_2715d" localSheetId="21" hidden="1">Notes!$E$4214:$I$4221</definedName>
    <definedName name="NOTE_2715g" localSheetId="21" hidden="1">Notes!$E$4223:$I$4232</definedName>
    <definedName name="NOTE_2715h" localSheetId="21" hidden="1">Notes!$E$4234:$J$4245</definedName>
    <definedName name="NOTE_2801a" localSheetId="21" hidden="1">Notes!$E$4248:$J$4259</definedName>
    <definedName name="NOTE_2901a" localSheetId="21" hidden="1">Notes!$E$3239:$K$3239</definedName>
    <definedName name="NOTE_2996a" localSheetId="21" hidden="1">Notes!$E$4288:$I$4296</definedName>
    <definedName name="NOTE_2996x" localSheetId="21" hidden="1">Notes!$E$4298:$Q$4306</definedName>
    <definedName name="NOTE_4001a" localSheetId="21" hidden="1">Notes!$E$4309:$N$4316</definedName>
    <definedName name="NOTE_4001b" localSheetId="21" hidden="1">Notes!$E$4318:$M$4328</definedName>
    <definedName name="NOTE_4002a" localSheetId="21" hidden="1">Notes!$E$4352:$K$4358</definedName>
    <definedName name="NOTE_4015a" localSheetId="21" hidden="1">Notes!$E$4341:$O$4349</definedName>
    <definedName name="NOTE_4015b" localSheetId="21" hidden="1">Notes!$E$4331:$O$4339</definedName>
    <definedName name="NOTE_4101a" localSheetId="21" hidden="1">Notes!$E$4438:$K$4447</definedName>
    <definedName name="NOTE_4101b" localSheetId="21" hidden="1">Notes!$E$4425:$M$4436</definedName>
    <definedName name="NOTE_4102a" localSheetId="21" hidden="1">Notes!$E$4450:$K$4455</definedName>
    <definedName name="NOTE_4200a" localSheetId="21" hidden="1">Notes!$E$4458:$I$4473</definedName>
    <definedName name="NOTE_4200b" localSheetId="21" hidden="1">Notes!$E$4475:$H$4484</definedName>
    <definedName name="NOTE_4201a" localSheetId="21" hidden="1">Notes!$E$4361:$K$4365</definedName>
    <definedName name="NOTE_4215a" localSheetId="21" hidden="1">Notes!$E$4393:$N$4411</definedName>
    <definedName name="NOTE_4215b" localSheetId="21" hidden="1">Notes!$E$4368:$P$4391</definedName>
    <definedName name="NOTE_4301a" localSheetId="21" hidden="1">Notes!$E$4414:$K$4422</definedName>
    <definedName name="NOTE_6001a" localSheetId="21" hidden="1">Notes!$E$4486:$I$4486</definedName>
    <definedName name="NOTE_6001x" localSheetId="21" hidden="1">Notes!$E$4613:$I$4621</definedName>
    <definedName name="NOTE_6064a" localSheetId="21" hidden="1">Notes!$E$4499:$I$4506</definedName>
    <definedName name="NOTE_6064b" localSheetId="21" hidden="1">Notes!$E$4508:$I$4515</definedName>
    <definedName name="NOTE_6064c" localSheetId="21" hidden="1">Notes!$E$4517:$K$4532</definedName>
    <definedName name="NOTE_6064cCHKH01" localSheetId="21" hidden="1">Notes!$G$4533:$K$4539</definedName>
    <definedName name="NOTE_6064d" localSheetId="21" hidden="1">Notes!$E$4541:$K$4555</definedName>
    <definedName name="NOTE_6064dCHKH01" localSheetId="21" hidden="1">Notes!$G$4556:$K$4562</definedName>
    <definedName name="NOTE_6064e" localSheetId="21" hidden="1">Notes!$E$4564:$K$4574</definedName>
    <definedName name="NOTE_6064eCHKH01" localSheetId="21" hidden="1">Notes!$G$4575:$K$4581</definedName>
    <definedName name="NOTE_6064f" localSheetId="21" hidden="1">Notes!$E$4583:$H$4596</definedName>
    <definedName name="NOTE_6064g" localSheetId="21" hidden="1">Notes!$E$4598:$H$4611</definedName>
    <definedName name="NOTE_6064h" localSheetId="21" hidden="1">Notes!$E$4489:$K$4497</definedName>
    <definedName name="NOTE_6101a" localSheetId="21" hidden="1">Notes!$E$4849:$I$4860</definedName>
    <definedName name="NOTE_6101b" localSheetId="21" hidden="1">Notes!$E$4836:$I$4847</definedName>
    <definedName name="NOTE_6102a" localSheetId="21" hidden="1">Notes!$E$4822:$I$4833</definedName>
    <definedName name="NOTE_6111a" localSheetId="21" hidden="1">Notes!$E$4800:$I$4819</definedName>
    <definedName name="NOTE_6171a" localSheetId="21" hidden="1">Notes!$E$4899:$I$4911</definedName>
    <definedName name="NOTE_6181a" localSheetId="21" hidden="1">Notes!$E$4777:$J$4789</definedName>
    <definedName name="NOTE_6181aCHKH01" localSheetId="21" hidden="1">Notes!$G$4790:$K$4797</definedName>
    <definedName name="NOTE_6401a" localSheetId="21" hidden="1">Notes!$E$4487:$I$4487</definedName>
    <definedName name="NOTE_6401x" localSheetId="21" hidden="1">Notes!$E$4623:$I$4631</definedName>
    <definedName name="NOTE_6600a" localSheetId="21" hidden="1">Notes!$E$4634:$I$4651</definedName>
    <definedName name="NOTE_6600x" localSheetId="21" hidden="1">Notes!$E$4653:$I$4661</definedName>
    <definedName name="NOTE_6601a" localSheetId="21" hidden="1">Notes!$E$4664:$I$4682</definedName>
    <definedName name="NOTE_6601x" localSheetId="21" hidden="1">Notes!$E$4684:$I$4692</definedName>
    <definedName name="NOTE_6602a" localSheetId="21" hidden="1">Notes!$E$4695:$I$4713</definedName>
    <definedName name="NOTE_6602x" localSheetId="21" hidden="1">Notes!$E$4715:$I$4723</definedName>
    <definedName name="NOTE_6603a" localSheetId="21" hidden="1">Notes!$E$4751:$I$4764</definedName>
    <definedName name="NOTE_6603x" localSheetId="21" hidden="1">Notes!$E$4766:$I$4774</definedName>
    <definedName name="NOTE_6606a" localSheetId="21" hidden="1">Notes!$E$4726:$I$4735</definedName>
    <definedName name="NOTE_6606x" localSheetId="21" hidden="1">Notes!$E$4737:$J$4748</definedName>
    <definedName name="NOTE_6671a" localSheetId="21" hidden="1">Notes!$E$4877:$I$4896</definedName>
    <definedName name="NOTE_6672a" localSheetId="21" hidden="1">Notes!$E$4863:$I$4874</definedName>
    <definedName name="NOTE_6710a" localSheetId="21" hidden="1">Notes!$E$4914:$J$4925</definedName>
    <definedName name="NOTE_6710b" localSheetId="21" hidden="1">Notes!$E$4927:$J$4935</definedName>
    <definedName name="NOTE_6710bCHKH01" localSheetId="21" hidden="1">Notes!$G$4936:$K$4942</definedName>
    <definedName name="NOTE_6711a" localSheetId="21" hidden="1">Notes!$E$4945:$J$4955</definedName>
    <definedName name="NOTE_6791a" localSheetId="21" hidden="1">Notes!$E$4958:$I$4964</definedName>
    <definedName name="NOTE_6791b" localSheetId="21" hidden="1">Notes!$E$4966:$I$4982</definedName>
    <definedName name="NOTE_7001x" localSheetId="21" hidden="1">Notes!$E$5869:$J$5877</definedName>
    <definedName name="NOTE_7046a" localSheetId="21" hidden="1">Notes!$E$5021:$I$5034</definedName>
    <definedName name="NOTE_7046x" localSheetId="21" hidden="1">Notes!$E$5880:$J$5888</definedName>
    <definedName name="NOTE_7051x" localSheetId="21" hidden="1">Notes!$E$5891:$J$5899</definedName>
    <definedName name="NOTE_7061x" localSheetId="21" hidden="1">Notes!$E$5902:$J$5910</definedName>
    <definedName name="NOTE_7071x" localSheetId="21" hidden="1">Notes!$E$5913:$J$5921</definedName>
    <definedName name="NOTE_7096a" localSheetId="21" hidden="1">Notes!$E$5037:$I$5050</definedName>
    <definedName name="NOTE_7096x" localSheetId="21" hidden="1">Notes!$E$5924:$J$5932</definedName>
    <definedName name="NOTE_7101x" localSheetId="21" hidden="1">Notes!$E$5935:$J$5943</definedName>
    <definedName name="NOTE_7105x" localSheetId="21" hidden="1">Notes!$E$5946:$J$5954</definedName>
    <definedName name="NOTE_7111x" localSheetId="21" hidden="1">Notes!$E$5957:$J$5973</definedName>
    <definedName name="NOTE_7146a" localSheetId="21" hidden="1">Notes!$E$5053:$I$5061</definedName>
    <definedName name="NOTE_7151x" localSheetId="21" hidden="1">Notes!$E$5976:$J$5994</definedName>
    <definedName name="NOTE_7161x" localSheetId="21" hidden="1">Notes!$E$5997:$J$6005</definedName>
    <definedName name="NOTE_7196a" localSheetId="21" hidden="1">Notes!$E$5064:$I$5072</definedName>
    <definedName name="NOTE_7211x" localSheetId="21" hidden="1">Notes!$E$6008:$J$6017</definedName>
    <definedName name="NOTE_7246a" localSheetId="21" hidden="1">Notes!$E$5075:$I$5083</definedName>
    <definedName name="NOTE_7251x" localSheetId="21" hidden="1">Notes!$E$6020:$J$6029</definedName>
    <definedName name="NOTE_7261x" localSheetId="21" hidden="1">Notes!$E$6032:$J$6051</definedName>
    <definedName name="NOTE_7296a" localSheetId="21" hidden="1">Notes!$E$5086:$I$5094</definedName>
    <definedName name="NOTE_7400a" localSheetId="21" hidden="1">Notes!$E$5018:$I$5018</definedName>
    <definedName name="NOTE_7500a" localSheetId="21" hidden="1">Notes!$E$5097:$I$5118</definedName>
    <definedName name="NOTE_7500b" localSheetId="21" hidden="1">Notes!$E$5120:$I$5126</definedName>
    <definedName name="NOTE_7500c" localSheetId="21" hidden="1">Notes!$E$5128:$I$5135</definedName>
    <definedName name="NOTE_7500e" localSheetId="21" hidden="1">Notes!$E$5157:$I$5171</definedName>
    <definedName name="NOTE_7500f" localSheetId="21" hidden="1">Notes!$E$5173:$H$5181</definedName>
    <definedName name="NOTE_7500g" localSheetId="21" hidden="1">Notes!$E$5137:$H$5145</definedName>
    <definedName name="NOTE_7500h" localSheetId="21" hidden="1">Notes!$E$5147:$H$5155</definedName>
    <definedName name="NOTE_7503a" localSheetId="21" hidden="1">Notes!$E$6055:$I$6061</definedName>
    <definedName name="NOTE_7505a" localSheetId="21" hidden="1">Notes!$E$6064:$I$6072</definedName>
    <definedName name="NOTE_7506a" localSheetId="21" hidden="1">Notes!$E$6075:$I$6081</definedName>
    <definedName name="NOTE_7507a" localSheetId="21" hidden="1">Notes!$E$6084:$I$6090</definedName>
    <definedName name="NOTE_7508a" localSheetId="21" hidden="1">Notes!$E$6093:$I$6104</definedName>
    <definedName name="NOTE_7509a" localSheetId="21" hidden="1">Notes!$E$6107:$I$6114</definedName>
    <definedName name="NOTE_7510a" localSheetId="21" hidden="1">Notes!$E$6117:$I$6123</definedName>
    <definedName name="NOTE_7511a" localSheetId="21" hidden="1">Notes!$E$6126:$I$6134</definedName>
    <definedName name="NOTE_7512a" localSheetId="21" hidden="1">Notes!$E$6137:$I$6143</definedName>
    <definedName name="NOTE_7515a" localSheetId="21" hidden="1">Notes!$E$6146:$K$6152</definedName>
    <definedName name="NOTE_7516a" localSheetId="21" hidden="1">Notes!$E$6155:$K$6161</definedName>
    <definedName name="NOTE_7517a" localSheetId="21" hidden="1">Notes!$E$6164:$K$6183</definedName>
    <definedName name="NOTE_7518a" localSheetId="21" hidden="1">Notes!$E$6186:$K$6210</definedName>
    <definedName name="NOTE_7519a" localSheetId="21" hidden="1">Notes!$E$6213:$K$6239</definedName>
    <definedName name="NOTE_7523a" localSheetId="21" hidden="1">Notes!$E$6242:$I$6248</definedName>
    <definedName name="NOTE_9120c" localSheetId="21" hidden="1">Notes!$E$5648:$M$5656</definedName>
    <definedName name="NOTE_9120d" localSheetId="21" hidden="1">Notes!$E$5658:$M$5666</definedName>
    <definedName name="NOTE_9120e" localSheetId="21" hidden="1">Notes!$E$5668:$J$5676</definedName>
    <definedName name="NOTE_9120f" localSheetId="21" hidden="1">Notes!$E$5678:$J$5686</definedName>
    <definedName name="NOTE_9120g" localSheetId="21" hidden="1">Notes!$E$5688:$K$5696</definedName>
    <definedName name="NOTE_9120h" localSheetId="21" hidden="1">Notes!$E$5698:$K$5706</definedName>
    <definedName name="NOTE_9120i" localSheetId="21" hidden="1">Notes!$E$5708:$K$5716</definedName>
    <definedName name="NOTE_9120j" localSheetId="21" hidden="1">Notes!$E$5718:$K$5726</definedName>
    <definedName name="NOTE_9120k" localSheetId="21" hidden="1">Notes!$E$5728:$J$5736</definedName>
    <definedName name="NOTE_9120l" localSheetId="21" hidden="1">Notes!$E$5738:$I$5744</definedName>
    <definedName name="NOTE_9120m" localSheetId="21" hidden="1">Notes!$E$5622:$J$5633</definedName>
    <definedName name="NOTE_9120n" localSheetId="21" hidden="1">Notes!$E$5635:$J$5646</definedName>
    <definedName name="NOTE_9120o" localSheetId="21" hidden="1">Notes!$E$5746:$L$5759</definedName>
    <definedName name="NOTE_9120p" localSheetId="21" hidden="1">Notes!$E$5761:$J$5772</definedName>
    <definedName name="NOTE_9314a" localSheetId="21" hidden="1">Notes!$E$5184:$I$5192</definedName>
    <definedName name="NOTE_9325g" localSheetId="21" hidden="1">Notes!$E$5320:$L$5335</definedName>
    <definedName name="NOTE_9325h" localSheetId="21" hidden="1">Notes!$E$5337:$L$5352</definedName>
    <definedName name="NOTE_9325i" localSheetId="21" hidden="1">Notes!$E$5354:$M$5368</definedName>
    <definedName name="NOTE_9325j" localSheetId="21" hidden="1">Notes!$E$5370:$M$5384</definedName>
    <definedName name="NOTE_9325k" localSheetId="21" hidden="1">Notes!$E$5386:$J$5418</definedName>
    <definedName name="NOTE_9325m" localSheetId="21" hidden="1">Notes!$E$5420:$J$5452</definedName>
    <definedName name="NOTE_9331a" localSheetId="21" hidden="1">Notes!$E$5455:$K$5499</definedName>
    <definedName name="NOTE_9331b" localSheetId="21" hidden="1">Notes!$E$5602:$K$5619</definedName>
    <definedName name="NOTE_9331g" localSheetId="21" hidden="1">Notes!$E$5576:$R$5600</definedName>
    <definedName name="NOTE_9331i" localSheetId="21" hidden="1">Notes!$E$5549:$J$5556</definedName>
    <definedName name="NOTE_9331j" localSheetId="21" hidden="1">Notes!$E$5558:$K$5574</definedName>
    <definedName name="NOTE_9331k" localSheetId="21" hidden="1">Notes!$E$5501:$K$5547</definedName>
    <definedName name="NOTE_9367a" localSheetId="21" hidden="1">Notes!$E$5775:$I$5794</definedName>
    <definedName name="NOTE_9367b" localSheetId="21" hidden="1">Notes!$E$5796:$M$5802</definedName>
    <definedName name="NOTE_9371h" localSheetId="21" hidden="1">Notes!$E$5276:$L$5289</definedName>
    <definedName name="NOTE_9371i" localSheetId="21" hidden="1">Notes!$E$5291:$L$5304</definedName>
    <definedName name="NOTE_9371j" localSheetId="21" hidden="1">Notes!$E$5306:$I$5317</definedName>
    <definedName name="NOTE_9601a" localSheetId="21" hidden="1">Notes!$E$5805:$J$5835</definedName>
    <definedName name="NOTE_9601b" localSheetId="21" hidden="1">Notes!$E$5847:$I$5855</definedName>
    <definedName name="NOTE_9601c" localSheetId="21" hidden="1">Notes!$E$5837:$I$5845</definedName>
    <definedName name="NOTE_9601d" localSheetId="21" hidden="1">Notes!$E$5857:$I$5865</definedName>
    <definedName name="NOTE_9690a" localSheetId="21" hidden="1">Notes!$E$4985:$I$4997</definedName>
    <definedName name="NOTE_9690b" localSheetId="21" hidden="1">Notes!$E$4999:$Q$5007</definedName>
    <definedName name="NOTE_9690c" localSheetId="21" hidden="1">Notes!$E$5009:$O$5017</definedName>
    <definedName name="Parameter_ColsHide" localSheetId="13" hidden="1">"A:A,C:G,AA:AD"</definedName>
    <definedName name="Parameter_ColsHide" localSheetId="16" hidden="1">"A:A,C:G,AA:AD"</definedName>
    <definedName name="Parameter_ColsHide" localSheetId="17" hidden="1">"A:D"</definedName>
    <definedName name="Parameter_ColsHide" localSheetId="8" hidden="1">"A:D"</definedName>
    <definedName name="Parameter_ColsHide" localSheetId="19" hidden="1">"A:B"</definedName>
    <definedName name="Parameter_ColsHide" localSheetId="11">"A:B"</definedName>
    <definedName name="Parameter_ColsHide" localSheetId="10" hidden="1">"A:B"</definedName>
    <definedName name="Parameter_ColsHide" localSheetId="14" hidden="1">"A:A,C:G"</definedName>
    <definedName name="Parameter_ColsHide" localSheetId="3" hidden="1">"D:D,I:I"</definedName>
    <definedName name="Parameter_ColsHide" localSheetId="18" hidden="1">"A:B"</definedName>
    <definedName name="Parameter_ColsHide" localSheetId="9" hidden="1">"A:B"</definedName>
    <definedName name="Parameter_ColsHide" localSheetId="1" hidden="1">"G:H"</definedName>
    <definedName name="Parameter_ColsHide" localSheetId="2" hidden="1">"A:C"</definedName>
    <definedName name="Parameter_ColsHide" localSheetId="21" hidden="1">"A:E"</definedName>
    <definedName name="Parameter_ColsHide" localSheetId="20">"A:B"</definedName>
    <definedName name="Parameter_ColsHide" localSheetId="4" hidden="1">"A:C,H:H"</definedName>
    <definedName name="Parameter_ColsHide" localSheetId="7" hidden="1">"A:B"</definedName>
    <definedName name="Parameter_ColsHide" localSheetId="6" hidden="1">"A:B"</definedName>
    <definedName name="Parameter_ColsHide" localSheetId="5" hidden="1">"A:B"</definedName>
    <definedName name="Parameter_ColsHide" localSheetId="12" hidden="1">"A:C"</definedName>
    <definedName name="Parameter_ColsHide" localSheetId="15" hidden="1">"A:A,C:G,AA:AD"</definedName>
    <definedName name="Parameter_EntryNum" localSheetId="13" hidden="1">AJE!$F$4</definedName>
    <definedName name="Parameter_EntryNum" localSheetId="16" hidden="1">'AJE1'!$F$4</definedName>
    <definedName name="Parameter_EntryNum" localSheetId="14" hidden="1">CFJE!$F$4</definedName>
    <definedName name="Parameter_EntryNum" localSheetId="15" hidden="1">UJE!$F$4</definedName>
    <definedName name="Parameter_RowsHide" localSheetId="13" hidden="1">"1:3"</definedName>
    <definedName name="Parameter_RowsHide" localSheetId="16" hidden="1">"1:3"</definedName>
    <definedName name="Parameter_RowsHide" localSheetId="17" hidden="1">"1:1"</definedName>
    <definedName name="Parameter_RowsHide" localSheetId="8" hidden="1">"1:1"</definedName>
    <definedName name="Parameter_RowsHide" localSheetId="19" hidden="1">"1:1"</definedName>
    <definedName name="Parameter_RowsHide" localSheetId="11">"1:2"</definedName>
    <definedName name="Parameter_RowsHide" localSheetId="10" hidden="1">"1:1"</definedName>
    <definedName name="Parameter_RowsHide" localSheetId="14" hidden="1">"1:3"</definedName>
    <definedName name="Parameter_RowsHide" localSheetId="18" hidden="1">"1:1"</definedName>
    <definedName name="Parameter_RowsHide" localSheetId="9" hidden="1">"1:1"</definedName>
    <definedName name="Parameter_RowsHide" localSheetId="1" hidden="1">"1:1"</definedName>
    <definedName name="Parameter_RowsHide" localSheetId="2" hidden="1">"1:1,7:7"</definedName>
    <definedName name="Parameter_RowsHide" localSheetId="21" hidden="1">"1:1"</definedName>
    <definedName name="Parameter_RowsHide" localSheetId="20">"1:2"</definedName>
    <definedName name="Parameter_RowsHide" localSheetId="4" hidden="1">"1:1,6:7"</definedName>
    <definedName name="Parameter_RowsHide" localSheetId="7" hidden="1">"1:2"</definedName>
    <definedName name="Parameter_RowsHide" localSheetId="6" hidden="1">"1:1,6:7"</definedName>
    <definedName name="Parameter_RowsHide" localSheetId="5" hidden="1">"1:1,6:7"</definedName>
    <definedName name="Parameter_RowsHide" localSheetId="12" hidden="1">"1:1,5:5"</definedName>
    <definedName name="Parameter_RowsHide" localSheetId="15" hidden="1">"1:3"</definedName>
    <definedName name="Parameter_TableCli" localSheetId="13" hidden="1">"1"</definedName>
    <definedName name="Parameter_TableCli" localSheetId="16" hidden="1">"1"</definedName>
    <definedName name="Parameter_TableCli" localSheetId="17" hidden="1">"1"</definedName>
    <definedName name="Parameter_TableCli" localSheetId="8" hidden="1">"1"</definedName>
    <definedName name="Parameter_TableCli" localSheetId="19" hidden="1">"1"</definedName>
    <definedName name="Parameter_TableCli" localSheetId="11">"1"</definedName>
    <definedName name="Parameter_TableCli" localSheetId="10" hidden="1">"1"</definedName>
    <definedName name="Parameter_TableCli" localSheetId="14" hidden="1">"1"</definedName>
    <definedName name="Parameter_TableCli" localSheetId="22" hidden="1">"-1"</definedName>
    <definedName name="Parameter_TableCli" localSheetId="23" hidden="1">"-1"</definedName>
    <definedName name="Parameter_TableCli" localSheetId="3" hidden="1">"1"</definedName>
    <definedName name="Parameter_TableCli" localSheetId="18" hidden="1">"1"</definedName>
    <definedName name="Parameter_TableCli" localSheetId="9" hidden="1">"1"</definedName>
    <definedName name="Parameter_TableCli" localSheetId="1" hidden="1">"-1"</definedName>
    <definedName name="Parameter_TableCli" localSheetId="2" hidden="1">"1"</definedName>
    <definedName name="Parameter_TableCli" localSheetId="21" hidden="1">"1"</definedName>
    <definedName name="Parameter_TableCli" localSheetId="20">"1"</definedName>
    <definedName name="Parameter_TableCli" localSheetId="4" hidden="1">"1"</definedName>
    <definedName name="Parameter_TableCli" localSheetId="7" hidden="1">"1"</definedName>
    <definedName name="Parameter_TableCli" localSheetId="6" hidden="1">"1"</definedName>
    <definedName name="Parameter_TableCli" localSheetId="5" hidden="1">"1"</definedName>
    <definedName name="Parameter_TableCli" localSheetId="12" hidden="1">"1"</definedName>
    <definedName name="Parameter_TableCli" localSheetId="15" hidden="1">"1"</definedName>
    <definedName name="Parameter_TableCli" localSheetId="32" hidden="1">"1"</definedName>
    <definedName name="Parameter_TableCli" localSheetId="28" hidden="1">"1"</definedName>
    <definedName name="Parameter_TableCli" localSheetId="29" hidden="1">"1"</definedName>
    <definedName name="Parameter_TableCli" localSheetId="30" hidden="1">"1"</definedName>
    <definedName name="Parameter_TableCli" localSheetId="31" hidden="1">"1"</definedName>
    <definedName name="Parameter_TableCon" localSheetId="13" hidden="1">"IND"</definedName>
    <definedName name="Parameter_TableCon" localSheetId="16" hidden="1">"IND"</definedName>
    <definedName name="Parameter_TableCon" localSheetId="17" hidden="1">"IND"</definedName>
    <definedName name="Parameter_TableCon" localSheetId="8" hidden="1">"IND"</definedName>
    <definedName name="Parameter_TableCon" localSheetId="19" hidden="1">"IND"</definedName>
    <definedName name="Parameter_TableCon" localSheetId="11">"IND"</definedName>
    <definedName name="Parameter_TableCon" localSheetId="10" hidden="1">"IND"</definedName>
    <definedName name="Parameter_TableCon" localSheetId="14" hidden="1">"IND"</definedName>
    <definedName name="Parameter_TableCon" localSheetId="22" hidden="1">"IND"</definedName>
    <definedName name="Parameter_TableCon" localSheetId="23" hidden="1">"IND"</definedName>
    <definedName name="Parameter_TableCon" localSheetId="3" hidden="1">"GEN"</definedName>
    <definedName name="Parameter_TableCon" localSheetId="18" hidden="1">"IND"</definedName>
    <definedName name="Parameter_TableCon" localSheetId="9" hidden="1">"IND"</definedName>
    <definedName name="Parameter_TableCon" localSheetId="1" hidden="1">"IND"</definedName>
    <definedName name="Parameter_TableCon" localSheetId="2" hidden="1">"GEN"</definedName>
    <definedName name="Parameter_TableCon" localSheetId="21" hidden="1">"IND"</definedName>
    <definedName name="Parameter_TableCon" localSheetId="20">"IND"</definedName>
    <definedName name="Parameter_TableCon" localSheetId="4" hidden="1">"IND"</definedName>
    <definedName name="Parameter_TableCon" localSheetId="7" hidden="1">"IND"</definedName>
    <definedName name="Parameter_TableCon" localSheetId="6" hidden="1">"IND"</definedName>
    <definedName name="Parameter_TableCon" localSheetId="5" hidden="1">"IND"</definedName>
    <definedName name="Parameter_TableCon" localSheetId="12" hidden="1">"IND"</definedName>
    <definedName name="Parameter_TableCon" localSheetId="15" hidden="1">"IND"</definedName>
    <definedName name="Parameter_TableCon" localSheetId="32" hidden="1">"GEN"</definedName>
    <definedName name="Parameter_TableCon" localSheetId="28" hidden="1">"GEN"</definedName>
    <definedName name="Parameter_TableCon" localSheetId="29" hidden="1">"GEN"</definedName>
    <definedName name="Parameter_TableCon" localSheetId="30" hidden="1">"GEN"</definedName>
    <definedName name="Parameter_TableCon" localSheetId="31" hidden="1">"GEN"</definedName>
    <definedName name="Parameter_TableHeaders" localSheetId="17" hidden="1">"2:4"</definedName>
    <definedName name="Parameter_TableHeaders" localSheetId="8" hidden="1">"2:4"</definedName>
    <definedName name="Parameter_TableHeaders" localSheetId="19" hidden="1">"2:5"</definedName>
    <definedName name="Parameter_TableHeaders" localSheetId="11">"3:5"</definedName>
    <definedName name="Parameter_TableHeaders" localSheetId="10" hidden="1">"2:5"</definedName>
    <definedName name="Parameter_TableHeaders" localSheetId="3">"2:6"</definedName>
    <definedName name="Parameter_TableHeaders" localSheetId="18" hidden="1">"2:5"</definedName>
    <definedName name="Parameter_TableHeaders" localSheetId="9" hidden="1">"2:5"</definedName>
    <definedName name="Parameter_TableHeaders" localSheetId="2" hidden="1">"2:6"</definedName>
    <definedName name="Parameter_TableHeaders" localSheetId="21" hidden="1">"2:6"</definedName>
    <definedName name="Parameter_TableHeaders" localSheetId="20">"3:5"</definedName>
    <definedName name="Parameter_TableHeaders" localSheetId="4" hidden="1">"2:5"</definedName>
    <definedName name="Parameter_TableHeaders" localSheetId="7" hidden="1">"3:5"</definedName>
    <definedName name="Parameter_TableHeaders" localSheetId="6" hidden="1">"2:5"</definedName>
    <definedName name="Parameter_TableHeaders" localSheetId="5" hidden="1">"2:5"</definedName>
    <definedName name="Parameter_TableHeaders" localSheetId="12" hidden="1">"2:6"</definedName>
    <definedName name="Parameter_TableHeaders" localSheetId="32">"2:6"</definedName>
    <definedName name="Parameter_TableHeaders" localSheetId="28">"2:6"</definedName>
    <definedName name="Parameter_TableHeaders" localSheetId="29">"2:6"</definedName>
    <definedName name="Parameter_TableHeaders" localSheetId="30">"2:6"</definedName>
    <definedName name="Parameter_TableHeaders" localSheetId="31">"2:6"</definedName>
    <definedName name="Parameter_TableName" localSheetId="13" hidden="1">"JE"</definedName>
    <definedName name="Parameter_TableName" localSheetId="16" hidden="1">"JE"</definedName>
    <definedName name="Parameter_TableName" localSheetId="17" hidden="1">"BS"</definedName>
    <definedName name="Parameter_TableName" localSheetId="8" hidden="1">"BS"</definedName>
    <definedName name="Parameter_TableName" localSheetId="19" hidden="1">"CF"</definedName>
    <definedName name="Parameter_TableName" localSheetId="11">"CE"</definedName>
    <definedName name="Parameter_TableName" localSheetId="10" hidden="1">"CF"</definedName>
    <definedName name="Parameter_TableName" localSheetId="14" hidden="1">"JE"</definedName>
    <definedName name="Parameter_TableName" localSheetId="22" hidden="1">"WP"</definedName>
    <definedName name="Parameter_TableName" localSheetId="23" hidden="1">"WP"</definedName>
    <definedName name="Parameter_TableName" localSheetId="3" hidden="1">"OT"</definedName>
    <definedName name="Parameter_TableName" localSheetId="18" hidden="1">"IS"</definedName>
    <definedName name="Parameter_TableName" localSheetId="9" hidden="1">"IS"</definedName>
    <definedName name="Parameter_TableName" localSheetId="1" hidden="1">"ME"</definedName>
    <definedName name="Parameter_TableName" localSheetId="2" hidden="1">"OT"</definedName>
    <definedName name="Parameter_TableName" localSheetId="21" hidden="1">"NO"</definedName>
    <definedName name="Parameter_TableName" localSheetId="20">"CE"</definedName>
    <definedName name="Parameter_TableName" localSheetId="4" hidden="1">"BS"</definedName>
    <definedName name="Parameter_TableName" localSheetId="7" hidden="1">"CE"</definedName>
    <definedName name="Parameter_TableName" localSheetId="6" hidden="1">"CF"</definedName>
    <definedName name="Parameter_TableName" localSheetId="5" hidden="1">"IS"</definedName>
    <definedName name="Parameter_TableName" localSheetId="12" hidden="1">"TB"</definedName>
    <definedName name="Parameter_TableName" localSheetId="15" hidden="1">"JE"</definedName>
    <definedName name="Parameter_TableName" localSheetId="32" hidden="1">"OT"</definedName>
    <definedName name="Parameter_TableName" localSheetId="28" hidden="1">"OT"</definedName>
    <definedName name="Parameter_TableName" localSheetId="29" hidden="1">"OT"</definedName>
    <definedName name="Parameter_TableName" localSheetId="30" hidden="1">"OT"</definedName>
    <definedName name="Parameter_TableName" localSheetId="31" hidden="1">"OT"</definedName>
    <definedName name="Parameter_TableRep" localSheetId="13" hidden="1">"-1"</definedName>
    <definedName name="Parameter_TableRep" localSheetId="16" hidden="1">"-1"</definedName>
    <definedName name="Parameter_TableRep" localSheetId="17" hidden="1">"1"</definedName>
    <definedName name="Parameter_TableRep" localSheetId="8" hidden="1">"1"</definedName>
    <definedName name="Parameter_TableRep" localSheetId="19" hidden="1">"3"</definedName>
    <definedName name="Parameter_TableRep" localSheetId="11">"4"</definedName>
    <definedName name="Parameter_TableRep" localSheetId="10" hidden="1">"3"</definedName>
    <definedName name="Parameter_TableRep" localSheetId="14" hidden="1">"-1"</definedName>
    <definedName name="Parameter_TableRep" localSheetId="22" hidden="1">"-1"</definedName>
    <definedName name="Parameter_TableRep" localSheetId="23" hidden="1">"-1"</definedName>
    <definedName name="Parameter_TableRep" localSheetId="3" hidden="1">"-1"</definedName>
    <definedName name="Parameter_TableRep" localSheetId="18" hidden="1">"2"</definedName>
    <definedName name="Parameter_TableRep" localSheetId="9" hidden="1">"2"</definedName>
    <definedName name="Parameter_TableRep" localSheetId="1" hidden="1">"-1"</definedName>
    <definedName name="Parameter_TableRep" localSheetId="2" hidden="1">"-1"</definedName>
    <definedName name="Parameter_TableRep" localSheetId="21" hidden="1">"-1"</definedName>
    <definedName name="Parameter_TableRep" localSheetId="20">"4"</definedName>
    <definedName name="Parameter_TableRep" localSheetId="4" hidden="1">"-1"</definedName>
    <definedName name="Parameter_TableRep" localSheetId="7" hidden="1">"-1"</definedName>
    <definedName name="Parameter_TableRep" localSheetId="6" hidden="1">"-1"</definedName>
    <definedName name="Parameter_TableRep" localSheetId="5" hidden="1">"-1"</definedName>
    <definedName name="Parameter_TableRep" localSheetId="12" hidden="1">"-1"</definedName>
    <definedName name="Parameter_TableRep" localSheetId="15" hidden="1">"-1"</definedName>
    <definedName name="Parameter_TableRep" localSheetId="32" hidden="1">"-1"</definedName>
    <definedName name="Parameter_TableRep" localSheetId="28" hidden="1">"-1"</definedName>
    <definedName name="Parameter_TableRep" localSheetId="29" hidden="1">"-1"</definedName>
    <definedName name="Parameter_TableRep" localSheetId="30" hidden="1">"-1"</definedName>
    <definedName name="Parameter_TableRep" localSheetId="31" hidden="1">"-1"</definedName>
    <definedName name="Parameter_TableTem" localSheetId="13" hidden="1">"A11.03GEN"</definedName>
    <definedName name="Parameter_TableTem" localSheetId="16" hidden="1">"A11.03GEN"</definedName>
    <definedName name="Parameter_TableTem" localSheetId="17" hidden="1">"A11.03GEN"</definedName>
    <definedName name="Parameter_TableTem" localSheetId="8" hidden="1">"A11.03GEN"</definedName>
    <definedName name="Parameter_TableTem" localSheetId="19" hidden="1">"A11.03GEN"</definedName>
    <definedName name="Parameter_TableTem" localSheetId="11">"A11.03GEN"</definedName>
    <definedName name="Parameter_TableTem" localSheetId="10" hidden="1">"A11.03GEN"</definedName>
    <definedName name="Parameter_TableTem" localSheetId="14" hidden="1">"A11.03GEN"</definedName>
    <definedName name="Parameter_TableTem" localSheetId="22" hidden="1">"A11.03GEN"</definedName>
    <definedName name="Parameter_TableTem" localSheetId="23" hidden="1">"A11.03GEN"</definedName>
    <definedName name="Parameter_TableTem" localSheetId="3" hidden="1">"A11.03GEN"</definedName>
    <definedName name="Parameter_TableTem" localSheetId="18" hidden="1">"A11.03GEN"</definedName>
    <definedName name="Parameter_TableTem" localSheetId="9" hidden="1">"A11.03GEN"</definedName>
    <definedName name="Parameter_TableTem" localSheetId="1" hidden="1">"A11.03GEN"</definedName>
    <definedName name="Parameter_TableTem" localSheetId="2" hidden="1">"A11.03GEN"</definedName>
    <definedName name="Parameter_TableTem" localSheetId="21" hidden="1">"A11.03GEN"</definedName>
    <definedName name="Parameter_TableTem" localSheetId="20">"A11.03GEN"</definedName>
    <definedName name="Parameter_TableTem" localSheetId="4" hidden="1">"A11.03GEN"</definedName>
    <definedName name="Parameter_TableTem" localSheetId="7" hidden="1">"A11.03GEN"</definedName>
    <definedName name="Parameter_TableTem" localSheetId="6" hidden="1">"A11.03GEN"</definedName>
    <definedName name="Parameter_TableTem" localSheetId="5" hidden="1">"A11.03GEN"</definedName>
    <definedName name="Parameter_TableTem" localSheetId="12" hidden="1">"A11.03GEN"</definedName>
    <definedName name="Parameter_TableTem" localSheetId="15" hidden="1">"A11.03GEN"</definedName>
    <definedName name="Parameter_TableTem" localSheetId="32" hidden="1">"A11.03GEN"</definedName>
    <definedName name="Parameter_TableTem" localSheetId="28" hidden="1">"A11.03GEN"</definedName>
    <definedName name="Parameter_TableTem" localSheetId="29" hidden="1">"A11.03GEN"</definedName>
    <definedName name="Parameter_TableTem" localSheetId="30" hidden="1">"A11.03GEN"</definedName>
    <definedName name="Parameter_TableTem" localSheetId="31" hidden="1">"A11.03GEN"</definedName>
    <definedName name="Parameter_TableVersion" localSheetId="13" hidden="1">"WPERE211.1225"</definedName>
    <definedName name="Parameter_TableVersion" localSheetId="16" hidden="1">"WPERE211.1225"</definedName>
    <definedName name="Parameter_TableVersion" localSheetId="17" hidden="1">"WPERE211.1225"</definedName>
    <definedName name="Parameter_TableVersion" localSheetId="8" hidden="1">"WPERE211.1225"</definedName>
    <definedName name="Parameter_TableVersion" localSheetId="19" hidden="1">"WPERE211.1225"</definedName>
    <definedName name="Parameter_TableVersion" localSheetId="11">"WPERE211.1225"</definedName>
    <definedName name="Parameter_TableVersion" localSheetId="10" hidden="1">"WPERE211.1225"</definedName>
    <definedName name="Parameter_TableVersion" localSheetId="14" hidden="1">"WPERE211.1225"</definedName>
    <definedName name="Parameter_TableVersion" localSheetId="22" hidden="1">"WPERE211.1225"</definedName>
    <definedName name="Parameter_TableVersion" localSheetId="23" hidden="1">"WPERE211.1225"</definedName>
    <definedName name="Parameter_TableVersion" localSheetId="3" hidden="1">"WPERE211.1225"</definedName>
    <definedName name="Parameter_TableVersion" localSheetId="18" hidden="1">"WPERE211.1225"</definedName>
    <definedName name="Parameter_TableVersion" localSheetId="9" hidden="1">"WPERE211.1225"</definedName>
    <definedName name="Parameter_TableVersion" localSheetId="1" hidden="1">"WPERE211.1225"</definedName>
    <definedName name="Parameter_TableVersion" localSheetId="2" hidden="1">"WPERE211.1225"</definedName>
    <definedName name="Parameter_TableVersion" localSheetId="27" hidden="1">"WPERE211.1225"</definedName>
    <definedName name="Parameter_TableVersion" localSheetId="26" hidden="1">"WPERE211.1225"</definedName>
    <definedName name="Parameter_TableVersion" localSheetId="21" hidden="1">"WPERE215.1025"</definedName>
    <definedName name="Parameter_TableVersion" localSheetId="20">"WPERE211.1225"</definedName>
    <definedName name="Parameter_TableVersion" localSheetId="4" hidden="1">"WPERE211.1225"</definedName>
    <definedName name="Parameter_TableVersion" localSheetId="7" hidden="1">"WPERE211.1225"</definedName>
    <definedName name="Parameter_TableVersion" localSheetId="6" hidden="1">"WPERE211.1225"</definedName>
    <definedName name="Parameter_TableVersion" localSheetId="5" hidden="1">"WPERE211.1225"</definedName>
    <definedName name="Parameter_TableVersion" localSheetId="24" hidden="1">"WPERE211.1225"</definedName>
    <definedName name="Parameter_TableVersion" localSheetId="0" hidden="1">"WPERE211.1225"</definedName>
    <definedName name="Parameter_TableVersion" localSheetId="12" hidden="1">"WPERE211.1225"</definedName>
    <definedName name="Parameter_TableVersion" localSheetId="25" hidden="1">"WPERE211.1225"</definedName>
    <definedName name="Parameter_TableVersion" localSheetId="15" hidden="1">"WPERE211.1225"</definedName>
    <definedName name="Parameter_TableVersion" localSheetId="32" hidden="1">"WPERE211.1225"</definedName>
    <definedName name="Parameter_TableVersion" localSheetId="28" hidden="1">"WPERE211.1225"</definedName>
    <definedName name="Parameter_TableVersion" localSheetId="29" hidden="1">"WPERE211.1225"</definedName>
    <definedName name="Parameter_TableVersion" localSheetId="30" hidden="1">"WPERE211.1225"</definedName>
    <definedName name="Parameter_TableVersion" localSheetId="31" hidden="1">"WPERE211.1225"</definedName>
    <definedName name="PinYin" hidden="1">STATPARA!$AD$1:$AE$23</definedName>
    <definedName name="_xlnm.Print_Area" localSheetId="33">'9000A错报程序表'!$B$2:$J$28</definedName>
    <definedName name="_xlnm.Print_Area" localSheetId="36">'9000B对错报性质的评价'!$B$2:$H$38</definedName>
    <definedName name="_xlnm.Print_Area" localSheetId="37">'9000C错报评价'!$B$2:$K$33</definedName>
    <definedName name="_xlnm.Print_Area" localSheetId="38">'9000D对错报的沟通'!$B$2:$K$41</definedName>
    <definedName name="_xlnm.Print_Area" localSheetId="34">'9002B未更正错报（不包括披露错报）汇总表'!$B$2:$P$33</definedName>
    <definedName name="_xlnm.Print_Area" localSheetId="35">'9002C未更正披露错报汇总表'!$B$2:$H$25</definedName>
    <definedName name="_xlnm.Print_Area" localSheetId="13">AJE!$I$4:$P$48</definedName>
    <definedName name="_xlnm.Print_Area" localSheetId="16">'AJE1'!$I$4:$P$48</definedName>
    <definedName name="_xlnm.Print_Area" localSheetId="17">BalanceSheet!$E$2:$L$61</definedName>
    <definedName name="_xlnm.Print_Area" localSheetId="8">BS!$E$2:$L$52</definedName>
    <definedName name="_xlnm.Print_Area" localSheetId="19">CashFlow!$C$2:$F$62</definedName>
    <definedName name="_xlnm.Print_Area" localSheetId="11">CE!$C$3:$AC$37</definedName>
    <definedName name="_xlnm.Print_Area" localSheetId="10">CF!$C$2:$F$45</definedName>
    <definedName name="_xlnm.Print_Area" localSheetId="14">CFJE!$I$4:$P$49</definedName>
    <definedName name="_xlnm.Print_Area" localSheetId="22">CFWP1!$B$2:$J$113</definedName>
    <definedName name="_xlnm.Print_Area" localSheetId="23">CFWP2!$B$2:$I$196</definedName>
    <definedName name="_xlnm.Print_Area" localSheetId="3">Checks!$B$2:$N$85</definedName>
    <definedName name="_xlnm.Print_Area" localSheetId="18">IncomeStatement!$C$2:$F$70</definedName>
    <definedName name="_xlnm.Print_Area" localSheetId="9">IS!$C$2:$F$57</definedName>
    <definedName name="_xlnm.Print_Area" localSheetId="1">Lead!$B$3:$K$59</definedName>
    <definedName name="_xlnm.Print_Area" localSheetId="2">noteChecks!$D$2:$N$409</definedName>
    <definedName name="_xlnm.Print_Area" localSheetId="21">Notes!$G$2:$R$6249</definedName>
    <definedName name="_xlnm.Print_Area" localSheetId="20">OwnersEquity!$C$3:$AC$38</definedName>
    <definedName name="_xlnm.Print_Area" localSheetId="4">preBS!$D$2:$L$69</definedName>
    <definedName name="_xlnm.Print_Area" localSheetId="7">preCE!$C$3:$AE$41</definedName>
    <definedName name="_xlnm.Print_Area" localSheetId="6">preCF!$C$2:$F$66</definedName>
    <definedName name="_xlnm.Print_Area" localSheetId="5">preIS!$C$2:$F$81</definedName>
    <definedName name="_xlnm.Print_Area" localSheetId="12">TB!$E$2:$M$764</definedName>
    <definedName name="_xlnm.Print_Area" localSheetId="15">UJE!$I$4:$P$51</definedName>
    <definedName name="_xlnm.Print_Area" localSheetId="32">非财务信息!$B$2:$I$17</definedName>
    <definedName name="_xlnm.Print_Area" localSheetId="28">未审报表分析!$B$2:$K$130</definedName>
    <definedName name="_xlnm.Print_Area" localSheetId="29">未审财务指标分析!$B$2:$I$39</definedName>
    <definedName name="_xlnm.Print_Area" localSheetId="30">已审报表分析!$B$2:$K$130</definedName>
    <definedName name="_xlnm.Print_Area" localSheetId="31">已审财务指标分析!$B$2:$I$66</definedName>
    <definedName name="_xlnm.Print_Titles" localSheetId="33">'9000A错报程序表'!$2:$6</definedName>
    <definedName name="_xlnm.Print_Titles" localSheetId="36">'9000B对错报性质的评价'!$2:$6</definedName>
    <definedName name="_xlnm.Print_Titles" localSheetId="37">'9000C错报评价'!$2:$6</definedName>
    <definedName name="_xlnm.Print_Titles" localSheetId="38">'9000D对错报的沟通'!$2:$6</definedName>
    <definedName name="_xlnm.Print_Titles" localSheetId="34">'9002B未更正错报（不包括披露错报）汇总表'!$2:$6</definedName>
    <definedName name="_xlnm.Print_Titles" localSheetId="35">'9002C未更正披露错报汇总表'!$2:$6</definedName>
    <definedName name="_xlnm.Print_Titles" localSheetId="13">AJE!$4:$8</definedName>
    <definedName name="_xlnm.Print_Titles" localSheetId="16">'AJE1'!$4:$8</definedName>
    <definedName name="_xlnm.Print_Titles" localSheetId="11">CE!$C:$C</definedName>
    <definedName name="_xlnm.Print_Titles" localSheetId="14">CFJE!$4:$8</definedName>
    <definedName name="_xlnm.Print_Titles" localSheetId="22">CFWP1!$2:$6</definedName>
    <definedName name="_xlnm.Print_Titles" localSheetId="23">CFWP2!$2:$6</definedName>
    <definedName name="_xlnm.Print_Titles" localSheetId="3">Checks!$2:$8</definedName>
    <definedName name="_xlnm.Print_Titles" localSheetId="2">noteChecks!$2:$8</definedName>
    <definedName name="_xlnm.Print_Titles" localSheetId="21">Notes!$2:$6</definedName>
    <definedName name="_xlnm.Print_Titles" localSheetId="20">OwnersEquity!$C:$C</definedName>
    <definedName name="_xlnm.Print_Titles" localSheetId="12">TB!$2:$8</definedName>
    <definedName name="_xlnm.Print_Titles" localSheetId="15">UJE!$4:$8</definedName>
    <definedName name="_xlnm.Print_Titles" localSheetId="32">非财务信息!$2:$7</definedName>
    <definedName name="_xlnm.Print_Titles" localSheetId="28">未审报表分析!$2:$8</definedName>
    <definedName name="_xlnm.Print_Titles" localSheetId="29">未审财务指标分析!$2:$8</definedName>
    <definedName name="_xlnm.Print_Titles" localSheetId="30">已审报表分析!$2:$8</definedName>
    <definedName name="_xlnm.Print_Titles" localSheetId="31">已审财务指标分析!$2:$8</definedName>
    <definedName name="Sheet_AcctClass" hidden="1">STATPARA!$AK$1:$AK$8</definedName>
    <definedName name="Sheet_Adjentry" localSheetId="13" hidden="1">AJE!$A$8:$AE$38</definedName>
    <definedName name="Sheet_Adjentry" localSheetId="16" hidden="1">'AJE1'!$A$8:$AE$38</definedName>
    <definedName name="Sheet_Adjentry" localSheetId="14" hidden="1">CFJE!$A$8:$T$38</definedName>
    <definedName name="Sheet_Adjentry" localSheetId="15" hidden="1">UJE!$A$8:$AE$38</definedName>
    <definedName name="Sheet_AjeProof" hidden="1">STATPARA!$AI$1:$AI$22</definedName>
    <definedName name="Sheet_AjeSatus" hidden="1">STATPARA!$AG$1:$AG$22</definedName>
    <definedName name="Sheet_AnalyData" localSheetId="32" hidden="1">非财务信息!$A$7:$I$17</definedName>
    <definedName name="Sheet_AnalyData" localSheetId="28" hidden="1">未审报表分析!$A$8:$K$130</definedName>
    <definedName name="Sheet_AnalyData" localSheetId="29" hidden="1">未审财务指标分析!$A$8:$I$70</definedName>
    <definedName name="Sheet_AnalyData" localSheetId="30" hidden="1">已审报表分析!$A$8:$K$130</definedName>
    <definedName name="Sheet_AnalyData" localSheetId="31" hidden="1">已审财务指标分析!$A$8:$I$109</definedName>
    <definedName name="Sheet_Balance1" hidden="1">TB!$T$6:$U$739</definedName>
    <definedName name="Sheet_BS1" hidden="1">BS!$C$6:$H$51</definedName>
    <definedName name="Sheet_BS2" hidden="1">BS!$D$6:$L$51</definedName>
    <definedName name="Sheet_Caption1" localSheetId="17" hidden="1">BalanceSheet!$E$2:$L$2</definedName>
    <definedName name="Sheet_Caption1" localSheetId="8" hidden="1">BS!$E$2:$L$2</definedName>
    <definedName name="Sheet_Caption1" localSheetId="19" hidden="1">CashFlow!$C$2:$F$2</definedName>
    <definedName name="Sheet_Caption1" localSheetId="11" hidden="1">CE!$H$3</definedName>
    <definedName name="Sheet_Caption1" localSheetId="10" hidden="1">CF!$C$2:$F$2</definedName>
    <definedName name="Sheet_Caption1" localSheetId="18" hidden="1">IncomeStatement!$C$2:$F$2</definedName>
    <definedName name="Sheet_Caption1" localSheetId="9" hidden="1">IS!$C$2:$F$2</definedName>
    <definedName name="Sheet_Caption1" localSheetId="20" hidden="1">OwnersEquity!$H$3</definedName>
    <definedName name="Sheet_Caption2" localSheetId="11" hidden="1">CE!$T$3</definedName>
    <definedName name="Sheet_Caption2" localSheetId="20" hidden="1">OwnersEquity!$T$3</definedName>
    <definedName name="Sheet_CE" hidden="1">CE!$B$2:$AC$36</definedName>
    <definedName name="Sheet_CEcol" hidden="1">CE!$B$2:$AC$2</definedName>
    <definedName name="Sheet_CErow" hidden="1">CE!$B$2:$B$36</definedName>
    <definedName name="Sheet_CF" hidden="1">CF!$B$6:$F$44</definedName>
    <definedName name="Sheet_CF7" hidden="1">CF!$B$49:$F$78</definedName>
    <definedName name="Sheet_Check1" localSheetId="17" hidden="1">BalanceSheet!$E$65:$E$69</definedName>
    <definedName name="Sheet_Check1" localSheetId="8" hidden="1">BS!$E$56:$E$60</definedName>
    <definedName name="Sheet_Check1" localSheetId="19" hidden="1">CashFlow!$C$97:$C$101</definedName>
    <definedName name="Sheet_Check1" localSheetId="11" hidden="1">CE!$C$41:$C$45</definedName>
    <definedName name="Sheet_Check1" localSheetId="10" hidden="1">CF!$C$80:$C$84</definedName>
    <definedName name="Sheet_Check1" localSheetId="18" hidden="1">IncomeStatement!$C$74:$C$81</definedName>
    <definedName name="Sheet_Check1" localSheetId="9" hidden="1">IS!$C$61:$C$68</definedName>
    <definedName name="Sheet_Check1" localSheetId="21" hidden="1">Notes!$G$6251:$G$6255</definedName>
    <definedName name="Sheet_Check1" localSheetId="20" hidden="1">OwnersEquity!$C$42:$C$46</definedName>
    <definedName name="Sheet_Check1" localSheetId="4" hidden="1">preBS!$D$90:$D$97</definedName>
    <definedName name="Sheet_Check1" localSheetId="7" hidden="1">preCE!$C$45:$C$57</definedName>
    <definedName name="Sheet_Check1" localSheetId="6" hidden="1">preCF!$C$100:$C$129</definedName>
    <definedName name="Sheet_Check1" localSheetId="5" hidden="1">preIS!$C$85:$C$129</definedName>
    <definedName name="Sheet_Check1" localSheetId="12" hidden="1">TB!$E$784:$E$877</definedName>
    <definedName name="Sheet_Freeze1" localSheetId="13" hidden="1">AJE!$L$9</definedName>
    <definedName name="Sheet_Freeze1" localSheetId="16" hidden="1">'AJE1'!$L$9</definedName>
    <definedName name="Sheet_Freeze1" localSheetId="17" hidden="1">BalanceSheet!$F$7</definedName>
    <definedName name="Sheet_Freeze1" localSheetId="8" hidden="1">BS!$F$7</definedName>
    <definedName name="Sheet_Freeze1" localSheetId="19" hidden="1">CashFlow!$D$7</definedName>
    <definedName name="Sheet_Freeze1" localSheetId="11" hidden="1">CE!$D$9</definedName>
    <definedName name="Sheet_Freeze1" localSheetId="10" hidden="1">CF!$D$7</definedName>
    <definedName name="Sheet_Freeze1" localSheetId="14" hidden="1">CFJE!$L$9</definedName>
    <definedName name="Sheet_Freeze1" localSheetId="18" hidden="1">IncomeStatement!$D$7</definedName>
    <definedName name="Sheet_Freeze1" localSheetId="9" hidden="1">IS!$D$7</definedName>
    <definedName name="Sheet_Freeze1" localSheetId="21" hidden="1">Notes!$H$8</definedName>
    <definedName name="Sheet_Freeze1" localSheetId="20" hidden="1">OwnersEquity!$D$9</definedName>
    <definedName name="Sheet_Freeze1" localSheetId="4" hidden="1">preBS!$E$9</definedName>
    <definedName name="Sheet_Freeze1" localSheetId="7" hidden="1">preCE!$D$9</definedName>
    <definedName name="Sheet_Freeze1" localSheetId="6" hidden="1">preCF!$D$9</definedName>
    <definedName name="Sheet_Freeze1" localSheetId="5" hidden="1">preIS!$D$9</definedName>
    <definedName name="Sheet_Freeze1" localSheetId="12" hidden="1">TB!$F$9</definedName>
    <definedName name="Sheet_Freeze1" localSheetId="15" hidden="1">UJE!$L$9</definedName>
    <definedName name="Sheet_FsCheckList" hidden="1">STATPARA!$AS$1:$BD$120</definedName>
    <definedName name="Sheet_FsChecks" localSheetId="3" hidden="1">Checks!$B$8:$N$84</definedName>
    <definedName name="Sheet_FsnotesList" hidden="1">STATPARA!$Z$1:$AB$142</definedName>
    <definedName name="Sheet_IS" hidden="1">IS!$B$6:$F$50</definedName>
    <definedName name="Sheet_Items" hidden="1">STATPARA!$B$1:$J$875</definedName>
    <definedName name="Sheet_Items2" hidden="1">STATPARA!$C$1:$J$875</definedName>
    <definedName name="Sheet_Link1" localSheetId="29" hidden="1">未审财务指标分析!$C$42</definedName>
    <definedName name="Sheet_Link1" localSheetId="31" hidden="1">已审财务指标分析!$C$69</definedName>
    <definedName name="Sheet_MisstaCause" hidden="1">STATPARA!$AQ$1:$AQ$2</definedName>
    <definedName name="Sheet_MisstaType" hidden="1">STATPARA!$AM$1:$AM$3</definedName>
    <definedName name="Sheet_NoteChecks" localSheetId="2" hidden="1">noteChecks!$A$8:$Y$408</definedName>
    <definedName name="Sheet_NoteList" hidden="1">STATPARA!$S$1:$X$485</definedName>
    <definedName name="Sheet_Prebs1" hidden="1">preBS!$C$8:$G$68</definedName>
    <definedName name="Sheet_Prebs2" hidden="1">preBS!$H$8:$L$68</definedName>
    <definedName name="Sheet_Prebs3" hidden="1">preBS!$C$71:$G$88</definedName>
    <definedName name="Sheet_Precf" hidden="1">preCF!$B$8:$F$65</definedName>
    <definedName name="Sheet_Precf7" hidden="1">preCF!$B$69:$F$98</definedName>
    <definedName name="Sheet_Preis" hidden="1">preIS!$B$8:$F$79</definedName>
    <definedName name="Sheet_Presc" hidden="1">preCE!$B$2:$AE$40</definedName>
    <definedName name="Sheet_Presccol" hidden="1">preCE!$B$2:$AE$2</definedName>
    <definedName name="Sheet_Prescrow" hidden="1">preCE!$B$2:$B$40</definedName>
    <definedName name="Sheet_Trialbal" hidden="1">TB!$D$6:$M$781</definedName>
    <definedName name="Sheet_TypeName" hidden="1">STATPARA!$BF$1:$BF$8</definedName>
    <definedName name="Sheet_UncorMistaType" hidden="1">STATPARA!$AO$1:$AO$3</definedName>
    <definedName name="TBLink1000" localSheetId="12" hidden="1">TB!$E$9:$E$13</definedName>
    <definedName name="TBLink1900" localSheetId="12" hidden="1">TB!$E$717:$E$721</definedName>
    <definedName name="TBLink2000" localSheetId="12" hidden="1">TB!$E$65:$E$68</definedName>
    <definedName name="TBLink6000" localSheetId="12" hidden="1">TB!$E$126:$E$130</definedName>
    <definedName name="TBLink7000" localSheetId="12" hidden="1">TB!$E$656:$E$660</definedName>
    <definedName name="TBLink7500" localSheetId="12" hidden="1">TB!$E$735:$E$740</definedName>
    <definedName name="TBLink8000" localSheetId="12" hidden="1">TB!$E$201:$E$205</definedName>
    <definedName name="WPE_ClientName" localSheetId="33" hidden="1">'9000A错报程序表'!$B$3</definedName>
    <definedName name="WPE_ClientName" localSheetId="36" hidden="1">'9000B对错报性质的评价'!$B$3</definedName>
    <definedName name="WPE_ClientName" localSheetId="37" hidden="1">'9000C错报评价'!$B$3</definedName>
    <definedName name="WPE_ClientName" localSheetId="38" hidden="1">'9000D对错报的沟通'!$B$3</definedName>
    <definedName name="WPE_ClientName" localSheetId="34" hidden="1">'9002B未更正错报（不包括披露错报）汇总表'!$B$3</definedName>
    <definedName name="WPE_ClientName" localSheetId="35" hidden="1">'9002C未更正披露错报汇总表'!$B$3</definedName>
    <definedName name="WPE_PeriodEnd" localSheetId="33" hidden="1">'9000A错报程序表'!$B$5</definedName>
    <definedName name="WPE_PeriodEnd" localSheetId="36" hidden="1">'9000B对错报性质的评价'!$B$5</definedName>
    <definedName name="WPE_PeriodEnd" localSheetId="37" hidden="1">'9000C错报评价'!$B$5</definedName>
    <definedName name="WPE_PeriodEnd" localSheetId="38" hidden="1">'9000D对错报的沟通'!$B$5</definedName>
    <definedName name="WPE_PeriodEnd" localSheetId="34" hidden="1">'9002B未更正错报（不包括披露错报）汇总表'!$B$5</definedName>
    <definedName name="WPE_PeriodEnd" localSheetId="35" hidden="1">'9002C未更正披露错报汇总表'!$B$5</definedName>
    <definedName name="WPE_PreparedDate" localSheetId="33" hidden="1">'9000A错报程序表'!$A$2</definedName>
    <definedName name="WPE_PreparedDate" localSheetId="36" hidden="1">'9000B对错报性质的评价'!$A$2</definedName>
    <definedName name="WPE_PreparedDate" localSheetId="37" hidden="1">'9000C错报评价'!$A$2</definedName>
    <definedName name="WPE_PreparedDate" localSheetId="38" hidden="1">'9000D对错报的沟通'!$A$2</definedName>
    <definedName name="WPE_PreparedDate" localSheetId="34" hidden="1">'9002B未更正错报（不包括披露错报）汇总表'!$A$2</definedName>
    <definedName name="WPE_PreparedDate" localSheetId="35" hidden="1">'9002C未更正披露错报汇总表'!$A$2</definedName>
    <definedName name="WPE_Preparer" localSheetId="33" hidden="1">'9000A错报程序表'!$D$1</definedName>
    <definedName name="WPE_Preparer" localSheetId="36" hidden="1">'9000B对错报性质的评价'!$D$1</definedName>
    <definedName name="WPE_Preparer" localSheetId="37" hidden="1">'9000C错报评价'!$D$1</definedName>
    <definedName name="WPE_Preparer" localSheetId="38" hidden="1">'9000D对错报的沟通'!$D$1</definedName>
    <definedName name="WPE_Preparer" localSheetId="34" hidden="1">'9002B未更正错报（不包括披露错报）汇总表'!$D$1</definedName>
    <definedName name="WPE_Preparer" localSheetId="35" hidden="1">'9002C未更正披露错报汇总表'!$D$1</definedName>
    <definedName name="WPE_Range_AccountDrCr" localSheetId="33" hidden="1">'9000A错报程序表'!$C$1</definedName>
    <definedName name="WPE_Range_AccountDrCr" localSheetId="36" hidden="1">'9000B对错报性质的评价'!$C$1</definedName>
    <definedName name="WPE_Range_AccountDrCr" localSheetId="37" hidden="1">'9000C错报评价'!$C$1</definedName>
    <definedName name="WPE_Range_AccountDrCr" localSheetId="38" hidden="1">'9000D对错报的沟通'!$C$1</definedName>
    <definedName name="WPE_Range_AccountDrCr" localSheetId="34" hidden="1">'9002B未更正错报（不包括披露错报）汇总表'!$C$1</definedName>
    <definedName name="WPE_Range_AccountDrCr" localSheetId="35" hidden="1">'9002C未更正披露错报汇总表'!$C$1</definedName>
    <definedName name="WPE_Range_AccountName" localSheetId="33" hidden="1">'9000A错报程序表'!$A$4</definedName>
    <definedName name="WPE_Range_AccountName" localSheetId="36" hidden="1">'9000B对错报性质的评价'!$A$4</definedName>
    <definedName name="WPE_Range_AccountName" localSheetId="37" hidden="1">'9000C错报评价'!$A$4</definedName>
    <definedName name="WPE_Range_AccountName" localSheetId="38" hidden="1">'9000D对错报的沟通'!$A$4</definedName>
    <definedName name="WPE_Range_AccountName" localSheetId="34" hidden="1">'9002B未更正错报（不包括披露错报）汇总表'!$A$4</definedName>
    <definedName name="WPE_Range_AccountName" localSheetId="35" hidden="1">'9002C未更正披露错报汇总表'!$A$4</definedName>
    <definedName name="WPE_Range_AuditProc" localSheetId="33" hidden="1">'9000A错报程序表'!$A$8:$K$26</definedName>
    <definedName name="WPE_Range_GuideButton1" localSheetId="33" hidden="1">'9000A错报程序表'!$I$8</definedName>
    <definedName name="WPE_Range_GuideTxtbox1" localSheetId="33" hidden="1">'9000A错报程序表'!$B$32</definedName>
    <definedName name="WPE_Range_StHeader" localSheetId="33" hidden="1">'9000A错报程序表'!$B$2:$J$6</definedName>
    <definedName name="WPE_Range_StHeader" localSheetId="36" hidden="1">'9000B对错报性质的评价'!$B$2:$H$6</definedName>
    <definedName name="WPE_Range_StHeader" localSheetId="37" hidden="1">'9000C错报评价'!$B$2:$K$6</definedName>
    <definedName name="WPE_Range_StHeader" localSheetId="38" hidden="1">'9000D对错报的沟通'!$B$2:$K$6</definedName>
    <definedName name="WPE_Range_StHeader" localSheetId="34" hidden="1">'9002B未更正错报（不包括披露错报）汇总表'!$B$2:$P$6</definedName>
    <definedName name="WPE_Range_StHeader" localSheetId="35" hidden="1">'9002C未更正披露错报汇总表'!$B$2:$H$6</definedName>
    <definedName name="WPE_Range_Subject" localSheetId="33" hidden="1">'9000A错报程序表'!$B$4</definedName>
    <definedName name="WPE_Range_Subject" localSheetId="36" hidden="1">'9000B对错报性质的评价'!$B$4</definedName>
    <definedName name="WPE_Range_Subject" localSheetId="37" hidden="1">'9000C错报评价'!$B$4</definedName>
    <definedName name="WPE_Range_Subject" localSheetId="38" hidden="1">'9000D对错报的沟通'!$B$4</definedName>
    <definedName name="WPE_Range_Subject" localSheetId="34" hidden="1">'9002B未更正错报（不包括披露错报）汇总表'!$B$4</definedName>
    <definedName name="WPE_Range_Subject" localSheetId="35" hidden="1">'9002C未更正披露错报汇总表'!$B$4</definedName>
    <definedName name="WPE_Range_TemplID" localSheetId="33" hidden="1">'9000A错报程序表'!$A$3</definedName>
    <definedName name="WPE_Range_TemplID" localSheetId="36" hidden="1">'9000B对错报性质的评价'!$A$3</definedName>
    <definedName name="WPE_Range_TemplID" localSheetId="37" hidden="1">'9000C错报评价'!$A$3</definedName>
    <definedName name="WPE_Range_TemplID" localSheetId="38" hidden="1">'9000D对错报的沟通'!$A$3</definedName>
    <definedName name="WPE_Range_TemplID" localSheetId="34" hidden="1">'9002B未更正错报（不包括披露错报）汇总表'!$A$3</definedName>
    <definedName name="WPE_Range_TemplID" localSheetId="35" hidden="1">'9002C未更正披露错报汇总表'!$A$3</definedName>
    <definedName name="WPE_Range_WPReference" localSheetId="33" hidden="1">'9000A错报程序表'!$B$1</definedName>
    <definedName name="WPE_Range_WPReference" localSheetId="36" hidden="1">'9000B对错报性质的评价'!$B$1</definedName>
    <definedName name="WPE_Range_WPReference" localSheetId="37" hidden="1">'9000C错报评价'!$B$1</definedName>
    <definedName name="WPE_Range_WPReference" localSheetId="38" hidden="1">'9000D对错报的沟通'!$B$1</definedName>
    <definedName name="WPE_Range_WPReference" localSheetId="34" hidden="1">'9002B未更正错报（不包括披露错报）汇总表'!$B$1</definedName>
    <definedName name="WPE_Range_WPReference" localSheetId="35" hidden="1">'9002C未更正披露错报汇总表'!$B$1</definedName>
    <definedName name="WPE_ReviewedDate" localSheetId="33" hidden="1">'9000A错报程序表'!$A$6</definedName>
    <definedName name="WPE_ReviewedDate" localSheetId="36" hidden="1">'9000B对错报性质的评价'!$A$6</definedName>
    <definedName name="WPE_ReviewedDate" localSheetId="37" hidden="1">'9000C错报评价'!$A$6</definedName>
    <definedName name="WPE_ReviewedDate" localSheetId="38" hidden="1">'9000D对错报的沟通'!$A$6</definedName>
    <definedName name="WPE_ReviewedDate" localSheetId="34" hidden="1">'9002B未更正错报（不包括披露错报）汇总表'!$A$6</definedName>
    <definedName name="WPE_ReviewedDate" localSheetId="35" hidden="1">'9002C未更正披露错报汇总表'!$A$6</definedName>
    <definedName name="WPE_Reviewer" localSheetId="33" hidden="1">'9000A错报程序表'!$A$5</definedName>
    <definedName name="WPE_Reviewer" localSheetId="36" hidden="1">'9000B对错报性质的评价'!$A$5</definedName>
    <definedName name="WPE_Reviewer" localSheetId="37" hidden="1">'9000C错报评价'!$A$5</definedName>
    <definedName name="WPE_Reviewer" localSheetId="38" hidden="1">'9000D对错报的沟通'!$A$5</definedName>
    <definedName name="WPE_Reviewer" localSheetId="34" hidden="1">'9002B未更正错报（不包括披露错报）汇总表'!$A$5</definedName>
    <definedName name="WPE_Reviewer" localSheetId="35" hidden="1">'9002C未更正披露错报汇总表'!$A$5</definedName>
    <definedName name="WPE_SheetType" localSheetId="33" hidden="1">"FSZ"</definedName>
    <definedName name="WPE_SheetType" localSheetId="36" hidden="1">"FSZ"</definedName>
    <definedName name="WPE_SheetType" localSheetId="37" hidden="1">"FSZ"</definedName>
    <definedName name="WPE_SheetType" localSheetId="38" hidden="1">"FSZ"</definedName>
    <definedName name="WPE_SheetType" localSheetId="34" hidden="1">"FSZ"</definedName>
    <definedName name="WPE_SheetType" localSheetId="35" hidden="1">"FSZ"</definedName>
    <definedName name="WPE_TemplVer" localSheetId="33" hidden="1">"19.09"</definedName>
    <definedName name="WPE_TemplVer" localSheetId="36" hidden="1">"19.09"</definedName>
    <definedName name="WPE_TemplVer" localSheetId="37" hidden="1">"19.09"</definedName>
    <definedName name="WPE_TemplVer" localSheetId="38" hidden="1">"19.09"</definedName>
    <definedName name="WPE_TemplVer" localSheetId="34" hidden="1">"19.09"</definedName>
    <definedName name="WPE_TemplVer" localSheetId="35" hidden="1">"19.09"</definedName>
    <definedName name="审计程序Procedures" localSheetId="33">'9000A错报程序表'!$B$8:$J$26</definedName>
  </definedNames>
  <calcPr calcId="162913" fullPrecision="0"/>
</workbook>
</file>

<file path=xl/calcChain.xml><?xml version="1.0" encoding="utf-8"?>
<calcChain xmlns="http://schemas.openxmlformats.org/spreadsheetml/2006/main">
  <c r="H4753" i="18" l="1"/>
  <c r="E64" i="8"/>
  <c r="J16" i="6" l="1"/>
  <c r="J34" i="6"/>
  <c r="J35" i="6"/>
  <c r="J36" i="6"/>
  <c r="J37" i="6"/>
  <c r="R9" i="2" l="1"/>
  <c r="AB9" i="2"/>
  <c r="K162" i="5" l="1"/>
  <c r="L162" i="5"/>
  <c r="K160" i="5"/>
  <c r="L160" i="5"/>
  <c r="K128" i="5"/>
  <c r="L128" i="5"/>
  <c r="K133" i="5"/>
  <c r="L133" i="5"/>
  <c r="K141" i="5"/>
  <c r="L141" i="5"/>
  <c r="K142" i="5"/>
  <c r="L142" i="5"/>
  <c r="K143" i="5"/>
  <c r="L143" i="5"/>
  <c r="K144" i="5"/>
  <c r="L144" i="5"/>
  <c r="K145" i="5"/>
  <c r="L145" i="5"/>
  <c r="K148" i="5"/>
  <c r="L148" i="5"/>
  <c r="K149" i="5"/>
  <c r="L149" i="5"/>
  <c r="K150" i="5"/>
  <c r="L150" i="5"/>
  <c r="K151" i="5"/>
  <c r="L151" i="5"/>
  <c r="K153" i="5"/>
  <c r="L153" i="5"/>
  <c r="K154" i="5"/>
  <c r="L154" i="5"/>
  <c r="K155" i="5"/>
  <c r="L155" i="5"/>
  <c r="K156" i="5"/>
  <c r="L156" i="5"/>
  <c r="K157" i="5"/>
  <c r="L157" i="5"/>
  <c r="K159" i="5"/>
  <c r="L159" i="5"/>
  <c r="C11" i="6"/>
  <c r="B11" i="6"/>
  <c r="C10" i="6"/>
  <c r="Q10" i="6" s="1"/>
  <c r="AE10" i="6" s="1"/>
  <c r="B10" i="6"/>
  <c r="F47" i="21"/>
  <c r="F38" i="21"/>
  <c r="F40" i="21"/>
  <c r="F43" i="21"/>
  <c r="F45" i="21"/>
  <c r="F50" i="21"/>
  <c r="J169" i="5"/>
  <c r="AB18" i="2" s="1"/>
  <c r="AB15" i="2" s="1"/>
  <c r="S9" i="2"/>
  <c r="T9" i="2"/>
  <c r="U9" i="2"/>
  <c r="V9" i="2"/>
  <c r="W9" i="2"/>
  <c r="X9" i="2"/>
  <c r="Y9" i="2"/>
  <c r="Z9" i="2"/>
  <c r="AA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4" i="2"/>
  <c r="S14" i="2"/>
  <c r="T14" i="2"/>
  <c r="U14" i="2"/>
  <c r="V14" i="2"/>
  <c r="W14" i="2"/>
  <c r="X14" i="2"/>
  <c r="Y14" i="2"/>
  <c r="Z14" i="2"/>
  <c r="AA14" i="2"/>
  <c r="AB14" i="2"/>
  <c r="AC14" i="2"/>
  <c r="AD14" i="2"/>
  <c r="R18" i="2"/>
  <c r="R20" i="2"/>
  <c r="R21" i="2"/>
  <c r="R22" i="2"/>
  <c r="R23" i="2"/>
  <c r="R19" i="2"/>
  <c r="R25" i="2"/>
  <c r="R26" i="2"/>
  <c r="R27" i="2"/>
  <c r="R28" i="2"/>
  <c r="R24" i="2"/>
  <c r="R30" i="2"/>
  <c r="R31" i="2"/>
  <c r="R32" i="2"/>
  <c r="R33" i="2"/>
  <c r="R34" i="2"/>
  <c r="R35" i="2"/>
  <c r="R29" i="2"/>
  <c r="R37" i="2"/>
  <c r="R38" i="2"/>
  <c r="R36" i="2"/>
  <c r="R39" i="2"/>
  <c r="R15" i="2"/>
  <c r="S18" i="2"/>
  <c r="S20" i="2"/>
  <c r="S21" i="2"/>
  <c r="S22" i="2"/>
  <c r="S23" i="2"/>
  <c r="S19" i="2"/>
  <c r="S25" i="2"/>
  <c r="S26" i="2"/>
  <c r="S27" i="2"/>
  <c r="S28" i="2"/>
  <c r="S24" i="2"/>
  <c r="S30" i="2"/>
  <c r="S31" i="2"/>
  <c r="S32" i="2"/>
  <c r="S33" i="2"/>
  <c r="S34" i="2"/>
  <c r="S35" i="2"/>
  <c r="S29" i="2"/>
  <c r="S37" i="2"/>
  <c r="S38" i="2"/>
  <c r="S36" i="2"/>
  <c r="S39" i="2"/>
  <c r="S15" i="2"/>
  <c r="T18" i="2"/>
  <c r="T20" i="2"/>
  <c r="T21" i="2"/>
  <c r="T22" i="2"/>
  <c r="T23" i="2"/>
  <c r="T19" i="2"/>
  <c r="T25" i="2"/>
  <c r="T26" i="2"/>
  <c r="T27" i="2"/>
  <c r="T28" i="2"/>
  <c r="T24" i="2"/>
  <c r="T30" i="2"/>
  <c r="T31" i="2"/>
  <c r="T32" i="2"/>
  <c r="T33" i="2"/>
  <c r="T34" i="2"/>
  <c r="T35" i="2"/>
  <c r="T29" i="2"/>
  <c r="T37" i="2"/>
  <c r="T38" i="2"/>
  <c r="T36" i="2"/>
  <c r="T39" i="2"/>
  <c r="T15" i="2"/>
  <c r="U18" i="2"/>
  <c r="U20" i="2"/>
  <c r="U21" i="2"/>
  <c r="U22" i="2"/>
  <c r="U23" i="2"/>
  <c r="U19" i="2"/>
  <c r="U25" i="2"/>
  <c r="U26" i="2"/>
  <c r="U27" i="2"/>
  <c r="U28" i="2"/>
  <c r="U24" i="2"/>
  <c r="U30" i="2"/>
  <c r="U31" i="2"/>
  <c r="U32" i="2"/>
  <c r="U33" i="2"/>
  <c r="U34" i="2"/>
  <c r="U35" i="2"/>
  <c r="U29" i="2"/>
  <c r="U37" i="2"/>
  <c r="U38" i="2"/>
  <c r="U36" i="2"/>
  <c r="U39" i="2"/>
  <c r="U15" i="2"/>
  <c r="V18" i="2"/>
  <c r="V20" i="2"/>
  <c r="V21" i="2"/>
  <c r="V22" i="2"/>
  <c r="V23" i="2"/>
  <c r="V19" i="2"/>
  <c r="V25" i="2"/>
  <c r="V26" i="2"/>
  <c r="V27" i="2"/>
  <c r="V28" i="2"/>
  <c r="V24" i="2"/>
  <c r="V30" i="2"/>
  <c r="V31" i="2"/>
  <c r="V32" i="2"/>
  <c r="V33" i="2"/>
  <c r="V34" i="2"/>
  <c r="V35" i="2"/>
  <c r="V29" i="2"/>
  <c r="V37" i="2"/>
  <c r="V38" i="2"/>
  <c r="V36" i="2"/>
  <c r="V39" i="2"/>
  <c r="V15" i="2"/>
  <c r="W18" i="2"/>
  <c r="W20" i="2"/>
  <c r="W21" i="2"/>
  <c r="W22" i="2"/>
  <c r="W23" i="2"/>
  <c r="W19" i="2"/>
  <c r="W25" i="2"/>
  <c r="W26" i="2"/>
  <c r="W27" i="2"/>
  <c r="W28" i="2"/>
  <c r="W24" i="2"/>
  <c r="W30" i="2"/>
  <c r="W31" i="2"/>
  <c r="W32" i="2"/>
  <c r="W33" i="2"/>
  <c r="W34" i="2"/>
  <c r="W35" i="2"/>
  <c r="W29" i="2"/>
  <c r="W37" i="2"/>
  <c r="W38" i="2"/>
  <c r="W36" i="2"/>
  <c r="W39" i="2"/>
  <c r="W15" i="2"/>
  <c r="J173" i="5"/>
  <c r="J174" i="5"/>
  <c r="J175" i="5"/>
  <c r="J176" i="5"/>
  <c r="J177" i="5"/>
  <c r="J179" i="5"/>
  <c r="J180" i="5"/>
  <c r="J181" i="5"/>
  <c r="J182" i="5"/>
  <c r="J183" i="5"/>
  <c r="J184" i="5"/>
  <c r="J185" i="5"/>
  <c r="J186" i="5"/>
  <c r="J187" i="5"/>
  <c r="J188" i="5"/>
  <c r="J189" i="5"/>
  <c r="J190" i="5"/>
  <c r="X20" i="2"/>
  <c r="X21" i="2"/>
  <c r="X22" i="2"/>
  <c r="X23" i="2"/>
  <c r="X19" i="2"/>
  <c r="X25" i="2"/>
  <c r="X26" i="2"/>
  <c r="X27" i="2"/>
  <c r="X28" i="2"/>
  <c r="X24" i="2"/>
  <c r="X30" i="2"/>
  <c r="X31" i="2"/>
  <c r="X32" i="2"/>
  <c r="X33" i="2"/>
  <c r="X34" i="2"/>
  <c r="X35" i="2"/>
  <c r="X29" i="2"/>
  <c r="X37" i="2"/>
  <c r="X38" i="2"/>
  <c r="X36" i="2"/>
  <c r="X39" i="2"/>
  <c r="Y18" i="2"/>
  <c r="Y20" i="2"/>
  <c r="Y21" i="2"/>
  <c r="Y22" i="2"/>
  <c r="Y23" i="2"/>
  <c r="Y19" i="2"/>
  <c r="Y25" i="2"/>
  <c r="Y26" i="2"/>
  <c r="Y27" i="2"/>
  <c r="Y28" i="2"/>
  <c r="Y24" i="2"/>
  <c r="Y30" i="2"/>
  <c r="Y31" i="2"/>
  <c r="Y32" i="2"/>
  <c r="Y33" i="2"/>
  <c r="Y34" i="2"/>
  <c r="Y35" i="2"/>
  <c r="Y29" i="2"/>
  <c r="Y37" i="2"/>
  <c r="Y38" i="2"/>
  <c r="Y36" i="2"/>
  <c r="Y39" i="2"/>
  <c r="Y15" i="2"/>
  <c r="Z18" i="2"/>
  <c r="Z20" i="2"/>
  <c r="Z21" i="2"/>
  <c r="Z22" i="2"/>
  <c r="Z23" i="2"/>
  <c r="Z19" i="2"/>
  <c r="Z25" i="2"/>
  <c r="Z26" i="2"/>
  <c r="Z27" i="2"/>
  <c r="Z28" i="2"/>
  <c r="Z24" i="2"/>
  <c r="Z30" i="2"/>
  <c r="Z31" i="2"/>
  <c r="Z32" i="2"/>
  <c r="Z33" i="2"/>
  <c r="Z34" i="2"/>
  <c r="Z35" i="2"/>
  <c r="Z29" i="2"/>
  <c r="Z37" i="2"/>
  <c r="Z38" i="2"/>
  <c r="Z36" i="2"/>
  <c r="Z39" i="2"/>
  <c r="Z15" i="2"/>
  <c r="AA18" i="2"/>
  <c r="AA20" i="2"/>
  <c r="AA21" i="2"/>
  <c r="AA22" i="2"/>
  <c r="AA23" i="2"/>
  <c r="AA19" i="2"/>
  <c r="AA25" i="2"/>
  <c r="AA26" i="2"/>
  <c r="AA27" i="2"/>
  <c r="AA28" i="2"/>
  <c r="AA24" i="2"/>
  <c r="AA30" i="2"/>
  <c r="AA31" i="2"/>
  <c r="AA32" i="2"/>
  <c r="AA33" i="2"/>
  <c r="AA34" i="2"/>
  <c r="AA35" i="2"/>
  <c r="AA29" i="2"/>
  <c r="AA37" i="2"/>
  <c r="AA38" i="2"/>
  <c r="AA36" i="2"/>
  <c r="AA39" i="2"/>
  <c r="AA15" i="2"/>
  <c r="AB20" i="2"/>
  <c r="AB21" i="2"/>
  <c r="AB22" i="2"/>
  <c r="AB23" i="2"/>
  <c r="AB19" i="2"/>
  <c r="AB25" i="2"/>
  <c r="AB26" i="2"/>
  <c r="AB27" i="2"/>
  <c r="AB28" i="2"/>
  <c r="AB24" i="2"/>
  <c r="AB30" i="2"/>
  <c r="AB31" i="2"/>
  <c r="AB32" i="2"/>
  <c r="AB33" i="2"/>
  <c r="AB34" i="2"/>
  <c r="AB35" i="2"/>
  <c r="AB29" i="2"/>
  <c r="AB37" i="2"/>
  <c r="AB38" i="2"/>
  <c r="AB36" i="2"/>
  <c r="AB39" i="2"/>
  <c r="AC18" i="2"/>
  <c r="AC20" i="2"/>
  <c r="AC21" i="2"/>
  <c r="AC22" i="2"/>
  <c r="AC23" i="2"/>
  <c r="AC19" i="2"/>
  <c r="AC25" i="2"/>
  <c r="AC26" i="2"/>
  <c r="AC27" i="2"/>
  <c r="AC28" i="2"/>
  <c r="AC24" i="2"/>
  <c r="AC30" i="2"/>
  <c r="AC31" i="2"/>
  <c r="AC32" i="2"/>
  <c r="AC33" i="2"/>
  <c r="AC34" i="2"/>
  <c r="AC35" i="2"/>
  <c r="AC29" i="2"/>
  <c r="AC37" i="2"/>
  <c r="AC38" i="2"/>
  <c r="AC36" i="2"/>
  <c r="AC39" i="2"/>
  <c r="AC15" i="2"/>
  <c r="AD18" i="2"/>
  <c r="AD20" i="2"/>
  <c r="AD21" i="2"/>
  <c r="AD22" i="2"/>
  <c r="AD23" i="2"/>
  <c r="AD19" i="2"/>
  <c r="AD25" i="2"/>
  <c r="AD26" i="2"/>
  <c r="AD27" i="2"/>
  <c r="AD28" i="2"/>
  <c r="AD24" i="2"/>
  <c r="AD30" i="2"/>
  <c r="AD31" i="2"/>
  <c r="AD32" i="2"/>
  <c r="AD33" i="2"/>
  <c r="AD34" i="2"/>
  <c r="AD35" i="2"/>
  <c r="AD29" i="2"/>
  <c r="AD37" i="2"/>
  <c r="AD38" i="2"/>
  <c r="AD36" i="2"/>
  <c r="AD39" i="2"/>
  <c r="AD15" i="2"/>
  <c r="R16" i="2"/>
  <c r="S16" i="2"/>
  <c r="T16" i="2"/>
  <c r="U16" i="2"/>
  <c r="V16" i="2"/>
  <c r="W16" i="2"/>
  <c r="X16" i="2"/>
  <c r="Y16" i="2"/>
  <c r="Z16" i="2"/>
  <c r="AA16" i="2"/>
  <c r="AC16" i="2"/>
  <c r="AD16" i="2"/>
  <c r="R17" i="2"/>
  <c r="S17" i="2"/>
  <c r="T17" i="2"/>
  <c r="U17" i="2"/>
  <c r="V17" i="2"/>
  <c r="W17" i="2"/>
  <c r="X17" i="2"/>
  <c r="Y17" i="2"/>
  <c r="Z17" i="2"/>
  <c r="AA17" i="2"/>
  <c r="AB17" i="2"/>
  <c r="AC17" i="2"/>
  <c r="AD17" i="2"/>
  <c r="R40" i="2"/>
  <c r="S40" i="2"/>
  <c r="T40" i="2"/>
  <c r="U40" i="2"/>
  <c r="V40" i="2"/>
  <c r="W40" i="2"/>
  <c r="Y40" i="2"/>
  <c r="Z40" i="2"/>
  <c r="AA40" i="2"/>
  <c r="AC40" i="2"/>
  <c r="AD40" i="2"/>
  <c r="F70" i="8"/>
  <c r="J162" i="5"/>
  <c r="J160" i="5"/>
  <c r="J128" i="5"/>
  <c r="J129" i="5"/>
  <c r="J130" i="5"/>
  <c r="J131" i="5"/>
  <c r="J133" i="5"/>
  <c r="J134" i="5"/>
  <c r="J135" i="5"/>
  <c r="J136" i="5"/>
  <c r="J137" i="5"/>
  <c r="J138" i="5"/>
  <c r="J139" i="5"/>
  <c r="J140" i="5"/>
  <c r="J141" i="5"/>
  <c r="J142" i="5"/>
  <c r="J143" i="5"/>
  <c r="J144" i="5"/>
  <c r="J145" i="5"/>
  <c r="J148" i="5"/>
  <c r="J149" i="5"/>
  <c r="J150" i="5"/>
  <c r="J151" i="5"/>
  <c r="J152" i="5"/>
  <c r="J153" i="5"/>
  <c r="J154" i="5"/>
  <c r="J155" i="5"/>
  <c r="J156" i="5"/>
  <c r="J157" i="5"/>
  <c r="J159" i="5"/>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10" i="21"/>
  <c r="F11" i="21"/>
  <c r="F12" i="21"/>
  <c r="F13" i="21"/>
  <c r="F9" i="21"/>
  <c r="F15" i="21"/>
  <c r="F16" i="21"/>
  <c r="F17" i="21"/>
  <c r="F18" i="21"/>
  <c r="F19" i="21"/>
  <c r="F20" i="21"/>
  <c r="F21" i="21"/>
  <c r="F22" i="21"/>
  <c r="F23" i="21"/>
  <c r="F24" i="21"/>
  <c r="F25" i="21"/>
  <c r="F26" i="21"/>
  <c r="F27" i="21"/>
  <c r="F14" i="21"/>
  <c r="F28" i="21"/>
  <c r="F29" i="21"/>
  <c r="F30" i="21"/>
  <c r="F31" i="21"/>
  <c r="F32" i="21"/>
  <c r="F33" i="21"/>
  <c r="F34" i="21"/>
  <c r="F35" i="21"/>
  <c r="F36" i="21"/>
  <c r="F37" i="21"/>
  <c r="F39" i="21"/>
  <c r="F41" i="21"/>
  <c r="F42" i="21"/>
  <c r="F44" i="21"/>
  <c r="F46" i="21"/>
  <c r="F48" i="21"/>
  <c r="F49" i="21"/>
  <c r="F51" i="21"/>
  <c r="F55" i="21"/>
  <c r="F56" i="21"/>
  <c r="F57" i="21"/>
  <c r="F58" i="21"/>
  <c r="F59" i="21"/>
  <c r="F54" i="21"/>
  <c r="F61" i="21"/>
  <c r="F62" i="21"/>
  <c r="F63" i="21"/>
  <c r="F64" i="21"/>
  <c r="F65" i="21"/>
  <c r="F66" i="21"/>
  <c r="F67" i="21"/>
  <c r="F68" i="21"/>
  <c r="F69" i="21"/>
  <c r="F70" i="21"/>
  <c r="F71" i="21"/>
  <c r="F72" i="21"/>
  <c r="F60" i="21"/>
  <c r="F53" i="21"/>
  <c r="F73" i="21"/>
  <c r="F52" i="21"/>
  <c r="F74" i="21"/>
  <c r="F75" i="21"/>
  <c r="F76" i="21"/>
  <c r="F77" i="21"/>
  <c r="F78" i="21"/>
  <c r="F79" i="21"/>
  <c r="F80" i="21"/>
  <c r="L9" i="7"/>
  <c r="L10" i="7"/>
  <c r="L11" i="7"/>
  <c r="L12" i="7"/>
  <c r="L13" i="7"/>
  <c r="L14" i="7"/>
  <c r="L15" i="7"/>
  <c r="L16" i="7"/>
  <c r="L17" i="7"/>
  <c r="L18" i="7"/>
  <c r="L19" i="7"/>
  <c r="L20" i="7"/>
  <c r="L21" i="7"/>
  <c r="L22" i="7"/>
  <c r="L23" i="7"/>
  <c r="L24" i="7"/>
  <c r="L25" i="7"/>
  <c r="L27" i="7"/>
  <c r="L28" i="7"/>
  <c r="L29" i="7"/>
  <c r="L26" i="7"/>
  <c r="L30" i="7"/>
  <c r="L31" i="7"/>
  <c r="L32" i="7"/>
  <c r="L33" i="7"/>
  <c r="L34" i="7"/>
  <c r="L35" i="7"/>
  <c r="L36" i="7"/>
  <c r="L37" i="7"/>
  <c r="L38" i="7"/>
  <c r="L39" i="7"/>
  <c r="L40" i="7"/>
  <c r="L41" i="7"/>
  <c r="L42" i="7"/>
  <c r="L44" i="7"/>
  <c r="L45" i="7"/>
  <c r="L43" i="7"/>
  <c r="L46" i="7"/>
  <c r="L47" i="7"/>
  <c r="L48" i="7"/>
  <c r="L49" i="7"/>
  <c r="L50" i="7"/>
  <c r="L51" i="7"/>
  <c r="L52" i="7"/>
  <c r="L53" i="7"/>
  <c r="L54" i="7"/>
  <c r="L55" i="7"/>
  <c r="L56" i="7"/>
  <c r="L57" i="7"/>
  <c r="L58" i="7"/>
  <c r="L59" i="7"/>
  <c r="L60" i="7"/>
  <c r="L61" i="7"/>
  <c r="L62" i="7"/>
  <c r="L63" i="7"/>
  <c r="L64" i="7"/>
  <c r="L65" i="7"/>
  <c r="L66" i="7"/>
  <c r="L67" i="7"/>
  <c r="L68" i="7"/>
  <c r="G9" i="7"/>
  <c r="G10" i="7"/>
  <c r="G11" i="7"/>
  <c r="G12" i="7"/>
  <c r="G13" i="7"/>
  <c r="G14" i="7"/>
  <c r="G15" i="7"/>
  <c r="G16" i="7"/>
  <c r="G17" i="7"/>
  <c r="G18" i="7"/>
  <c r="G19" i="7"/>
  <c r="G20" i="7"/>
  <c r="G21" i="7"/>
  <c r="G22" i="7"/>
  <c r="G24" i="7"/>
  <c r="G25" i="7"/>
  <c r="G26" i="7"/>
  <c r="G23" i="7"/>
  <c r="G27" i="7"/>
  <c r="G28" i="7"/>
  <c r="G29" i="7"/>
  <c r="G30" i="7"/>
  <c r="G31" i="7"/>
  <c r="G32" i="7"/>
  <c r="G33" i="7"/>
  <c r="G34" i="7"/>
  <c r="G35" i="7"/>
  <c r="G36" i="7"/>
  <c r="G37" i="7"/>
  <c r="G38" i="7"/>
  <c r="G39" i="7"/>
  <c r="G40" i="7"/>
  <c r="G41" i="7"/>
  <c r="G42" i="7"/>
  <c r="G43" i="7"/>
  <c r="G44" i="7"/>
  <c r="G45" i="7"/>
  <c r="G46" i="7"/>
  <c r="G48" i="7"/>
  <c r="G49" i="7"/>
  <c r="G47" i="7"/>
  <c r="G51" i="7"/>
  <c r="G52" i="7"/>
  <c r="G50" i="7"/>
  <c r="G53" i="7"/>
  <c r="G54" i="7"/>
  <c r="G55" i="7"/>
  <c r="G56" i="7"/>
  <c r="G57" i="7"/>
  <c r="G58" i="7"/>
  <c r="G59" i="7"/>
  <c r="G60" i="7"/>
  <c r="G61" i="7"/>
  <c r="G62" i="7"/>
  <c r="G63" i="7"/>
  <c r="G64" i="7"/>
  <c r="G65" i="7"/>
  <c r="G66" i="7"/>
  <c r="G67" i="7"/>
  <c r="G68" i="7"/>
  <c r="E9" i="50"/>
  <c r="F11" i="5"/>
  <c r="J11" i="5"/>
  <c r="F94" i="8" s="1"/>
  <c r="F98" i="8" s="1"/>
  <c r="F125" i="8" s="1"/>
  <c r="F127" i="8" s="1"/>
  <c r="F128" i="8" s="1"/>
  <c r="K11" i="5"/>
  <c r="L11" i="5"/>
  <c r="E10" i="50"/>
  <c r="E11" i="50"/>
  <c r="E12" i="50"/>
  <c r="F14" i="5"/>
  <c r="J14" i="5"/>
  <c r="K14" i="5"/>
  <c r="L14" i="5"/>
  <c r="E13" i="50"/>
  <c r="F15" i="5"/>
  <c r="J15" i="5"/>
  <c r="K15" i="5"/>
  <c r="L15" i="5"/>
  <c r="E14" i="50"/>
  <c r="F16" i="5"/>
  <c r="J16" i="5"/>
  <c r="K16" i="5"/>
  <c r="L16" i="5"/>
  <c r="E15" i="50"/>
  <c r="F18" i="5"/>
  <c r="J18" i="5"/>
  <c r="K18" i="5"/>
  <c r="L18" i="5"/>
  <c r="E16" i="50"/>
  <c r="E17" i="50"/>
  <c r="E18" i="50"/>
  <c r="E19" i="50"/>
  <c r="E20" i="50"/>
  <c r="E21" i="50"/>
  <c r="E22" i="50"/>
  <c r="E23" i="50"/>
  <c r="E24" i="50"/>
  <c r="E25" i="50"/>
  <c r="E26" i="50"/>
  <c r="E27" i="50"/>
  <c r="E28" i="50"/>
  <c r="F19" i="5"/>
  <c r="J19" i="5"/>
  <c r="K19" i="5"/>
  <c r="L19" i="5"/>
  <c r="E29" i="50"/>
  <c r="E30" i="50"/>
  <c r="E31" i="50"/>
  <c r="E32" i="50"/>
  <c r="E33" i="50"/>
  <c r="E34" i="50"/>
  <c r="E35" i="50"/>
  <c r="E36" i="50"/>
  <c r="E37" i="50"/>
  <c r="E38" i="50"/>
  <c r="E39" i="50"/>
  <c r="E40" i="50"/>
  <c r="E41" i="50"/>
  <c r="E42" i="50"/>
  <c r="E43" i="50"/>
  <c r="E44" i="50"/>
  <c r="E45" i="50"/>
  <c r="E46" i="50"/>
  <c r="E47" i="50"/>
  <c r="F20" i="5"/>
  <c r="J20" i="5"/>
  <c r="K20" i="5"/>
  <c r="L20" i="5"/>
  <c r="E48" i="50"/>
  <c r="E49" i="50"/>
  <c r="E50" i="50"/>
  <c r="E51" i="50"/>
  <c r="E52" i="50"/>
  <c r="E53" i="50"/>
  <c r="E54" i="50"/>
  <c r="E55" i="50"/>
  <c r="E56" i="50"/>
  <c r="E57" i="50"/>
  <c r="F21" i="5"/>
  <c r="J21" i="5"/>
  <c r="K21" i="5"/>
  <c r="L21" i="5"/>
  <c r="E58" i="50"/>
  <c r="E59" i="50"/>
  <c r="E60" i="50"/>
  <c r="E61" i="50"/>
  <c r="E62" i="50"/>
  <c r="E63" i="50"/>
  <c r="J25" i="5"/>
  <c r="K25" i="5"/>
  <c r="L25" i="5"/>
  <c r="E64" i="50"/>
  <c r="F26" i="5"/>
  <c r="J26" i="5"/>
  <c r="K26" i="5"/>
  <c r="L26" i="5"/>
  <c r="E65" i="50"/>
  <c r="E66" i="50"/>
  <c r="F27" i="5"/>
  <c r="J27" i="5"/>
  <c r="K27" i="5"/>
  <c r="L27" i="5"/>
  <c r="E67" i="50"/>
  <c r="E68" i="50"/>
  <c r="F28" i="5"/>
  <c r="J28" i="5"/>
  <c r="K28" i="5"/>
  <c r="L28" i="5"/>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F30" i="5"/>
  <c r="J30" i="5"/>
  <c r="K30" i="5"/>
  <c r="L30" i="5"/>
  <c r="E102" i="50"/>
  <c r="E103" i="50"/>
  <c r="E104" i="50"/>
  <c r="E105" i="50"/>
  <c r="E106" i="50"/>
  <c r="E107" i="50"/>
  <c r="E108" i="50"/>
  <c r="E109" i="50"/>
  <c r="E110" i="50"/>
  <c r="E111" i="50"/>
  <c r="F32" i="5"/>
  <c r="J32" i="5"/>
  <c r="K32" i="5"/>
  <c r="L32" i="5"/>
  <c r="E112" i="50"/>
  <c r="E113" i="50"/>
  <c r="F33" i="5"/>
  <c r="J33" i="5"/>
  <c r="K33" i="5"/>
  <c r="L33" i="5"/>
  <c r="E114" i="50"/>
  <c r="E115" i="50"/>
  <c r="F34" i="5"/>
  <c r="J34" i="5"/>
  <c r="K34" i="5"/>
  <c r="L34" i="5"/>
  <c r="E116" i="50"/>
  <c r="F38" i="5"/>
  <c r="J38" i="5"/>
  <c r="K38" i="5"/>
  <c r="L38" i="5"/>
  <c r="E117" i="50"/>
  <c r="E118" i="50"/>
  <c r="G1" i="18"/>
  <c r="L1858" i="18" s="1"/>
  <c r="E119" i="50"/>
  <c r="E120" i="50"/>
  <c r="E121" i="50"/>
  <c r="E122" i="50"/>
  <c r="E123" i="50"/>
  <c r="E124" i="50"/>
  <c r="F39" i="5"/>
  <c r="J39" i="5"/>
  <c r="K39" i="5"/>
  <c r="L39" i="5"/>
  <c r="E125" i="50"/>
  <c r="E126" i="50"/>
  <c r="E127" i="50"/>
  <c r="E128" i="50"/>
  <c r="E129" i="50"/>
  <c r="E130" i="50"/>
  <c r="F40" i="5"/>
  <c r="J40" i="5"/>
  <c r="K40" i="5"/>
  <c r="L40" i="5"/>
  <c r="E131" i="50"/>
  <c r="E132" i="50"/>
  <c r="E133" i="50"/>
  <c r="E134" i="50"/>
  <c r="E135" i="50"/>
  <c r="E136" i="50"/>
  <c r="E137" i="50"/>
  <c r="E138" i="50"/>
  <c r="F41" i="5"/>
  <c r="J41" i="5"/>
  <c r="K41" i="5"/>
  <c r="L41" i="5"/>
  <c r="E139" i="50"/>
  <c r="E140" i="50"/>
  <c r="E141" i="50"/>
  <c r="E142" i="50"/>
  <c r="F42" i="5"/>
  <c r="J42" i="5"/>
  <c r="K42" i="5"/>
  <c r="L42" i="5"/>
  <c r="E143" i="50"/>
  <c r="E144" i="50"/>
  <c r="E145" i="50"/>
  <c r="E146" i="50"/>
  <c r="E147" i="50"/>
  <c r="E148" i="50"/>
  <c r="E149" i="50"/>
  <c r="E150" i="50"/>
  <c r="E151" i="50"/>
  <c r="E152" i="50"/>
  <c r="E153" i="50"/>
  <c r="E154" i="50"/>
  <c r="E155" i="50"/>
  <c r="E156" i="50"/>
  <c r="F44" i="5"/>
  <c r="J44" i="5"/>
  <c r="K44" i="5"/>
  <c r="L44" i="5"/>
  <c r="E157" i="50"/>
  <c r="E158" i="50"/>
  <c r="E159" i="50"/>
  <c r="F45" i="5"/>
  <c r="J45" i="5"/>
  <c r="K45" i="5"/>
  <c r="L45" i="5"/>
  <c r="E160" i="50"/>
  <c r="E161" i="50"/>
  <c r="F46" i="5"/>
  <c r="J46" i="5"/>
  <c r="K46" i="5"/>
  <c r="L46" i="5"/>
  <c r="E162" i="50"/>
  <c r="E163" i="50"/>
  <c r="E164" i="50"/>
  <c r="F47" i="5"/>
  <c r="J47" i="5"/>
  <c r="K47" i="5"/>
  <c r="L47" i="5"/>
  <c r="E165" i="50"/>
  <c r="E166" i="50"/>
  <c r="E167" i="50"/>
  <c r="E168" i="50"/>
  <c r="J48" i="5"/>
  <c r="K48" i="5"/>
  <c r="L48" i="5"/>
  <c r="E169" i="50"/>
  <c r="F49" i="5"/>
  <c r="J49" i="5"/>
  <c r="K49" i="5"/>
  <c r="L49" i="5"/>
  <c r="E170" i="50"/>
  <c r="E171" i="50"/>
  <c r="E172" i="50"/>
  <c r="E173" i="50"/>
  <c r="E174" i="50"/>
  <c r="E175" i="50"/>
  <c r="E176" i="50"/>
  <c r="E177" i="50"/>
  <c r="F50" i="5"/>
  <c r="J50" i="5"/>
  <c r="K50" i="5"/>
  <c r="L50" i="5"/>
  <c r="E178" i="50"/>
  <c r="E179" i="50"/>
  <c r="F51" i="5"/>
  <c r="J51" i="5"/>
  <c r="K51" i="5"/>
  <c r="L51" i="5"/>
  <c r="E180" i="50"/>
  <c r="F52" i="5"/>
  <c r="J52" i="5"/>
  <c r="K52" i="5"/>
  <c r="L52" i="5"/>
  <c r="E181" i="50"/>
  <c r="E182" i="50"/>
  <c r="E183" i="50"/>
  <c r="E184" i="50"/>
  <c r="E185" i="50"/>
  <c r="F53" i="5"/>
  <c r="J53" i="5"/>
  <c r="K53" i="5"/>
  <c r="L53" i="5"/>
  <c r="E186" i="50"/>
  <c r="F54" i="5"/>
  <c r="J54" i="5"/>
  <c r="K54" i="5"/>
  <c r="L54" i="5"/>
  <c r="E187" i="50"/>
  <c r="E188" i="50"/>
  <c r="F55" i="5"/>
  <c r="J55" i="5"/>
  <c r="K55" i="5"/>
  <c r="L55" i="5"/>
  <c r="E189" i="50"/>
  <c r="F57" i="5"/>
  <c r="J57" i="5"/>
  <c r="K57" i="5"/>
  <c r="L57" i="5"/>
  <c r="E190" i="50"/>
  <c r="E191" i="50"/>
  <c r="E192" i="50"/>
  <c r="E193" i="50"/>
  <c r="E194" i="50"/>
  <c r="E195" i="50"/>
  <c r="F58" i="5"/>
  <c r="J58" i="5"/>
  <c r="K58" i="5"/>
  <c r="L58" i="5"/>
  <c r="E196" i="50"/>
  <c r="F59" i="5"/>
  <c r="J59" i="5"/>
  <c r="K59" i="5"/>
  <c r="L59" i="5"/>
  <c r="E197" i="50"/>
  <c r="E198" i="50"/>
  <c r="F60" i="5"/>
  <c r="J60" i="5"/>
  <c r="K60" i="5"/>
  <c r="L60" i="5"/>
  <c r="E199" i="50"/>
  <c r="E200" i="50"/>
  <c r="F61" i="5"/>
  <c r="J61" i="5"/>
  <c r="K61" i="5"/>
  <c r="L61" i="5"/>
  <c r="E201" i="50"/>
  <c r="F106" i="5"/>
  <c r="F82" i="51" s="1"/>
  <c r="J106" i="5"/>
  <c r="K106" i="5"/>
  <c r="L106" i="5"/>
  <c r="E202" i="50"/>
  <c r="G202" i="50"/>
  <c r="K202" i="50"/>
  <c r="E203" i="50"/>
  <c r="G203" i="50"/>
  <c r="K203" i="50"/>
  <c r="E204" i="50"/>
  <c r="G204" i="50"/>
  <c r="K204" i="50"/>
  <c r="E205" i="50"/>
  <c r="F62" i="5"/>
  <c r="J62" i="5"/>
  <c r="K62" i="5"/>
  <c r="L62" i="5"/>
  <c r="E206" i="50"/>
  <c r="F66" i="5"/>
  <c r="F57" i="51" s="1"/>
  <c r="J66" i="5"/>
  <c r="K66" i="5"/>
  <c r="L66" i="5"/>
  <c r="E207" i="50"/>
  <c r="E208" i="50"/>
  <c r="E209" i="50"/>
  <c r="E210" i="50"/>
  <c r="E211" i="50"/>
  <c r="E212" i="50"/>
  <c r="F69" i="5"/>
  <c r="J69" i="5"/>
  <c r="K69" i="5"/>
  <c r="L69" i="5"/>
  <c r="E213" i="50"/>
  <c r="E214" i="50"/>
  <c r="F70" i="5"/>
  <c r="F59" i="51" s="1"/>
  <c r="J70" i="5"/>
  <c r="K70" i="5"/>
  <c r="L70" i="5"/>
  <c r="E215" i="50"/>
  <c r="F71" i="5"/>
  <c r="F60" i="51" s="1"/>
  <c r="J71" i="5"/>
  <c r="K71" i="5"/>
  <c r="L71" i="5"/>
  <c r="E216" i="50"/>
  <c r="F73" i="5"/>
  <c r="F61" i="51" s="1"/>
  <c r="J73" i="5"/>
  <c r="K73" i="5"/>
  <c r="L73" i="5"/>
  <c r="E217" i="50"/>
  <c r="F74" i="5"/>
  <c r="F62" i="51" s="1"/>
  <c r="J74" i="5"/>
  <c r="K74" i="5"/>
  <c r="L74" i="5"/>
  <c r="E218" i="50"/>
  <c r="E219" i="50"/>
  <c r="E220" i="50"/>
  <c r="E221" i="50"/>
  <c r="E222" i="50"/>
  <c r="E223" i="50"/>
  <c r="E224" i="50"/>
  <c r="F75" i="5"/>
  <c r="F63" i="51" s="1"/>
  <c r="J75" i="5"/>
  <c r="K75" i="5"/>
  <c r="L75" i="5"/>
  <c r="E225" i="50"/>
  <c r="E226" i="50"/>
  <c r="E227" i="50"/>
  <c r="E228" i="50"/>
  <c r="E229" i="50"/>
  <c r="E230" i="50"/>
  <c r="E231" i="50"/>
  <c r="F81" i="5"/>
  <c r="F64" i="51" s="1"/>
  <c r="J81" i="5"/>
  <c r="K81" i="5"/>
  <c r="L81" i="5"/>
  <c r="E232" i="50"/>
  <c r="E233" i="50"/>
  <c r="E234" i="50"/>
  <c r="E235" i="50"/>
  <c r="E236" i="50"/>
  <c r="F82" i="5"/>
  <c r="F65" i="51" s="1"/>
  <c r="J82" i="5"/>
  <c r="K82" i="5"/>
  <c r="L82" i="5"/>
  <c r="E237" i="50"/>
  <c r="E238" i="50"/>
  <c r="J83" i="5"/>
  <c r="K83" i="5"/>
  <c r="L83" i="5"/>
  <c r="E239" i="50"/>
  <c r="F84" i="5"/>
  <c r="F67" i="51" s="1"/>
  <c r="J84" i="5"/>
  <c r="K84" i="5"/>
  <c r="L84" i="5"/>
  <c r="E240" i="50"/>
  <c r="E241" i="50"/>
  <c r="F85" i="5"/>
  <c r="J85" i="5"/>
  <c r="K85" i="5"/>
  <c r="L85" i="5"/>
  <c r="E242" i="50"/>
  <c r="E243" i="50"/>
  <c r="F86" i="5"/>
  <c r="J86" i="5"/>
  <c r="K86" i="5"/>
  <c r="L86" i="5"/>
  <c r="E244" i="50"/>
  <c r="E245" i="50"/>
  <c r="E246" i="50"/>
  <c r="E247" i="50"/>
  <c r="E248" i="50"/>
  <c r="E249" i="50"/>
  <c r="E250" i="50"/>
  <c r="F89" i="5"/>
  <c r="F69" i="51" s="1"/>
  <c r="J89" i="5"/>
  <c r="K89" i="5"/>
  <c r="L89" i="5"/>
  <c r="E251" i="50"/>
  <c r="F90" i="5"/>
  <c r="F70" i="51" s="1"/>
  <c r="J90" i="5"/>
  <c r="K90" i="5"/>
  <c r="L90" i="5"/>
  <c r="E252" i="50"/>
  <c r="E253" i="50"/>
  <c r="E254" i="50"/>
  <c r="E255" i="50"/>
  <c r="F91" i="5"/>
  <c r="F71" i="51" s="1"/>
  <c r="J91" i="5"/>
  <c r="K91" i="5"/>
  <c r="L91" i="5"/>
  <c r="E256" i="50"/>
  <c r="E257" i="50"/>
  <c r="F95" i="5"/>
  <c r="F74" i="51" s="1"/>
  <c r="J95" i="5"/>
  <c r="K95" i="5"/>
  <c r="L95" i="5"/>
  <c r="E258" i="50"/>
  <c r="E259" i="50"/>
  <c r="E260" i="50"/>
  <c r="E261" i="50"/>
  <c r="E262" i="50"/>
  <c r="F96" i="5"/>
  <c r="J96" i="5"/>
  <c r="K96" i="5"/>
  <c r="L96" i="5"/>
  <c r="E263" i="50"/>
  <c r="E264" i="50"/>
  <c r="E265" i="50"/>
  <c r="E266" i="50"/>
  <c r="E267" i="50"/>
  <c r="F100" i="5"/>
  <c r="F76" i="51" s="1"/>
  <c r="J100" i="5"/>
  <c r="K100" i="5"/>
  <c r="L100" i="5"/>
  <c r="E268" i="50"/>
  <c r="F101" i="5"/>
  <c r="F77" i="51" s="1"/>
  <c r="J101" i="5"/>
  <c r="K101" i="5"/>
  <c r="L101" i="5"/>
  <c r="E269" i="50"/>
  <c r="E270" i="50"/>
  <c r="F102" i="5"/>
  <c r="J102" i="5"/>
  <c r="K102" i="5"/>
  <c r="L102" i="5"/>
  <c r="E271" i="50"/>
  <c r="E272" i="50"/>
  <c r="F103" i="5"/>
  <c r="F79" i="51" s="1"/>
  <c r="J103" i="5"/>
  <c r="K103" i="5"/>
  <c r="L103" i="5"/>
  <c r="E273" i="50"/>
  <c r="E274" i="50"/>
  <c r="E275" i="50"/>
  <c r="E276" i="50"/>
  <c r="E277" i="50"/>
  <c r="E278" i="50"/>
  <c r="F104" i="5"/>
  <c r="F80" i="51" s="1"/>
  <c r="J104" i="5"/>
  <c r="K104" i="5"/>
  <c r="L104" i="5"/>
  <c r="E279" i="50"/>
  <c r="F105" i="5"/>
  <c r="F81" i="51" s="1"/>
  <c r="J105" i="5"/>
  <c r="K105" i="5"/>
  <c r="L105" i="5"/>
  <c r="E280" i="50"/>
  <c r="E281" i="50"/>
  <c r="F107" i="5"/>
  <c r="J107" i="5"/>
  <c r="K107" i="5"/>
  <c r="L107" i="5"/>
  <c r="E282" i="50"/>
  <c r="E283" i="50"/>
  <c r="F111" i="5"/>
  <c r="F87" i="51" s="1"/>
  <c r="J111" i="5"/>
  <c r="K111" i="5"/>
  <c r="L111" i="5"/>
  <c r="E284" i="50"/>
  <c r="E285" i="50"/>
  <c r="F112" i="5"/>
  <c r="F88" i="51" s="1"/>
  <c r="J112" i="5"/>
  <c r="K112" i="5"/>
  <c r="L112" i="5"/>
  <c r="E286" i="50"/>
  <c r="E287" i="50"/>
  <c r="F115" i="5"/>
  <c r="F89" i="51" s="1"/>
  <c r="J115" i="5"/>
  <c r="K115" i="5"/>
  <c r="L115" i="5"/>
  <c r="E288" i="50"/>
  <c r="F116" i="5"/>
  <c r="F90" i="51" s="1"/>
  <c r="J116" i="5"/>
  <c r="K116" i="5"/>
  <c r="L116" i="5"/>
  <c r="E289" i="50"/>
  <c r="F117" i="5"/>
  <c r="F91" i="51" s="1"/>
  <c r="K173" i="5"/>
  <c r="K174" i="5"/>
  <c r="K175" i="5"/>
  <c r="K176" i="5"/>
  <c r="K177" i="5"/>
  <c r="K179" i="5"/>
  <c r="K180" i="5"/>
  <c r="K181" i="5"/>
  <c r="K182" i="5"/>
  <c r="K183" i="5"/>
  <c r="K184" i="5"/>
  <c r="K185" i="5"/>
  <c r="K186" i="5"/>
  <c r="K187" i="5"/>
  <c r="K188" i="5"/>
  <c r="K189" i="5"/>
  <c r="K190" i="5"/>
  <c r="K191" i="5"/>
  <c r="L173" i="5"/>
  <c r="L174" i="5"/>
  <c r="L175" i="5"/>
  <c r="L176" i="5"/>
  <c r="L177" i="5"/>
  <c r="L179" i="5"/>
  <c r="L180" i="5"/>
  <c r="L181" i="5"/>
  <c r="L182" i="5"/>
  <c r="L183" i="5"/>
  <c r="L184" i="5"/>
  <c r="L185" i="5"/>
  <c r="L186" i="5"/>
  <c r="L187" i="5"/>
  <c r="L188" i="5"/>
  <c r="L189" i="5"/>
  <c r="L190" i="5"/>
  <c r="L191" i="5"/>
  <c r="J117" i="5"/>
  <c r="E290" i="50"/>
  <c r="F118" i="5"/>
  <c r="F92" i="51" s="1"/>
  <c r="J118" i="5"/>
  <c r="K118" i="5"/>
  <c r="L118" i="5"/>
  <c r="E291" i="50"/>
  <c r="F119" i="5"/>
  <c r="F93" i="51" s="1"/>
  <c r="J119" i="5"/>
  <c r="K119" i="5"/>
  <c r="L119" i="5"/>
  <c r="E292" i="50"/>
  <c r="F120" i="5"/>
  <c r="F94" i="51" s="1"/>
  <c r="J120" i="5"/>
  <c r="K120" i="5"/>
  <c r="L120" i="5"/>
  <c r="E293" i="50"/>
  <c r="K129" i="5"/>
  <c r="K130" i="5"/>
  <c r="K131" i="5"/>
  <c r="K134" i="5"/>
  <c r="K135" i="5"/>
  <c r="K136" i="5"/>
  <c r="K137" i="5"/>
  <c r="K138" i="5"/>
  <c r="K139" i="5"/>
  <c r="K140" i="5"/>
  <c r="K152" i="5"/>
  <c r="L129" i="5"/>
  <c r="L130" i="5"/>
  <c r="L131" i="5"/>
  <c r="L134" i="5"/>
  <c r="L135" i="5"/>
  <c r="L136" i="5"/>
  <c r="L137" i="5"/>
  <c r="L138" i="5"/>
  <c r="L139" i="5"/>
  <c r="L140" i="5"/>
  <c r="L152" i="5"/>
  <c r="J121" i="5"/>
  <c r="K168" i="5"/>
  <c r="L168" i="5"/>
  <c r="E294" i="50"/>
  <c r="E295" i="50"/>
  <c r="G295" i="50"/>
  <c r="K295" i="50"/>
  <c r="E296" i="50"/>
  <c r="F128" i="5"/>
  <c r="F101" i="51" s="1"/>
  <c r="E297" i="50"/>
  <c r="F133" i="5"/>
  <c r="F67" i="52" s="1"/>
  <c r="E298" i="50"/>
  <c r="G298" i="50"/>
  <c r="K298" i="50"/>
  <c r="E299" i="50"/>
  <c r="G299" i="50"/>
  <c r="K299" i="50"/>
  <c r="E300" i="50"/>
  <c r="G300" i="50"/>
  <c r="K300" i="50"/>
  <c r="E301" i="50"/>
  <c r="E302" i="50"/>
  <c r="E303" i="50"/>
  <c r="E304" i="50"/>
  <c r="E305" i="50"/>
  <c r="F141" i="5"/>
  <c r="F103" i="51" s="1"/>
  <c r="E306" i="50"/>
  <c r="E307" i="50"/>
  <c r="F142" i="5"/>
  <c r="F68" i="52" s="1"/>
  <c r="E308" i="50"/>
  <c r="E309" i="50"/>
  <c r="F143" i="5"/>
  <c r="F105" i="51" s="1"/>
  <c r="E310" i="50"/>
  <c r="E311" i="50"/>
  <c r="F144" i="5"/>
  <c r="F106" i="51" s="1"/>
  <c r="E312" i="50"/>
  <c r="E313" i="50"/>
  <c r="F145" i="5"/>
  <c r="F107" i="51" s="1"/>
  <c r="E314" i="50"/>
  <c r="E315" i="50"/>
  <c r="F148" i="5"/>
  <c r="F108" i="51" s="1"/>
  <c r="E316" i="50"/>
  <c r="F149" i="5"/>
  <c r="F63" i="52" s="1"/>
  <c r="E317" i="50"/>
  <c r="F153" i="5"/>
  <c r="F110" i="51" s="1"/>
  <c r="E318" i="50"/>
  <c r="F154" i="5"/>
  <c r="F111" i="51" s="1"/>
  <c r="E319" i="50"/>
  <c r="F155" i="5"/>
  <c r="F112" i="51" s="1"/>
  <c r="E320" i="50"/>
  <c r="F156" i="5"/>
  <c r="F113" i="51" s="1"/>
  <c r="E321" i="50"/>
  <c r="F157" i="5"/>
  <c r="F114" i="51" s="1"/>
  <c r="E322" i="50"/>
  <c r="F159" i="5"/>
  <c r="F116" i="51" s="1"/>
  <c r="E323" i="50"/>
  <c r="E324" i="50"/>
  <c r="F160" i="5"/>
  <c r="F117" i="51" s="1"/>
  <c r="E325" i="50"/>
  <c r="F162" i="5"/>
  <c r="F119" i="51" s="1"/>
  <c r="E326" i="50"/>
  <c r="E327" i="50"/>
  <c r="F670" i="5"/>
  <c r="G670" i="5"/>
  <c r="H670" i="5"/>
  <c r="J670" i="5"/>
  <c r="M670" i="5" s="1"/>
  <c r="K328" i="50" s="1"/>
  <c r="E328" i="50"/>
  <c r="E329" i="50"/>
  <c r="F681" i="5"/>
  <c r="G681" i="5"/>
  <c r="H681" i="5"/>
  <c r="J681" i="5"/>
  <c r="M681" i="5" s="1"/>
  <c r="E330" i="50"/>
  <c r="E331" i="50"/>
  <c r="F689" i="5"/>
  <c r="G689" i="5"/>
  <c r="H689" i="5"/>
  <c r="J689" i="5"/>
  <c r="M689" i="5" s="1"/>
  <c r="E332" i="50"/>
  <c r="F695" i="5"/>
  <c r="G695" i="5"/>
  <c r="H695" i="5"/>
  <c r="J695" i="5"/>
  <c r="M695" i="5" s="1"/>
  <c r="E333" i="50"/>
  <c r="F702" i="5"/>
  <c r="G702" i="5"/>
  <c r="H702" i="5"/>
  <c r="J702" i="5"/>
  <c r="M702" i="5" s="1"/>
  <c r="E334" i="50"/>
  <c r="F707" i="5"/>
  <c r="G707" i="5"/>
  <c r="H707" i="5"/>
  <c r="J707" i="5"/>
  <c r="M707" i="5" s="1"/>
  <c r="K334" i="50" s="1"/>
  <c r="E335" i="50"/>
  <c r="F658" i="5"/>
  <c r="G658" i="5"/>
  <c r="H658" i="5"/>
  <c r="J658" i="5"/>
  <c r="M658" i="5" s="1"/>
  <c r="E336" i="50"/>
  <c r="F672" i="5"/>
  <c r="G672" i="5"/>
  <c r="H672" i="5"/>
  <c r="J672" i="5"/>
  <c r="M672" i="5" s="1"/>
  <c r="E337" i="50"/>
  <c r="F679" i="5"/>
  <c r="G679" i="5"/>
  <c r="H679" i="5"/>
  <c r="J679" i="5"/>
  <c r="M679" i="5" s="1"/>
  <c r="E338" i="50"/>
  <c r="F680" i="5"/>
  <c r="G680" i="5"/>
  <c r="H680" i="5"/>
  <c r="J680" i="5"/>
  <c r="M680" i="5" s="1"/>
  <c r="F14" i="74" s="1"/>
  <c r="E339" i="50"/>
  <c r="F685" i="5"/>
  <c r="G685" i="5"/>
  <c r="H685" i="5"/>
  <c r="J685" i="5"/>
  <c r="M685" i="5" s="1"/>
  <c r="E340" i="50"/>
  <c r="F686" i="5"/>
  <c r="G686" i="5"/>
  <c r="H686" i="5"/>
  <c r="J686" i="5"/>
  <c r="M686" i="5" s="1"/>
  <c r="E341" i="50"/>
  <c r="F687" i="5"/>
  <c r="G687" i="5"/>
  <c r="H687" i="5"/>
  <c r="J687" i="5"/>
  <c r="M687" i="5" s="1"/>
  <c r="K341" i="50" s="1"/>
  <c r="E342" i="50"/>
  <c r="F691" i="5"/>
  <c r="G691" i="5"/>
  <c r="H691" i="5"/>
  <c r="J691" i="5"/>
  <c r="M691" i="5" s="1"/>
  <c r="E343" i="50"/>
  <c r="F692" i="5"/>
  <c r="G692" i="5"/>
  <c r="H692" i="5"/>
  <c r="J692" i="5"/>
  <c r="M692" i="5" s="1"/>
  <c r="E344" i="50"/>
  <c r="F701" i="5"/>
  <c r="G701" i="5"/>
  <c r="H701" i="5"/>
  <c r="J701" i="5"/>
  <c r="M701" i="5" s="1"/>
  <c r="E345" i="50"/>
  <c r="F704" i="5"/>
  <c r="G704" i="5"/>
  <c r="H704" i="5"/>
  <c r="J704" i="5"/>
  <c r="M704" i="5" s="1"/>
  <c r="F53" i="70" s="1"/>
  <c r="E346" i="50"/>
  <c r="F705" i="5"/>
  <c r="G705" i="5"/>
  <c r="H705" i="5"/>
  <c r="J705" i="5"/>
  <c r="M705" i="5" s="1"/>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F173" i="5"/>
  <c r="F174" i="5"/>
  <c r="F175" i="5"/>
  <c r="F176" i="5"/>
  <c r="F177" i="5"/>
  <c r="F179" i="5"/>
  <c r="F180" i="5"/>
  <c r="F181" i="5"/>
  <c r="F182" i="5"/>
  <c r="F183" i="5"/>
  <c r="F184" i="5"/>
  <c r="F185" i="5"/>
  <c r="F186" i="5"/>
  <c r="F187" i="5"/>
  <c r="F188" i="5"/>
  <c r="F189" i="5"/>
  <c r="F190" i="5"/>
  <c r="D14" i="2"/>
  <c r="D40" i="2" s="1"/>
  <c r="D54" i="2" s="1"/>
  <c r="D56" i="2" s="1"/>
  <c r="D57" i="2" s="1"/>
  <c r="L14" i="2"/>
  <c r="N14" i="2"/>
  <c r="AE14" i="2"/>
  <c r="L40" i="2"/>
  <c r="F129" i="5"/>
  <c r="F130" i="5"/>
  <c r="F131" i="5"/>
  <c r="F134" i="5"/>
  <c r="F135" i="5"/>
  <c r="F136" i="5"/>
  <c r="F137" i="5"/>
  <c r="F138" i="5"/>
  <c r="F139" i="5"/>
  <c r="F140" i="5"/>
  <c r="F150" i="5"/>
  <c r="F151" i="5"/>
  <c r="F152" i="5"/>
  <c r="E95" i="8"/>
  <c r="E121" i="8" s="1"/>
  <c r="F760" i="5"/>
  <c r="I760" i="5" s="1"/>
  <c r="E74" i="74" s="1"/>
  <c r="H5130" i="18" s="1"/>
  <c r="G44" i="72"/>
  <c r="G45" i="72"/>
  <c r="G46" i="72"/>
  <c r="G48" i="72"/>
  <c r="F97" i="5"/>
  <c r="F98" i="5"/>
  <c r="H44" i="72"/>
  <c r="H45" i="72"/>
  <c r="H46" i="72"/>
  <c r="H48" i="72"/>
  <c r="J97" i="5"/>
  <c r="K97" i="5"/>
  <c r="L97" i="5"/>
  <c r="J98" i="5"/>
  <c r="K98" i="5"/>
  <c r="L98" i="5"/>
  <c r="F404" i="5"/>
  <c r="F245" i="5"/>
  <c r="F276" i="5"/>
  <c r="F307" i="5"/>
  <c r="F338" i="5"/>
  <c r="F371" i="5"/>
  <c r="F468" i="5"/>
  <c r="F501" i="5"/>
  <c r="F534" i="5"/>
  <c r="F600" i="5"/>
  <c r="J276" i="5"/>
  <c r="K276" i="5"/>
  <c r="L276" i="5"/>
  <c r="J307" i="5"/>
  <c r="K307" i="5"/>
  <c r="L307" i="5"/>
  <c r="J338" i="5"/>
  <c r="K338" i="5"/>
  <c r="L338" i="5"/>
  <c r="J404" i="5"/>
  <c r="K402" i="5"/>
  <c r="K403" i="5"/>
  <c r="L402" i="5"/>
  <c r="L403" i="5"/>
  <c r="J245" i="5"/>
  <c r="K243" i="5"/>
  <c r="K244" i="5"/>
  <c r="L243" i="5"/>
  <c r="L244" i="5"/>
  <c r="J371" i="5"/>
  <c r="K369" i="5"/>
  <c r="K370" i="5"/>
  <c r="L369" i="5"/>
  <c r="L370" i="5"/>
  <c r="J468" i="5"/>
  <c r="K466" i="5"/>
  <c r="K467" i="5"/>
  <c r="L466" i="5"/>
  <c r="L467" i="5"/>
  <c r="J501" i="5"/>
  <c r="K499" i="5"/>
  <c r="K500" i="5"/>
  <c r="L499" i="5"/>
  <c r="L500" i="5"/>
  <c r="J600" i="5"/>
  <c r="K600" i="5"/>
  <c r="L600" i="5"/>
  <c r="F236" i="5"/>
  <c r="F237" i="5"/>
  <c r="F238" i="5"/>
  <c r="F240" i="5"/>
  <c r="J236" i="5"/>
  <c r="K236" i="5"/>
  <c r="L236" i="5"/>
  <c r="J237" i="5"/>
  <c r="K237" i="5"/>
  <c r="L237" i="5"/>
  <c r="J238" i="5"/>
  <c r="K238" i="5"/>
  <c r="L238" i="5"/>
  <c r="J240" i="5"/>
  <c r="K240" i="5"/>
  <c r="L240" i="5"/>
  <c r="J247" i="5"/>
  <c r="K247" i="5"/>
  <c r="L247" i="5"/>
  <c r="J248" i="5"/>
  <c r="K248" i="5"/>
  <c r="L248" i="5"/>
  <c r="J249" i="5"/>
  <c r="K249" i="5"/>
  <c r="L249" i="5"/>
  <c r="J250" i="5"/>
  <c r="K250" i="5"/>
  <c r="L250" i="5"/>
  <c r="J252" i="5"/>
  <c r="K252" i="5"/>
  <c r="L252" i="5"/>
  <c r="J254" i="5"/>
  <c r="K254" i="5"/>
  <c r="L254" i="5"/>
  <c r="J255" i="5"/>
  <c r="K255" i="5"/>
  <c r="L255" i="5"/>
  <c r="J257" i="5"/>
  <c r="K257" i="5"/>
  <c r="L257" i="5"/>
  <c r="J258" i="5"/>
  <c r="K258" i="5"/>
  <c r="L258" i="5"/>
  <c r="J259" i="5"/>
  <c r="K259" i="5"/>
  <c r="L259" i="5"/>
  <c r="J260" i="5"/>
  <c r="K260" i="5"/>
  <c r="L260" i="5"/>
  <c r="J261" i="5"/>
  <c r="K261" i="5"/>
  <c r="L261" i="5"/>
  <c r="J262" i="5"/>
  <c r="K262" i="5"/>
  <c r="L262" i="5"/>
  <c r="J264" i="5"/>
  <c r="K264" i="5"/>
  <c r="L264" i="5"/>
  <c r="J265" i="5"/>
  <c r="K265" i="5"/>
  <c r="L265" i="5"/>
  <c r="J266" i="5"/>
  <c r="K266" i="5"/>
  <c r="L266" i="5"/>
  <c r="F362" i="5"/>
  <c r="F363" i="5"/>
  <c r="F364" i="5"/>
  <c r="F366" i="5"/>
  <c r="J362" i="5"/>
  <c r="K362" i="5"/>
  <c r="L362" i="5"/>
  <c r="J363" i="5"/>
  <c r="K363" i="5"/>
  <c r="L363" i="5"/>
  <c r="J364" i="5"/>
  <c r="K364" i="5"/>
  <c r="L364" i="5"/>
  <c r="J366" i="5"/>
  <c r="K366" i="5"/>
  <c r="L366" i="5"/>
  <c r="J373" i="5"/>
  <c r="K373" i="5"/>
  <c r="L373" i="5"/>
  <c r="J374" i="5"/>
  <c r="K374" i="5"/>
  <c r="L374" i="5"/>
  <c r="J375" i="5"/>
  <c r="K375" i="5"/>
  <c r="L375" i="5"/>
  <c r="J376" i="5"/>
  <c r="K376" i="5"/>
  <c r="L376" i="5"/>
  <c r="J378" i="5"/>
  <c r="K378" i="5"/>
  <c r="L378" i="5"/>
  <c r="J380" i="5"/>
  <c r="K380" i="5"/>
  <c r="L380" i="5"/>
  <c r="J381" i="5"/>
  <c r="K381" i="5"/>
  <c r="L381" i="5"/>
  <c r="J383" i="5"/>
  <c r="K383" i="5"/>
  <c r="L383" i="5"/>
  <c r="J384" i="5"/>
  <c r="K384" i="5"/>
  <c r="L384" i="5"/>
  <c r="J385" i="5"/>
  <c r="K385" i="5"/>
  <c r="L385" i="5"/>
  <c r="J386" i="5"/>
  <c r="K386" i="5"/>
  <c r="L386" i="5"/>
  <c r="J387" i="5"/>
  <c r="K387" i="5"/>
  <c r="L387" i="5"/>
  <c r="J388" i="5"/>
  <c r="K388" i="5"/>
  <c r="L388" i="5"/>
  <c r="J390" i="5"/>
  <c r="K390" i="5"/>
  <c r="L390" i="5"/>
  <c r="J391" i="5"/>
  <c r="K391" i="5"/>
  <c r="L391" i="5"/>
  <c r="J392" i="5"/>
  <c r="K392" i="5"/>
  <c r="L392" i="5"/>
  <c r="F395" i="5"/>
  <c r="F396" i="5"/>
  <c r="F397" i="5"/>
  <c r="F399" i="5"/>
  <c r="J395" i="5"/>
  <c r="K395" i="5"/>
  <c r="L395" i="5"/>
  <c r="J396" i="5"/>
  <c r="K396" i="5"/>
  <c r="L396" i="5"/>
  <c r="J397" i="5"/>
  <c r="K397" i="5"/>
  <c r="L397" i="5"/>
  <c r="J399" i="5"/>
  <c r="K399" i="5"/>
  <c r="L399" i="5"/>
  <c r="J406" i="5"/>
  <c r="K406" i="5"/>
  <c r="L406" i="5"/>
  <c r="J407" i="5"/>
  <c r="K407" i="5"/>
  <c r="L407" i="5"/>
  <c r="J408" i="5"/>
  <c r="K408" i="5"/>
  <c r="L408" i="5"/>
  <c r="J409" i="5"/>
  <c r="K409" i="5"/>
  <c r="L409" i="5"/>
  <c r="J411" i="5"/>
  <c r="K411" i="5"/>
  <c r="L411" i="5"/>
  <c r="J413" i="5"/>
  <c r="K413" i="5"/>
  <c r="L413" i="5"/>
  <c r="J414" i="5"/>
  <c r="K414" i="5"/>
  <c r="L414" i="5"/>
  <c r="J416" i="5"/>
  <c r="K416" i="5"/>
  <c r="L416" i="5"/>
  <c r="J417" i="5"/>
  <c r="K417" i="5"/>
  <c r="L417" i="5"/>
  <c r="J418" i="5"/>
  <c r="K418" i="5"/>
  <c r="L418" i="5"/>
  <c r="J419" i="5"/>
  <c r="K419" i="5"/>
  <c r="L419" i="5"/>
  <c r="J420" i="5"/>
  <c r="K420" i="5"/>
  <c r="L420" i="5"/>
  <c r="J421" i="5"/>
  <c r="K421" i="5"/>
  <c r="L421" i="5"/>
  <c r="J423" i="5"/>
  <c r="K423" i="5"/>
  <c r="L423" i="5"/>
  <c r="J424" i="5"/>
  <c r="K424" i="5"/>
  <c r="L424" i="5"/>
  <c r="J425" i="5"/>
  <c r="K425" i="5"/>
  <c r="L425" i="5"/>
  <c r="F459" i="5"/>
  <c r="F460" i="5"/>
  <c r="F461" i="5"/>
  <c r="F463" i="5"/>
  <c r="J459" i="5"/>
  <c r="K459" i="5"/>
  <c r="L459" i="5"/>
  <c r="J460" i="5"/>
  <c r="K460" i="5"/>
  <c r="L460" i="5"/>
  <c r="J461" i="5"/>
  <c r="K461" i="5"/>
  <c r="L461" i="5"/>
  <c r="J463" i="5"/>
  <c r="K463" i="5"/>
  <c r="L463" i="5"/>
  <c r="J470" i="5"/>
  <c r="K470" i="5"/>
  <c r="L470" i="5"/>
  <c r="J471" i="5"/>
  <c r="K471" i="5"/>
  <c r="L471" i="5"/>
  <c r="J472" i="5"/>
  <c r="K472" i="5"/>
  <c r="L472" i="5"/>
  <c r="J473" i="5"/>
  <c r="K473" i="5"/>
  <c r="L473" i="5"/>
  <c r="J475" i="5"/>
  <c r="K475" i="5"/>
  <c r="L475" i="5"/>
  <c r="J477" i="5"/>
  <c r="K477" i="5"/>
  <c r="L477" i="5"/>
  <c r="J478" i="5"/>
  <c r="K478" i="5"/>
  <c r="L478" i="5"/>
  <c r="J480" i="5"/>
  <c r="K480" i="5"/>
  <c r="L480" i="5"/>
  <c r="J481" i="5"/>
  <c r="K481" i="5"/>
  <c r="L481" i="5"/>
  <c r="J482" i="5"/>
  <c r="K482" i="5"/>
  <c r="L482" i="5"/>
  <c r="J483" i="5"/>
  <c r="K483" i="5"/>
  <c r="L483" i="5"/>
  <c r="J484" i="5"/>
  <c r="K484" i="5"/>
  <c r="L484" i="5"/>
  <c r="J485" i="5"/>
  <c r="K485" i="5"/>
  <c r="L485" i="5"/>
  <c r="J487" i="5"/>
  <c r="K487" i="5"/>
  <c r="L487" i="5"/>
  <c r="J488" i="5"/>
  <c r="K488" i="5"/>
  <c r="L488" i="5"/>
  <c r="J489" i="5"/>
  <c r="K489" i="5"/>
  <c r="L489" i="5"/>
  <c r="F492" i="5"/>
  <c r="F493" i="5"/>
  <c r="F494" i="5"/>
  <c r="F496" i="5"/>
  <c r="J492" i="5"/>
  <c r="K492" i="5"/>
  <c r="L492" i="5"/>
  <c r="J493" i="5"/>
  <c r="K493" i="5"/>
  <c r="L493" i="5"/>
  <c r="J494" i="5"/>
  <c r="K494" i="5"/>
  <c r="L494" i="5"/>
  <c r="J496" i="5"/>
  <c r="K496" i="5"/>
  <c r="L496" i="5"/>
  <c r="J503" i="5"/>
  <c r="K503" i="5"/>
  <c r="L503" i="5"/>
  <c r="J504" i="5"/>
  <c r="K504" i="5"/>
  <c r="L504" i="5"/>
  <c r="J505" i="5"/>
  <c r="K505" i="5"/>
  <c r="L505" i="5"/>
  <c r="J506" i="5"/>
  <c r="K506" i="5"/>
  <c r="L506" i="5"/>
  <c r="J508" i="5"/>
  <c r="K508" i="5"/>
  <c r="L508" i="5"/>
  <c r="J510" i="5"/>
  <c r="K510" i="5"/>
  <c r="L510" i="5"/>
  <c r="J511" i="5"/>
  <c r="K511" i="5"/>
  <c r="L511" i="5"/>
  <c r="J513" i="5"/>
  <c r="K513" i="5"/>
  <c r="L513" i="5"/>
  <c r="J514" i="5"/>
  <c r="K514" i="5"/>
  <c r="L514" i="5"/>
  <c r="J515" i="5"/>
  <c r="K515" i="5"/>
  <c r="L515" i="5"/>
  <c r="J516" i="5"/>
  <c r="K516" i="5"/>
  <c r="L516" i="5"/>
  <c r="J517" i="5"/>
  <c r="K517" i="5"/>
  <c r="L517" i="5"/>
  <c r="J518" i="5"/>
  <c r="K518" i="5"/>
  <c r="L518" i="5"/>
  <c r="J520" i="5"/>
  <c r="K520" i="5"/>
  <c r="L520" i="5"/>
  <c r="J521" i="5"/>
  <c r="K521" i="5"/>
  <c r="L521" i="5"/>
  <c r="J522" i="5"/>
  <c r="K522" i="5"/>
  <c r="L522" i="5"/>
  <c r="J558" i="5"/>
  <c r="K558" i="5"/>
  <c r="L558" i="5"/>
  <c r="J559" i="5"/>
  <c r="K559" i="5"/>
  <c r="L559" i="5"/>
  <c r="J560" i="5"/>
  <c r="K560" i="5"/>
  <c r="L560" i="5"/>
  <c r="J562" i="5"/>
  <c r="K562" i="5"/>
  <c r="L562" i="5"/>
  <c r="J569" i="5"/>
  <c r="K569" i="5"/>
  <c r="L569" i="5"/>
  <c r="J570" i="5"/>
  <c r="K570" i="5"/>
  <c r="L570" i="5"/>
  <c r="J571" i="5"/>
  <c r="K571" i="5"/>
  <c r="L571" i="5"/>
  <c r="J572" i="5"/>
  <c r="K572" i="5"/>
  <c r="L572" i="5"/>
  <c r="J574" i="5"/>
  <c r="K574" i="5"/>
  <c r="L574" i="5"/>
  <c r="J576" i="5"/>
  <c r="K576" i="5"/>
  <c r="L576" i="5"/>
  <c r="J577" i="5"/>
  <c r="K577" i="5"/>
  <c r="L577" i="5"/>
  <c r="J579" i="5"/>
  <c r="K579" i="5"/>
  <c r="L579" i="5"/>
  <c r="J580" i="5"/>
  <c r="K580" i="5"/>
  <c r="L580" i="5"/>
  <c r="J581" i="5"/>
  <c r="K581" i="5"/>
  <c r="L581" i="5"/>
  <c r="J582" i="5"/>
  <c r="K582" i="5"/>
  <c r="L582" i="5"/>
  <c r="J583" i="5"/>
  <c r="K583" i="5"/>
  <c r="L583" i="5"/>
  <c r="J584" i="5"/>
  <c r="K584" i="5"/>
  <c r="L584" i="5"/>
  <c r="J586" i="5"/>
  <c r="K586" i="5"/>
  <c r="L586" i="5"/>
  <c r="J587" i="5"/>
  <c r="K587" i="5"/>
  <c r="L587" i="5"/>
  <c r="J588" i="5"/>
  <c r="K588" i="5"/>
  <c r="L588" i="5"/>
  <c r="Z36" i="75"/>
  <c r="F558" i="5"/>
  <c r="F559" i="5"/>
  <c r="F560" i="5"/>
  <c r="F562" i="5"/>
  <c r="F591" i="5"/>
  <c r="F592" i="5"/>
  <c r="F593" i="5"/>
  <c r="F595" i="5"/>
  <c r="J591" i="5"/>
  <c r="K591" i="5"/>
  <c r="L591" i="5"/>
  <c r="J592" i="5"/>
  <c r="K592" i="5"/>
  <c r="L592" i="5"/>
  <c r="J593" i="5"/>
  <c r="K593" i="5"/>
  <c r="L593" i="5"/>
  <c r="J595" i="5"/>
  <c r="K595" i="5"/>
  <c r="L595" i="5"/>
  <c r="J602" i="5"/>
  <c r="K602" i="5"/>
  <c r="L602" i="5"/>
  <c r="J603" i="5"/>
  <c r="K603" i="5"/>
  <c r="L603" i="5"/>
  <c r="J604" i="5"/>
  <c r="K604" i="5"/>
  <c r="L604" i="5"/>
  <c r="J605" i="5"/>
  <c r="K605" i="5"/>
  <c r="L605" i="5"/>
  <c r="J607" i="5"/>
  <c r="K607" i="5"/>
  <c r="L607" i="5"/>
  <c r="J609" i="5"/>
  <c r="K609" i="5"/>
  <c r="L609" i="5"/>
  <c r="J610" i="5"/>
  <c r="K610" i="5"/>
  <c r="L610" i="5"/>
  <c r="J612" i="5"/>
  <c r="K612" i="5"/>
  <c r="L612" i="5"/>
  <c r="J613" i="5"/>
  <c r="K613" i="5"/>
  <c r="L613" i="5"/>
  <c r="J614" i="5"/>
  <c r="K614" i="5"/>
  <c r="L614" i="5"/>
  <c r="J615" i="5"/>
  <c r="K615" i="5"/>
  <c r="L615" i="5"/>
  <c r="J616" i="5"/>
  <c r="K616" i="5"/>
  <c r="L616" i="5"/>
  <c r="J617" i="5"/>
  <c r="K617" i="5"/>
  <c r="L617" i="5"/>
  <c r="J619" i="5"/>
  <c r="K619" i="5"/>
  <c r="L619" i="5"/>
  <c r="J620" i="5"/>
  <c r="K620" i="5"/>
  <c r="L620" i="5"/>
  <c r="J621" i="5"/>
  <c r="K621" i="5"/>
  <c r="L621" i="5"/>
  <c r="F269" i="5"/>
  <c r="F270" i="5"/>
  <c r="F271" i="5"/>
  <c r="F273" i="5"/>
  <c r="F300" i="5"/>
  <c r="F301" i="5"/>
  <c r="F302" i="5"/>
  <c r="F304" i="5"/>
  <c r="F331" i="5"/>
  <c r="F332" i="5"/>
  <c r="F333" i="5"/>
  <c r="F335" i="5"/>
  <c r="F428" i="5"/>
  <c r="F429" i="5"/>
  <c r="F430" i="5"/>
  <c r="F432" i="5"/>
  <c r="F525" i="5"/>
  <c r="F526" i="5"/>
  <c r="F527" i="5"/>
  <c r="F529" i="5"/>
  <c r="J269" i="5"/>
  <c r="K269" i="5"/>
  <c r="L269" i="5"/>
  <c r="J270" i="5"/>
  <c r="K270" i="5"/>
  <c r="L270" i="5"/>
  <c r="J271" i="5"/>
  <c r="K271" i="5"/>
  <c r="L271" i="5"/>
  <c r="J273" i="5"/>
  <c r="K273" i="5"/>
  <c r="L273" i="5"/>
  <c r="J300" i="5"/>
  <c r="K300" i="5"/>
  <c r="L300" i="5"/>
  <c r="J301" i="5"/>
  <c r="K301" i="5"/>
  <c r="L301" i="5"/>
  <c r="J302" i="5"/>
  <c r="K302" i="5"/>
  <c r="L302" i="5"/>
  <c r="J304" i="5"/>
  <c r="K304" i="5"/>
  <c r="L304" i="5"/>
  <c r="J331" i="5"/>
  <c r="K331" i="5"/>
  <c r="L331" i="5"/>
  <c r="J332" i="5"/>
  <c r="K332" i="5"/>
  <c r="L332" i="5"/>
  <c r="J333" i="5"/>
  <c r="K333" i="5"/>
  <c r="L333" i="5"/>
  <c r="J335" i="5"/>
  <c r="K335" i="5"/>
  <c r="L335" i="5"/>
  <c r="J428" i="5"/>
  <c r="K428" i="5"/>
  <c r="L428" i="5"/>
  <c r="J429" i="5"/>
  <c r="K429" i="5"/>
  <c r="L429" i="5"/>
  <c r="J430" i="5"/>
  <c r="K430" i="5"/>
  <c r="L430" i="5"/>
  <c r="J432" i="5"/>
  <c r="K432" i="5"/>
  <c r="L432" i="5"/>
  <c r="J278" i="5"/>
  <c r="K278" i="5"/>
  <c r="L278" i="5"/>
  <c r="J279" i="5"/>
  <c r="K279" i="5"/>
  <c r="L279" i="5"/>
  <c r="J280" i="5"/>
  <c r="K280" i="5"/>
  <c r="L280" i="5"/>
  <c r="J281" i="5"/>
  <c r="K281" i="5"/>
  <c r="L281" i="5"/>
  <c r="J283" i="5"/>
  <c r="K283" i="5"/>
  <c r="L283" i="5"/>
  <c r="J285" i="5"/>
  <c r="K285" i="5"/>
  <c r="L285" i="5"/>
  <c r="J286" i="5"/>
  <c r="K286" i="5"/>
  <c r="L286" i="5"/>
  <c r="J288" i="5"/>
  <c r="K288" i="5"/>
  <c r="L288" i="5"/>
  <c r="J289" i="5"/>
  <c r="K289" i="5"/>
  <c r="L289" i="5"/>
  <c r="J290" i="5"/>
  <c r="K290" i="5"/>
  <c r="L290" i="5"/>
  <c r="J291" i="5"/>
  <c r="K291" i="5"/>
  <c r="L291" i="5"/>
  <c r="J292" i="5"/>
  <c r="K292" i="5"/>
  <c r="L292" i="5"/>
  <c r="J293" i="5"/>
  <c r="K293" i="5"/>
  <c r="L293" i="5"/>
  <c r="J295" i="5"/>
  <c r="K295" i="5"/>
  <c r="L295" i="5"/>
  <c r="J296" i="5"/>
  <c r="K296" i="5"/>
  <c r="L296" i="5"/>
  <c r="J297" i="5"/>
  <c r="K297" i="5"/>
  <c r="L297" i="5"/>
  <c r="J309" i="5"/>
  <c r="K309" i="5"/>
  <c r="L309" i="5"/>
  <c r="J310" i="5"/>
  <c r="K310" i="5"/>
  <c r="L310" i="5"/>
  <c r="J311" i="5"/>
  <c r="K311" i="5"/>
  <c r="L311" i="5"/>
  <c r="J312" i="5"/>
  <c r="K312" i="5"/>
  <c r="L312" i="5"/>
  <c r="J314" i="5"/>
  <c r="K314" i="5"/>
  <c r="L314" i="5"/>
  <c r="J316" i="5"/>
  <c r="K316" i="5"/>
  <c r="L316" i="5"/>
  <c r="J317" i="5"/>
  <c r="K317" i="5"/>
  <c r="L317" i="5"/>
  <c r="J319" i="5"/>
  <c r="K319" i="5"/>
  <c r="L319" i="5"/>
  <c r="J320" i="5"/>
  <c r="K320" i="5"/>
  <c r="L320" i="5"/>
  <c r="J321" i="5"/>
  <c r="K321" i="5"/>
  <c r="L321" i="5"/>
  <c r="J322" i="5"/>
  <c r="K322" i="5"/>
  <c r="L322" i="5"/>
  <c r="J323" i="5"/>
  <c r="K323" i="5"/>
  <c r="L323" i="5"/>
  <c r="J324" i="5"/>
  <c r="K324" i="5"/>
  <c r="L324" i="5"/>
  <c r="J326" i="5"/>
  <c r="K326" i="5"/>
  <c r="L326" i="5"/>
  <c r="J327" i="5"/>
  <c r="K327" i="5"/>
  <c r="L327" i="5"/>
  <c r="J328" i="5"/>
  <c r="K328" i="5"/>
  <c r="L328" i="5"/>
  <c r="J340" i="5"/>
  <c r="K340" i="5"/>
  <c r="L340" i="5"/>
  <c r="J341" i="5"/>
  <c r="K341" i="5"/>
  <c r="L341" i="5"/>
  <c r="J342" i="5"/>
  <c r="K342" i="5"/>
  <c r="L342" i="5"/>
  <c r="J343" i="5"/>
  <c r="K343" i="5"/>
  <c r="L343" i="5"/>
  <c r="J345" i="5"/>
  <c r="K345" i="5"/>
  <c r="L345" i="5"/>
  <c r="J347" i="5"/>
  <c r="K347" i="5"/>
  <c r="L347" i="5"/>
  <c r="J348" i="5"/>
  <c r="K348" i="5"/>
  <c r="L348" i="5"/>
  <c r="J350" i="5"/>
  <c r="K350" i="5"/>
  <c r="L350" i="5"/>
  <c r="J351" i="5"/>
  <c r="K351" i="5"/>
  <c r="L351" i="5"/>
  <c r="J352" i="5"/>
  <c r="K352" i="5"/>
  <c r="L352" i="5"/>
  <c r="J353" i="5"/>
  <c r="K353" i="5"/>
  <c r="L353" i="5"/>
  <c r="J354" i="5"/>
  <c r="K354" i="5"/>
  <c r="L354" i="5"/>
  <c r="J355" i="5"/>
  <c r="K355" i="5"/>
  <c r="L355" i="5"/>
  <c r="J357" i="5"/>
  <c r="K357" i="5"/>
  <c r="L357" i="5"/>
  <c r="J358" i="5"/>
  <c r="K358" i="5"/>
  <c r="L358" i="5"/>
  <c r="J359" i="5"/>
  <c r="K359" i="5"/>
  <c r="L359" i="5"/>
  <c r="J437" i="5"/>
  <c r="K437" i="5"/>
  <c r="L437" i="5"/>
  <c r="J438" i="5"/>
  <c r="K438" i="5"/>
  <c r="L438" i="5"/>
  <c r="J439" i="5"/>
  <c r="K439" i="5"/>
  <c r="L439" i="5"/>
  <c r="J440" i="5"/>
  <c r="K440" i="5"/>
  <c r="L440" i="5"/>
  <c r="J442" i="5"/>
  <c r="K442" i="5"/>
  <c r="L442" i="5"/>
  <c r="J444" i="5"/>
  <c r="K444" i="5"/>
  <c r="L444" i="5"/>
  <c r="J445" i="5"/>
  <c r="K445" i="5"/>
  <c r="L445" i="5"/>
  <c r="J447" i="5"/>
  <c r="K447" i="5"/>
  <c r="L447" i="5"/>
  <c r="J448" i="5"/>
  <c r="K448" i="5"/>
  <c r="L448" i="5"/>
  <c r="J449" i="5"/>
  <c r="K449" i="5"/>
  <c r="L449" i="5"/>
  <c r="J450" i="5"/>
  <c r="K450" i="5"/>
  <c r="L450" i="5"/>
  <c r="J451" i="5"/>
  <c r="K451" i="5"/>
  <c r="L451" i="5"/>
  <c r="J452" i="5"/>
  <c r="K452" i="5"/>
  <c r="L452" i="5"/>
  <c r="J454" i="5"/>
  <c r="K454" i="5"/>
  <c r="L454" i="5"/>
  <c r="J455" i="5"/>
  <c r="K455" i="5"/>
  <c r="L455" i="5"/>
  <c r="J456" i="5"/>
  <c r="K456" i="5"/>
  <c r="L456" i="5"/>
  <c r="F247" i="5"/>
  <c r="F248" i="5"/>
  <c r="F249" i="5"/>
  <c r="F250" i="5"/>
  <c r="F252" i="5"/>
  <c r="F254" i="5"/>
  <c r="F255" i="5"/>
  <c r="F257" i="5"/>
  <c r="F258" i="5"/>
  <c r="F259" i="5"/>
  <c r="F260" i="5"/>
  <c r="F261" i="5"/>
  <c r="F262" i="5"/>
  <c r="F264" i="5"/>
  <c r="F265" i="5"/>
  <c r="F266" i="5"/>
  <c r="F373" i="5"/>
  <c r="F374" i="5"/>
  <c r="F375" i="5"/>
  <c r="F376" i="5"/>
  <c r="F378" i="5"/>
  <c r="F380" i="5"/>
  <c r="F381" i="5"/>
  <c r="F383" i="5"/>
  <c r="F384" i="5"/>
  <c r="F385" i="5"/>
  <c r="F386" i="5"/>
  <c r="F387" i="5"/>
  <c r="F388" i="5"/>
  <c r="F390" i="5"/>
  <c r="F391" i="5"/>
  <c r="F392" i="5"/>
  <c r="F406" i="5"/>
  <c r="F407" i="5"/>
  <c r="F408" i="5"/>
  <c r="F409" i="5"/>
  <c r="F411" i="5"/>
  <c r="F413" i="5"/>
  <c r="F414" i="5"/>
  <c r="F416" i="5"/>
  <c r="F417" i="5"/>
  <c r="F418" i="5"/>
  <c r="F419" i="5"/>
  <c r="F420" i="5"/>
  <c r="F421" i="5"/>
  <c r="F423" i="5"/>
  <c r="F424" i="5"/>
  <c r="F425" i="5"/>
  <c r="F470" i="5"/>
  <c r="F471" i="5"/>
  <c r="F472" i="5"/>
  <c r="F473" i="5"/>
  <c r="F475" i="5"/>
  <c r="F477" i="5"/>
  <c r="F478" i="5"/>
  <c r="F480" i="5"/>
  <c r="F481" i="5"/>
  <c r="F482" i="5"/>
  <c r="F483" i="5"/>
  <c r="F484" i="5"/>
  <c r="F485" i="5"/>
  <c r="F487" i="5"/>
  <c r="F488" i="5"/>
  <c r="F489" i="5"/>
  <c r="F503" i="5"/>
  <c r="F504" i="5"/>
  <c r="F505" i="5"/>
  <c r="F506" i="5"/>
  <c r="F508" i="5"/>
  <c r="F510" i="5"/>
  <c r="F511" i="5"/>
  <c r="F513" i="5"/>
  <c r="F514" i="5"/>
  <c r="F515" i="5"/>
  <c r="F516" i="5"/>
  <c r="F517" i="5"/>
  <c r="F518" i="5"/>
  <c r="F520" i="5"/>
  <c r="F521" i="5"/>
  <c r="F522" i="5"/>
  <c r="F536" i="5"/>
  <c r="F537" i="5"/>
  <c r="F538" i="5"/>
  <c r="F539" i="5"/>
  <c r="F541" i="5"/>
  <c r="F543" i="5"/>
  <c r="F544" i="5"/>
  <c r="F546" i="5"/>
  <c r="F547" i="5"/>
  <c r="F548" i="5"/>
  <c r="F549" i="5"/>
  <c r="F550" i="5"/>
  <c r="F551" i="5"/>
  <c r="F553" i="5"/>
  <c r="F554" i="5"/>
  <c r="F555" i="5"/>
  <c r="F569" i="5"/>
  <c r="F570" i="5"/>
  <c r="F571" i="5"/>
  <c r="F572" i="5"/>
  <c r="F574" i="5"/>
  <c r="F576" i="5"/>
  <c r="F577" i="5"/>
  <c r="F579" i="5"/>
  <c r="F580" i="5"/>
  <c r="F581" i="5"/>
  <c r="F582" i="5"/>
  <c r="F583" i="5"/>
  <c r="F584" i="5"/>
  <c r="F586" i="5"/>
  <c r="F587" i="5"/>
  <c r="F588" i="5"/>
  <c r="F278" i="5"/>
  <c r="F279" i="5"/>
  <c r="F280" i="5"/>
  <c r="F281" i="5"/>
  <c r="F283" i="5"/>
  <c r="F285" i="5"/>
  <c r="F286" i="5"/>
  <c r="F288" i="5"/>
  <c r="F289" i="5"/>
  <c r="F290" i="5"/>
  <c r="F291" i="5"/>
  <c r="F292" i="5"/>
  <c r="F293" i="5"/>
  <c r="F295" i="5"/>
  <c r="F296" i="5"/>
  <c r="F297" i="5"/>
  <c r="F309" i="5"/>
  <c r="F310" i="5"/>
  <c r="F311" i="5"/>
  <c r="F312" i="5"/>
  <c r="F314" i="5"/>
  <c r="F316" i="5"/>
  <c r="F317" i="5"/>
  <c r="F319" i="5"/>
  <c r="F320" i="5"/>
  <c r="F321" i="5"/>
  <c r="F322" i="5"/>
  <c r="F323" i="5"/>
  <c r="F324" i="5"/>
  <c r="F326" i="5"/>
  <c r="F327" i="5"/>
  <c r="F328" i="5"/>
  <c r="F340" i="5"/>
  <c r="F341" i="5"/>
  <c r="F342" i="5"/>
  <c r="F343" i="5"/>
  <c r="F345" i="5"/>
  <c r="F347" i="5"/>
  <c r="F348" i="5"/>
  <c r="F350" i="5"/>
  <c r="F351" i="5"/>
  <c r="F352" i="5"/>
  <c r="F353" i="5"/>
  <c r="F354" i="5"/>
  <c r="F355" i="5"/>
  <c r="F357" i="5"/>
  <c r="F358" i="5"/>
  <c r="F359" i="5"/>
  <c r="F437" i="5"/>
  <c r="F438" i="5"/>
  <c r="F439" i="5"/>
  <c r="F440" i="5"/>
  <c r="F442" i="5"/>
  <c r="F444" i="5"/>
  <c r="F445" i="5"/>
  <c r="F447" i="5"/>
  <c r="F448" i="5"/>
  <c r="F449" i="5"/>
  <c r="F450" i="5"/>
  <c r="F451" i="5"/>
  <c r="F452" i="5"/>
  <c r="F454" i="5"/>
  <c r="F455" i="5"/>
  <c r="F456" i="5"/>
  <c r="F602" i="5"/>
  <c r="F603" i="5"/>
  <c r="F604" i="5"/>
  <c r="F605" i="5"/>
  <c r="F607" i="5"/>
  <c r="F609" i="5"/>
  <c r="F610" i="5"/>
  <c r="F612" i="5"/>
  <c r="F613" i="5"/>
  <c r="F614" i="5"/>
  <c r="F615" i="5"/>
  <c r="F616" i="5"/>
  <c r="F617" i="5"/>
  <c r="F619" i="5"/>
  <c r="F620" i="5"/>
  <c r="F621" i="5"/>
  <c r="F712" i="5"/>
  <c r="G712" i="5"/>
  <c r="H712" i="5"/>
  <c r="J669" i="5"/>
  <c r="M669" i="5" s="1"/>
  <c r="J694" i="5"/>
  <c r="M694" i="5" s="1"/>
  <c r="J688" i="5"/>
  <c r="M688" i="5" s="1"/>
  <c r="F22" i="74" s="1"/>
  <c r="J699" i="5"/>
  <c r="M699" i="5" s="1"/>
  <c r="J710" i="5"/>
  <c r="M710" i="5" s="1"/>
  <c r="J712" i="5"/>
  <c r="M712" i="5" s="1"/>
  <c r="F738" i="5"/>
  <c r="I738" i="5" s="1"/>
  <c r="K6053" i="18" s="1"/>
  <c r="L6054" i="18" s="1"/>
  <c r="F739" i="5"/>
  <c r="I739" i="5" s="1"/>
  <c r="F740" i="5"/>
  <c r="I740" i="5" s="1"/>
  <c r="E54" i="74" s="1"/>
  <c r="H5102" i="18" s="1"/>
  <c r="F741" i="5"/>
  <c r="I741" i="5" s="1"/>
  <c r="F742" i="5"/>
  <c r="I742" i="5" s="1"/>
  <c r="E56" i="74" s="1"/>
  <c r="H5104" i="18" s="1"/>
  <c r="F743" i="5"/>
  <c r="I743" i="5" s="1"/>
  <c r="E57" i="74" s="1"/>
  <c r="H5105" i="18" s="1"/>
  <c r="F744" i="5"/>
  <c r="I744" i="5" s="1"/>
  <c r="E58" i="74" s="1"/>
  <c r="H5106" i="18" s="1"/>
  <c r="F745" i="5"/>
  <c r="I745" i="5" s="1"/>
  <c r="K6115" i="18" s="1"/>
  <c r="L6116" i="18" s="1"/>
  <c r="F746" i="5"/>
  <c r="I746" i="5" s="1"/>
  <c r="E60" i="74" s="1"/>
  <c r="H5108" i="18" s="1"/>
  <c r="F747" i="5"/>
  <c r="I747" i="5" s="1"/>
  <c r="F748" i="5"/>
  <c r="I748" i="5" s="1"/>
  <c r="E62" i="74" s="1"/>
  <c r="H5110" i="18" s="1"/>
  <c r="F749" i="5"/>
  <c r="I749" i="5" s="1"/>
  <c r="E80" i="70" s="1"/>
  <c r="F750" i="5"/>
  <c r="I750" i="5" s="1"/>
  <c r="K6162" i="18" s="1"/>
  <c r="L6163" i="18" s="1"/>
  <c r="F751" i="5"/>
  <c r="I751" i="5" s="1"/>
  <c r="E65" i="74" s="1"/>
  <c r="H5113" i="18" s="1"/>
  <c r="F752" i="5"/>
  <c r="I752" i="5" s="1"/>
  <c r="F753" i="5"/>
  <c r="I753" i="5" s="1"/>
  <c r="K6240" i="18" s="1"/>
  <c r="L6241" i="18" s="1"/>
  <c r="F669" i="5"/>
  <c r="G669" i="5"/>
  <c r="H669" i="5"/>
  <c r="J738" i="5"/>
  <c r="M738" i="5" s="1"/>
  <c r="F52" i="74" s="1"/>
  <c r="I5100" i="18" s="1"/>
  <c r="J739" i="5"/>
  <c r="M739" i="5" s="1"/>
  <c r="J740" i="5"/>
  <c r="M740" i="5" s="1"/>
  <c r="J741" i="5"/>
  <c r="M741" i="5" s="1"/>
  <c r="J742" i="5"/>
  <c r="M742" i="5" s="1"/>
  <c r="F56" i="74" s="1"/>
  <c r="I5104" i="18" s="1"/>
  <c r="J743" i="5"/>
  <c r="M743" i="5" s="1"/>
  <c r="F57" i="74" s="1"/>
  <c r="I5105" i="18" s="1"/>
  <c r="J744" i="5"/>
  <c r="M744" i="5" s="1"/>
  <c r="F58" i="74" s="1"/>
  <c r="I5106" i="18" s="1"/>
  <c r="J745" i="5"/>
  <c r="M745" i="5" s="1"/>
  <c r="F59" i="74" s="1"/>
  <c r="I5107" i="18" s="1"/>
  <c r="J746" i="5"/>
  <c r="M746" i="5" s="1"/>
  <c r="J747" i="5"/>
  <c r="M747" i="5" s="1"/>
  <c r="F61" i="74" s="1"/>
  <c r="I5109" i="18" s="1"/>
  <c r="J748" i="5"/>
  <c r="M748" i="5" s="1"/>
  <c r="J749" i="5"/>
  <c r="M749" i="5" s="1"/>
  <c r="F63" i="74" s="1"/>
  <c r="I5111" i="18" s="1"/>
  <c r="J750" i="5"/>
  <c r="M750" i="5" s="1"/>
  <c r="J751" i="5"/>
  <c r="M751" i="5" s="1"/>
  <c r="F65" i="74" s="1"/>
  <c r="I5113" i="18" s="1"/>
  <c r="J752" i="5"/>
  <c r="M752" i="5" s="1"/>
  <c r="F66" i="74" s="1"/>
  <c r="I5114" i="18" s="1"/>
  <c r="J753" i="5"/>
  <c r="M753" i="5" s="1"/>
  <c r="F67" i="74" s="1"/>
  <c r="I5115" i="18" s="1"/>
  <c r="F763" i="5"/>
  <c r="F762" i="5"/>
  <c r="I762" i="5" s="1"/>
  <c r="F694" i="5"/>
  <c r="G694" i="5"/>
  <c r="H694" i="5"/>
  <c r="F688" i="5"/>
  <c r="G688" i="5"/>
  <c r="H688" i="5"/>
  <c r="F699" i="5"/>
  <c r="G699" i="5"/>
  <c r="H699" i="5"/>
  <c r="F710" i="5"/>
  <c r="G710" i="5"/>
  <c r="H710" i="5"/>
  <c r="J761" i="5"/>
  <c r="M761" i="5" s="1"/>
  <c r="F92" i="70" s="1"/>
  <c r="J763" i="5"/>
  <c r="M763" i="5" s="1"/>
  <c r="J762" i="5"/>
  <c r="M762" i="5" s="1"/>
  <c r="F76" i="74" s="1"/>
  <c r="I5132" i="18" s="1"/>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F105" i="21"/>
  <c r="F113" i="21"/>
  <c r="F117" i="21"/>
  <c r="F121" i="21"/>
  <c r="F88" i="21"/>
  <c r="F89" i="21"/>
  <c r="F90" i="21"/>
  <c r="F92" i="21"/>
  <c r="F93" i="21"/>
  <c r="F94" i="21"/>
  <c r="F96" i="21"/>
  <c r="F97" i="21"/>
  <c r="F98" i="21"/>
  <c r="F125" i="21"/>
  <c r="F126" i="21"/>
  <c r="F127" i="21"/>
  <c r="A6" i="81"/>
  <c r="B5" i="81"/>
  <c r="A5" i="81"/>
  <c r="K5" i="81"/>
  <c r="B3" i="81"/>
  <c r="A2" i="81"/>
  <c r="K4" i="81"/>
  <c r="D1" i="81"/>
  <c r="R11" i="6"/>
  <c r="K11" i="80"/>
  <c r="J11" i="80"/>
  <c r="I11" i="80"/>
  <c r="H11" i="80"/>
  <c r="G11" i="80"/>
  <c r="F11" i="80"/>
  <c r="E11" i="80"/>
  <c r="D11" i="80"/>
  <c r="A6" i="80"/>
  <c r="B5" i="80"/>
  <c r="A5" i="80"/>
  <c r="B3" i="80"/>
  <c r="A2" i="80"/>
  <c r="D1" i="80"/>
  <c r="A6" i="79"/>
  <c r="B5" i="79"/>
  <c r="A5" i="79"/>
  <c r="B3" i="79"/>
  <c r="A2" i="79"/>
  <c r="H4" i="79"/>
  <c r="D1" i="79"/>
  <c r="A6" i="78"/>
  <c r="B5" i="78"/>
  <c r="A5" i="78"/>
  <c r="B3" i="78"/>
  <c r="A2" i="78"/>
  <c r="D1" i="78"/>
  <c r="H4" i="78"/>
  <c r="A6" i="77"/>
  <c r="B5" i="77"/>
  <c r="A5" i="77"/>
  <c r="P5" i="77"/>
  <c r="B3" i="77"/>
  <c r="A2" i="77"/>
  <c r="P4" i="77"/>
  <c r="D1" i="77"/>
  <c r="A6" i="76"/>
  <c r="B5" i="76"/>
  <c r="A5" i="76"/>
  <c r="B3" i="76"/>
  <c r="A2" i="76"/>
  <c r="J4" i="76"/>
  <c r="D1" i="76"/>
  <c r="K3" i="81"/>
  <c r="K5" i="80"/>
  <c r="K4" i="80"/>
  <c r="K3" i="80"/>
  <c r="H5" i="79"/>
  <c r="H3" i="79"/>
  <c r="H5" i="78"/>
  <c r="H3" i="78"/>
  <c r="M30" i="77"/>
  <c r="L30" i="77"/>
  <c r="K30" i="77"/>
  <c r="J30" i="77"/>
  <c r="I30" i="77"/>
  <c r="H30" i="77"/>
  <c r="G30" i="77"/>
  <c r="F30" i="77"/>
  <c r="N30" i="77"/>
  <c r="N29" i="77"/>
  <c r="N28" i="77"/>
  <c r="N27" i="77"/>
  <c r="N26" i="77"/>
  <c r="N25" i="77"/>
  <c r="K23" i="77"/>
  <c r="K31" i="77"/>
  <c r="G23" i="77"/>
  <c r="G31" i="77"/>
  <c r="M22" i="77"/>
  <c r="L22" i="77"/>
  <c r="L23" i="77"/>
  <c r="L31" i="77"/>
  <c r="K22" i="77"/>
  <c r="J22" i="77"/>
  <c r="I22" i="77"/>
  <c r="H22" i="77"/>
  <c r="H23" i="77"/>
  <c r="H31" i="77"/>
  <c r="G22" i="77"/>
  <c r="F22" i="77"/>
  <c r="N22" i="77"/>
  <c r="N21" i="77"/>
  <c r="N20" i="77"/>
  <c r="N19" i="77"/>
  <c r="N18" i="77"/>
  <c r="N17" i="77"/>
  <c r="M15" i="77"/>
  <c r="M23" i="77"/>
  <c r="M31" i="77"/>
  <c r="L15" i="77"/>
  <c r="K15" i="77"/>
  <c r="J15" i="77"/>
  <c r="J23" i="77"/>
  <c r="J31" i="77"/>
  <c r="I15" i="77"/>
  <c r="I23" i="77"/>
  <c r="I31" i="77"/>
  <c r="H15" i="77"/>
  <c r="G15" i="77"/>
  <c r="F15" i="77"/>
  <c r="N15" i="77"/>
  <c r="N14" i="77"/>
  <c r="N13" i="77"/>
  <c r="N12" i="77"/>
  <c r="N11" i="77"/>
  <c r="N10" i="77"/>
  <c r="P3" i="77"/>
  <c r="J5" i="76"/>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1" i="6"/>
  <c r="B32" i="6"/>
  <c r="B33" i="6"/>
  <c r="B34" i="6"/>
  <c r="B35" i="6"/>
  <c r="B36" i="6"/>
  <c r="B37" i="6"/>
  <c r="B20" i="6"/>
  <c r="B21" i="6"/>
  <c r="B24" i="6"/>
  <c r="B25" i="6"/>
  <c r="B26" i="6"/>
  <c r="B28" i="6"/>
  <c r="B29" i="6"/>
  <c r="B12" i="6"/>
  <c r="B13" i="6"/>
  <c r="B16" i="6"/>
  <c r="B17" i="6"/>
  <c r="L12" i="18"/>
  <c r="K12" i="18"/>
  <c r="G2074" i="18"/>
  <c r="G2073" i="18"/>
  <c r="G2132" i="18"/>
  <c r="G2131" i="18"/>
  <c r="I2070" i="18"/>
  <c r="K2063" i="18"/>
  <c r="L11" i="80"/>
  <c r="F23" i="77"/>
  <c r="I2074" i="18"/>
  <c r="P851" i="18"/>
  <c r="Q856" i="18"/>
  <c r="R851" i="18"/>
  <c r="G828" i="18"/>
  <c r="G827" i="18"/>
  <c r="G806" i="18"/>
  <c r="G805" i="18"/>
  <c r="G757" i="18"/>
  <c r="G756" i="18"/>
  <c r="G735" i="18"/>
  <c r="G734" i="18"/>
  <c r="J846" i="18"/>
  <c r="J824" i="18"/>
  <c r="J828" i="18"/>
  <c r="J802" i="18"/>
  <c r="J806" i="18"/>
  <c r="J775" i="18"/>
  <c r="K762" i="18"/>
  <c r="J753" i="18"/>
  <c r="K740" i="18"/>
  <c r="J731" i="18"/>
  <c r="K721" i="18"/>
  <c r="H833" i="18"/>
  <c r="H811" i="18"/>
  <c r="H792" i="18"/>
  <c r="K833" i="18"/>
  <c r="D838" i="18"/>
  <c r="D839" i="18"/>
  <c r="D840" i="18"/>
  <c r="D841" i="18"/>
  <c r="D842" i="18"/>
  <c r="D843" i="18"/>
  <c r="D844" i="18"/>
  <c r="D845" i="18"/>
  <c r="D846" i="18"/>
  <c r="D833" i="18"/>
  <c r="G833" i="18"/>
  <c r="K811" i="18"/>
  <c r="D816" i="18"/>
  <c r="D817" i="18"/>
  <c r="D818" i="18"/>
  <c r="D819" i="18"/>
  <c r="D820" i="18"/>
  <c r="D821" i="18"/>
  <c r="D822" i="18"/>
  <c r="D823" i="18"/>
  <c r="D824" i="18"/>
  <c r="D811" i="18"/>
  <c r="G811" i="18"/>
  <c r="K792" i="18"/>
  <c r="D797" i="18"/>
  <c r="D798" i="18"/>
  <c r="D799" i="18"/>
  <c r="D800" i="18"/>
  <c r="D801" i="18"/>
  <c r="D802" i="18"/>
  <c r="D792" i="18"/>
  <c r="G792" i="18"/>
  <c r="D782" i="18"/>
  <c r="D783" i="18"/>
  <c r="D784" i="18"/>
  <c r="D785" i="18"/>
  <c r="D786" i="18"/>
  <c r="D787" i="18"/>
  <c r="D788" i="18"/>
  <c r="D789" i="18"/>
  <c r="D790" i="18"/>
  <c r="J786" i="18"/>
  <c r="J782" i="18"/>
  <c r="H777" i="18"/>
  <c r="L827" i="18"/>
  <c r="D777" i="18"/>
  <c r="G777" i="18"/>
  <c r="H804" i="18"/>
  <c r="L4963" i="18"/>
  <c r="M4959" i="18"/>
  <c r="K4959" i="18"/>
  <c r="G4793" i="18"/>
  <c r="G4791" i="18"/>
  <c r="G4792" i="18"/>
  <c r="K4635" i="18"/>
  <c r="L4650" i="18"/>
  <c r="M4650" i="18"/>
  <c r="N4635" i="18"/>
  <c r="G4281" i="18"/>
  <c r="G4280" i="18"/>
  <c r="G4131" i="18"/>
  <c r="G4130" i="18"/>
  <c r="M3929" i="18"/>
  <c r="L3929" i="18"/>
  <c r="K3929" i="18"/>
  <c r="G3851" i="18"/>
  <c r="G3850" i="18"/>
  <c r="F31" i="77"/>
  <c r="N23" i="77"/>
  <c r="N31" i="77"/>
  <c r="J757" i="18"/>
  <c r="J735" i="18"/>
  <c r="R854" i="18"/>
  <c r="L805" i="18"/>
  <c r="H826" i="18"/>
  <c r="J790" i="18"/>
  <c r="K777" i="18"/>
  <c r="M3762" i="18"/>
  <c r="L3762" i="18"/>
  <c r="K3762" i="18"/>
  <c r="G3676" i="18"/>
  <c r="G3675" i="18"/>
  <c r="G3652" i="18"/>
  <c r="G3651" i="18"/>
  <c r="G3553" i="18"/>
  <c r="G3552" i="18"/>
  <c r="G3466" i="18"/>
  <c r="G3465" i="18"/>
  <c r="G2892" i="18"/>
  <c r="G2891" i="18"/>
  <c r="M2823" i="18"/>
  <c r="L2823" i="18"/>
  <c r="K2823" i="18"/>
  <c r="M2641" i="18"/>
  <c r="L2641" i="18"/>
  <c r="K2641" i="18"/>
  <c r="G2426" i="18"/>
  <c r="G2425" i="18"/>
  <c r="G2458" i="18"/>
  <c r="G2457" i="18"/>
  <c r="G2344" i="18"/>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c r="G1073" i="18"/>
  <c r="N1029" i="18"/>
  <c r="M1029" i="18"/>
  <c r="L1029" i="18"/>
  <c r="M1482" i="18"/>
  <c r="L1482" i="18"/>
  <c r="K1482" i="18"/>
  <c r="I1482" i="18"/>
  <c r="H1482" i="18"/>
  <c r="H1486" i="18"/>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36" i="18"/>
  <c r="H4317" i="18"/>
  <c r="H2543" i="18"/>
  <c r="H2530" i="18"/>
  <c r="H20" i="18"/>
  <c r="H236" i="18"/>
  <c r="G5239" i="18"/>
  <c r="G5238" i="18"/>
  <c r="G5237" i="18"/>
  <c r="D5215" i="18"/>
  <c r="D5220" i="18"/>
  <c r="D5225" i="18"/>
  <c r="D5230" i="18"/>
  <c r="D5235" i="18"/>
  <c r="D5240" i="18"/>
  <c r="D5245" i="18"/>
  <c r="D5250" i="18"/>
  <c r="D5255" i="18"/>
  <c r="D5260" i="18"/>
  <c r="D5265" i="18"/>
  <c r="D5270" i="18"/>
  <c r="D5271" i="18"/>
  <c r="D5272" i="18"/>
  <c r="D4739" i="18"/>
  <c r="D4740" i="18"/>
  <c r="D4741" i="18"/>
  <c r="D4742" i="18"/>
  <c r="D4743" i="18"/>
  <c r="D4744" i="18"/>
  <c r="D4745" i="18"/>
  <c r="D4746" i="18"/>
  <c r="D4747" i="18"/>
  <c r="D4736" i="18"/>
  <c r="G4736" i="18"/>
  <c r="C72" i="8"/>
  <c r="C52" i="74"/>
  <c r="C69" i="70"/>
  <c r="G5100" i="18"/>
  <c r="H5500" i="18"/>
  <c r="K5544" i="18"/>
  <c r="K5543" i="18"/>
  <c r="K5541" i="18"/>
  <c r="K5540" i="18"/>
  <c r="K5532" i="18"/>
  <c r="K5533" i="18"/>
  <c r="K5534" i="18"/>
  <c r="K5535" i="18"/>
  <c r="K5536" i="18"/>
  <c r="K5537" i="18"/>
  <c r="K5525" i="18"/>
  <c r="K5527" i="18"/>
  <c r="K5528" i="18"/>
  <c r="K5529" i="18"/>
  <c r="K5517" i="18"/>
  <c r="K5518" i="18"/>
  <c r="K5519" i="18"/>
  <c r="K5520" i="18"/>
  <c r="K5522" i="18"/>
  <c r="K5523" i="18"/>
  <c r="K5524" i="18"/>
  <c r="K5508" i="18"/>
  <c r="K5509" i="18"/>
  <c r="K5510" i="18"/>
  <c r="K5511" i="18"/>
  <c r="K5513" i="18"/>
  <c r="K5514" i="18"/>
  <c r="K5515" i="18"/>
  <c r="I5507" i="18"/>
  <c r="J5507" i="18"/>
  <c r="I5512" i="18"/>
  <c r="J5512" i="18"/>
  <c r="I5516" i="18"/>
  <c r="J5516" i="18"/>
  <c r="I5521" i="18"/>
  <c r="J5521" i="18"/>
  <c r="I5526" i="18"/>
  <c r="J5526" i="18"/>
  <c r="I5531" i="18"/>
  <c r="I5538" i="18"/>
  <c r="J5531" i="18"/>
  <c r="J5538" i="18"/>
  <c r="I5542" i="18"/>
  <c r="J5542" i="18"/>
  <c r="I5545" i="18"/>
  <c r="J5545" i="18"/>
  <c r="H5545" i="18"/>
  <c r="H5542" i="18"/>
  <c r="H5531" i="18"/>
  <c r="H5526" i="18"/>
  <c r="H5521" i="18"/>
  <c r="H5516" i="18"/>
  <c r="H5512" i="18"/>
  <c r="H5507" i="18"/>
  <c r="D5505" i="18"/>
  <c r="D5506" i="18"/>
  <c r="D5507" i="18"/>
  <c r="D5508" i="18"/>
  <c r="D5509" i="18"/>
  <c r="D5510" i="18"/>
  <c r="D5511" i="18"/>
  <c r="D5512" i="18"/>
  <c r="D5513" i="18"/>
  <c r="D5514"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459" i="18"/>
  <c r="D5460" i="18"/>
  <c r="D5461" i="18"/>
  <c r="D5462" i="18"/>
  <c r="D5463" i="18"/>
  <c r="D5464" i="18"/>
  <c r="D5465" i="18"/>
  <c r="D5466" i="18"/>
  <c r="D5467" i="18"/>
  <c r="D5468"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K5486" i="18"/>
  <c r="K5476" i="18"/>
  <c r="K5468" i="18"/>
  <c r="K5464" i="18"/>
  <c r="N5500" i="18"/>
  <c r="K5500" i="18"/>
  <c r="D5500" i="18"/>
  <c r="G5500" i="18"/>
  <c r="H5506" i="18"/>
  <c r="K5521" i="18"/>
  <c r="K5545" i="18"/>
  <c r="K5542" i="18"/>
  <c r="J5506" i="18"/>
  <c r="J5530" i="18"/>
  <c r="K5526" i="18"/>
  <c r="K5507" i="18"/>
  <c r="K5516" i="18"/>
  <c r="H5530" i="18"/>
  <c r="K5531" i="18"/>
  <c r="H5538" i="18"/>
  <c r="K5538" i="18"/>
  <c r="I5506" i="18"/>
  <c r="I5530" i="18"/>
  <c r="K5512" i="18"/>
  <c r="K5530" i="18"/>
  <c r="K5506" i="18"/>
  <c r="I5830" i="18"/>
  <c r="I5832" i="18"/>
  <c r="I4758" i="18"/>
  <c r="I4755" i="18"/>
  <c r="H4758" i="18"/>
  <c r="H4755" i="18"/>
  <c r="H4763" i="18" s="1"/>
  <c r="D4968" i="18"/>
  <c r="D4969" i="18"/>
  <c r="D4970" i="18"/>
  <c r="D4971" i="18"/>
  <c r="D4972" i="18"/>
  <c r="D4973" i="18"/>
  <c r="D4974" i="18"/>
  <c r="D4975" i="18"/>
  <c r="D4976" i="18"/>
  <c r="D4977" i="18"/>
  <c r="D4978" i="18"/>
  <c r="D4979" i="18"/>
  <c r="D4980" i="18"/>
  <c r="D4981" i="18"/>
  <c r="Q4384" i="18"/>
  <c r="Q4385" i="18"/>
  <c r="Q4386" i="18"/>
  <c r="Q4387" i="18"/>
  <c r="Q4388" i="18"/>
  <c r="Q4389" i="18"/>
  <c r="Q4373" i="18"/>
  <c r="Q4374" i="18"/>
  <c r="Q4375" i="18"/>
  <c r="Q4376" i="18"/>
  <c r="Q4377" i="18"/>
  <c r="Q4378" i="18"/>
  <c r="Q4380" i="18"/>
  <c r="Q4381" i="18"/>
  <c r="Q4382" i="18"/>
  <c r="Q4383" i="18"/>
  <c r="P4389" i="18"/>
  <c r="P4388" i="18"/>
  <c r="P4387" i="18"/>
  <c r="P4386" i="18"/>
  <c r="P4383" i="18"/>
  <c r="P4382" i="18"/>
  <c r="P4381" i="18"/>
  <c r="P4380" i="18"/>
  <c r="P4378" i="18"/>
  <c r="P4377" i="18"/>
  <c r="P4376" i="18"/>
  <c r="P4375" i="18"/>
  <c r="P4374" i="18"/>
  <c r="P4373" i="18"/>
  <c r="M4273" i="18"/>
  <c r="M4274" i="18"/>
  <c r="M4275" i="18"/>
  <c r="M4276" i="18"/>
  <c r="M4272" i="18"/>
  <c r="D3763" i="18"/>
  <c r="D3764" i="18"/>
  <c r="D3765" i="18"/>
  <c r="D3766" i="18"/>
  <c r="D3767" i="18"/>
  <c r="J3667" i="18"/>
  <c r="I3667" i="18"/>
  <c r="H3667" i="18"/>
  <c r="J3666" i="18"/>
  <c r="J3672" i="18"/>
  <c r="I3666" i="18"/>
  <c r="H3666" i="18"/>
  <c r="D3660" i="18"/>
  <c r="D3661" i="18"/>
  <c r="D3662" i="18"/>
  <c r="D3663" i="18"/>
  <c r="D3664" i="18"/>
  <c r="D3665" i="18"/>
  <c r="D3666" i="18"/>
  <c r="D3667" i="18"/>
  <c r="D3668" i="18"/>
  <c r="D3669" i="18"/>
  <c r="D3670" i="18"/>
  <c r="D3671" i="18"/>
  <c r="D3672" i="18"/>
  <c r="K3670"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c r="J2036" i="18"/>
  <c r="M2036" i="18"/>
  <c r="J2037" i="18"/>
  <c r="M2037" i="18"/>
  <c r="J2038" i="18"/>
  <c r="M2038" i="18"/>
  <c r="J2039" i="18"/>
  <c r="M2039" i="18"/>
  <c r="J2040" i="18"/>
  <c r="M2040" i="18"/>
  <c r="J2041" i="18"/>
  <c r="M2041" i="18"/>
  <c r="J2042" i="18"/>
  <c r="M2042" i="18"/>
  <c r="J2043" i="18"/>
  <c r="M2043" i="18"/>
  <c r="J2035" i="18"/>
  <c r="M2035" i="18"/>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43"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c r="H249" i="18"/>
  <c r="K236" i="18"/>
  <c r="D241" i="18"/>
  <c r="D242" i="18"/>
  <c r="D243" i="18"/>
  <c r="D244" i="18"/>
  <c r="D245" i="18"/>
  <c r="D246" i="18"/>
  <c r="D247" i="18"/>
  <c r="D248" i="18"/>
  <c r="D249" i="18"/>
  <c r="D236" i="18"/>
  <c r="G236" i="18"/>
  <c r="J2090" i="18"/>
  <c r="K2079" i="18"/>
  <c r="J2116" i="18"/>
  <c r="K2105" i="18"/>
  <c r="J2103" i="18"/>
  <c r="K2092" i="18"/>
  <c r="J719" i="18"/>
  <c r="K706" i="18"/>
  <c r="I3672" i="18"/>
  <c r="H6241" i="18"/>
  <c r="H6212" i="18"/>
  <c r="H6185" i="18"/>
  <c r="H6163" i="18"/>
  <c r="H6154" i="18"/>
  <c r="H6145" i="18"/>
  <c r="H6136" i="18"/>
  <c r="H6125" i="18"/>
  <c r="H6116" i="18"/>
  <c r="H6106" i="18"/>
  <c r="H6092" i="18"/>
  <c r="H6083" i="18"/>
  <c r="H6074" i="18"/>
  <c r="H6063" i="18"/>
  <c r="H6054" i="18"/>
  <c r="H6031" i="18"/>
  <c r="H6019" i="18"/>
  <c r="H6007" i="18"/>
  <c r="H5996" i="18"/>
  <c r="H5975" i="18"/>
  <c r="H5956" i="18"/>
  <c r="H5945" i="18"/>
  <c r="H5934" i="18"/>
  <c r="H5923" i="18"/>
  <c r="H5912" i="18"/>
  <c r="H5901" i="18"/>
  <c r="H5890" i="18"/>
  <c r="H5879" i="18"/>
  <c r="H5868" i="18"/>
  <c r="H5856" i="18"/>
  <c r="H5846" i="18"/>
  <c r="H5795" i="18"/>
  <c r="H5172" i="18"/>
  <c r="H5008" i="18"/>
  <c r="H4998" i="18"/>
  <c r="H4984" i="18"/>
  <c r="H4835" i="18"/>
  <c r="H4765" i="18"/>
  <c r="H4714" i="18"/>
  <c r="H4683" i="18"/>
  <c r="H4652" i="18"/>
  <c r="H4622" i="18"/>
  <c r="H4612" i="18"/>
  <c r="H4597" i="18"/>
  <c r="H4582" i="18"/>
  <c r="H4474" i="18"/>
  <c r="H4449" i="18"/>
  <c r="H4297" i="18"/>
  <c r="H4157" i="18"/>
  <c r="H4136" i="18"/>
  <c r="H4096" i="18"/>
  <c r="H4040" i="18"/>
  <c r="H4030" i="18"/>
  <c r="H4020" i="18"/>
  <c r="H4010" i="18"/>
  <c r="H3957" i="18"/>
  <c r="H3947" i="18"/>
  <c r="H3937" i="18"/>
  <c r="H3896" i="18"/>
  <c r="H3886" i="18"/>
  <c r="H3876" i="18"/>
  <c r="H3866" i="18"/>
  <c r="H3839" i="18"/>
  <c r="H3746" i="18"/>
  <c r="H3713" i="18"/>
  <c r="H3681" i="18"/>
  <c r="H3598" i="18"/>
  <c r="H3588" i="18"/>
  <c r="H3578" i="18"/>
  <c r="H3541" i="18"/>
  <c r="H3511" i="18"/>
  <c r="H3501" i="18"/>
  <c r="H3491" i="18"/>
  <c r="H3481" i="18"/>
  <c r="H3454" i="18"/>
  <c r="H3370" i="18"/>
  <c r="H3349" i="18"/>
  <c r="H3339" i="18"/>
  <c r="H3329" i="18"/>
  <c r="H3225" i="18"/>
  <c r="H2897" i="18"/>
  <c r="H2862" i="18"/>
  <c r="H2847" i="18"/>
  <c r="H2810" i="18"/>
  <c r="H2781" i="18"/>
  <c r="H2771" i="18"/>
  <c r="H2628" i="18"/>
  <c r="H2431" i="18"/>
  <c r="H2412" i="18"/>
  <c r="N2457" i="18"/>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L1161" i="18"/>
  <c r="K1183" i="18"/>
  <c r="O1031" i="18"/>
  <c r="L529" i="18"/>
  <c r="K553" i="18"/>
  <c r="L4277" i="18"/>
  <c r="K4277" i="18"/>
  <c r="J4277" i="18"/>
  <c r="I4277" i="18"/>
  <c r="Y3" i="18"/>
  <c r="H1975" i="18"/>
  <c r="U5" i="18"/>
  <c r="V5" i="18"/>
  <c r="U4" i="18"/>
  <c r="V4" i="18"/>
  <c r="H4738" i="18"/>
  <c r="H4747" i="18"/>
  <c r="K4736" i="18"/>
  <c r="U2" i="18"/>
  <c r="W2" i="18"/>
  <c r="M5801" i="18"/>
  <c r="L5801" i="18"/>
  <c r="K5801" i="18"/>
  <c r="J5801" i="18"/>
  <c r="I5801" i="18"/>
  <c r="N5795" i="18"/>
  <c r="H5801" i="18"/>
  <c r="K5795" i="18"/>
  <c r="D5798" i="18"/>
  <c r="D5799" i="18"/>
  <c r="D5800" i="18"/>
  <c r="D5801" i="18"/>
  <c r="D5795" i="18"/>
  <c r="G5795" i="18"/>
  <c r="Q3981" i="18"/>
  <c r="H3820" i="18"/>
  <c r="K5279" i="18"/>
  <c r="I4738" i="18"/>
  <c r="I4747" i="18"/>
  <c r="N4736" i="18"/>
  <c r="W4" i="18"/>
  <c r="I5729" i="18"/>
  <c r="H5776" i="18"/>
  <c r="H4566" i="18"/>
  <c r="H5806" i="18"/>
  <c r="I1540" i="18"/>
  <c r="H5603" i="18"/>
  <c r="H5196" i="18"/>
  <c r="G3038" i="18"/>
  <c r="M2034" i="18"/>
  <c r="H873" i="18"/>
  <c r="H5457" i="18"/>
  <c r="H5210" i="18"/>
  <c r="G3027" i="18"/>
  <c r="G2616" i="18"/>
  <c r="G2593" i="18"/>
  <c r="G1508" i="18"/>
  <c r="G1944" i="18"/>
  <c r="H5550" i="18"/>
  <c r="J5210" i="18"/>
  <c r="H3361" i="18"/>
  <c r="H3271" i="18"/>
  <c r="G2595" i="18"/>
  <c r="H5559" i="18"/>
  <c r="H5388" i="18"/>
  <c r="H3858" i="18"/>
  <c r="I3271" i="18"/>
  <c r="G3036" i="18"/>
  <c r="G3018" i="18"/>
  <c r="G2583" i="18"/>
  <c r="G2366" i="18"/>
  <c r="G2573" i="18"/>
  <c r="W5" i="18"/>
  <c r="V2" i="18"/>
  <c r="H1766" i="18"/>
  <c r="H958" i="18"/>
  <c r="G2154" i="18"/>
  <c r="I1766" i="18"/>
  <c r="H700" i="18"/>
  <c r="I1559" i="18"/>
  <c r="G2004" i="18"/>
  <c r="H1990" i="18"/>
  <c r="H4946" i="18"/>
  <c r="H4727" i="18"/>
  <c r="H4734" i="18"/>
  <c r="H5022" i="18"/>
  <c r="H4500" i="18"/>
  <c r="H4878" i="18"/>
  <c r="H5129" i="18"/>
  <c r="H4215" i="18"/>
  <c r="H4801" i="18"/>
  <c r="H5076" i="18"/>
  <c r="I4180" i="18"/>
  <c r="I4459" i="18"/>
  <c r="J4519" i="18"/>
  <c r="I4665" i="18"/>
  <c r="I4767" i="18"/>
  <c r="I4837" i="18"/>
  <c r="I4915" i="18"/>
  <c r="I4967" i="18"/>
  <c r="I4981" i="18"/>
  <c r="I5054" i="18"/>
  <c r="I5098" i="18"/>
  <c r="K5294" i="18"/>
  <c r="H4180" i="18"/>
  <c r="H4459" i="18"/>
  <c r="H4519" i="18"/>
  <c r="H4665" i="18"/>
  <c r="H4767" i="18"/>
  <c r="H4837" i="18"/>
  <c r="H4915" i="18"/>
  <c r="H4967" i="18"/>
  <c r="H5054" i="18"/>
  <c r="H5098" i="18"/>
  <c r="J5294" i="18"/>
  <c r="I4215" i="18"/>
  <c r="I4500" i="18"/>
  <c r="J4566" i="18"/>
  <c r="I4727" i="18"/>
  <c r="I4734" i="18"/>
  <c r="I4801" i="18"/>
  <c r="I4878" i="18"/>
  <c r="I4946" i="18"/>
  <c r="I5022" i="18"/>
  <c r="I5076" i="18"/>
  <c r="I5129" i="18"/>
  <c r="I5806" i="18"/>
  <c r="I4200" i="18"/>
  <c r="I4224" i="18"/>
  <c r="I4509" i="18"/>
  <c r="J4543" i="18"/>
  <c r="I4635" i="18"/>
  <c r="I4696" i="18"/>
  <c r="I4752" i="18"/>
  <c r="I4778" i="18"/>
  <c r="I4823" i="18"/>
  <c r="I4900" i="18"/>
  <c r="I4928" i="18"/>
  <c r="I4959" i="18"/>
  <c r="I4986" i="18"/>
  <c r="I5038" i="18"/>
  <c r="I5065" i="18"/>
  <c r="I5087" i="18"/>
  <c r="I5121" i="18"/>
  <c r="I5776" i="18"/>
  <c r="H4200" i="18"/>
  <c r="H4224" i="18"/>
  <c r="H4491" i="18"/>
  <c r="H4509" i="18"/>
  <c r="H4543" i="18"/>
  <c r="H4635" i="18"/>
  <c r="H4696" i="18"/>
  <c r="H4752" i="18"/>
  <c r="H4778" i="18"/>
  <c r="H4823" i="18"/>
  <c r="H4864" i="18"/>
  <c r="H4900" i="18"/>
  <c r="H4928" i="18"/>
  <c r="H4959" i="18"/>
  <c r="H4986" i="18"/>
  <c r="H5038" i="18"/>
  <c r="H5065" i="18"/>
  <c r="H5087" i="18"/>
  <c r="H5121" i="18"/>
  <c r="J5279" i="18"/>
  <c r="J4491" i="18"/>
  <c r="I4864" i="18"/>
  <c r="I4859" i="18"/>
  <c r="H4859" i="18"/>
  <c r="D4851" i="18"/>
  <c r="D4852" i="18"/>
  <c r="D4853" i="18"/>
  <c r="D4854" i="18"/>
  <c r="D4855" i="18"/>
  <c r="D4856" i="18"/>
  <c r="D4857" i="18"/>
  <c r="D4858" i="18"/>
  <c r="D4859" i="18"/>
  <c r="H814" i="18"/>
  <c r="H836" i="18"/>
  <c r="H795" i="18"/>
  <c r="H765" i="18"/>
  <c r="H724" i="18"/>
  <c r="H780" i="18"/>
  <c r="H743" i="18"/>
  <c r="H3321" i="18"/>
  <c r="K2545" i="18"/>
  <c r="H5739" i="18"/>
  <c r="H3423" i="18"/>
  <c r="N2121" i="18"/>
  <c r="K4362" i="18"/>
  <c r="H3308" i="18"/>
  <c r="H1082" i="18"/>
  <c r="L3216" i="18"/>
  <c r="H1620" i="18"/>
  <c r="H1170" i="18"/>
  <c r="H3831" i="18"/>
  <c r="N1911" i="18"/>
  <c r="Q2466" i="18"/>
  <c r="H4170" i="18"/>
  <c r="I5623" i="18"/>
  <c r="I5636" i="18"/>
  <c r="K4149" i="18"/>
  <c r="H239" i="18"/>
  <c r="H2205" i="18"/>
  <c r="H3411" i="18"/>
  <c r="H217" i="18"/>
  <c r="N4087" i="18"/>
  <c r="I5669" i="18"/>
  <c r="I5679" i="18"/>
  <c r="M4271" i="18"/>
  <c r="H5322" i="18"/>
  <c r="Q4063" i="18"/>
  <c r="H2879" i="18"/>
  <c r="H1792" i="18"/>
  <c r="K2433" i="18"/>
  <c r="H979" i="18"/>
  <c r="H2415" i="18"/>
  <c r="H3918" i="18"/>
  <c r="H1015" i="18"/>
  <c r="H1802" i="18"/>
  <c r="H12" i="18"/>
  <c r="H5356" i="18"/>
  <c r="H23" i="18"/>
  <c r="K3659" i="18"/>
  <c r="H2833" i="18"/>
  <c r="M1639" i="18"/>
  <c r="H518" i="18"/>
  <c r="H195" i="18"/>
  <c r="H1060" i="18"/>
  <c r="K3383" i="18"/>
  <c r="N254" i="18"/>
  <c r="N582" i="18"/>
  <c r="M4426" i="18"/>
  <c r="N4343" i="18"/>
  <c r="I5739" i="18"/>
  <c r="J5679" i="18"/>
  <c r="J5636" i="18"/>
  <c r="J5729" i="18"/>
  <c r="J5669" i="18"/>
  <c r="J5623" i="18"/>
  <c r="H3473" i="18"/>
  <c r="H2823" i="18"/>
  <c r="H2827" i="18"/>
  <c r="H1207" i="18"/>
  <c r="H319" i="18"/>
  <c r="H3929" i="18"/>
  <c r="H3533" i="18"/>
  <c r="H2499" i="18"/>
  <c r="H1148" i="18"/>
  <c r="H337" i="18"/>
  <c r="H73" i="18"/>
  <c r="H3970" i="18"/>
  <c r="H3560" i="18"/>
  <c r="H2522" i="18"/>
  <c r="H1667" i="18"/>
  <c r="H1104" i="18"/>
  <c r="H403" i="18"/>
  <c r="H92" i="18"/>
  <c r="H3434" i="18"/>
  <c r="N2333" i="18"/>
  <c r="H946" i="18"/>
  <c r="N4311" i="18"/>
  <c r="I5748" i="18"/>
  <c r="H4289" i="18"/>
  <c r="K4415" i="18"/>
  <c r="K4263" i="18"/>
  <c r="N691" i="18"/>
  <c r="H3243" i="18"/>
  <c r="H1814" i="18"/>
  <c r="H936" i="18"/>
  <c r="H941" i="18"/>
  <c r="K3630" i="18"/>
  <c r="H1826" i="18"/>
  <c r="H488" i="18"/>
  <c r="H3729" i="18"/>
  <c r="M2849" i="18"/>
  <c r="H359" i="18"/>
  <c r="H111" i="18"/>
  <c r="H3762" i="18"/>
  <c r="H3767" i="18"/>
  <c r="M3178" i="18"/>
  <c r="H1192" i="18"/>
  <c r="H538" i="18"/>
  <c r="H3570" i="18"/>
  <c r="H2641" i="18"/>
  <c r="H2645" i="18"/>
  <c r="H5158" i="18"/>
  <c r="H61" i="18"/>
  <c r="K3620" i="18"/>
  <c r="H3278" i="18"/>
  <c r="H2799" i="18"/>
  <c r="H1841" i="18"/>
  <c r="N1472" i="18"/>
  <c r="H969" i="18"/>
  <c r="H381" i="18"/>
  <c r="H3288" i="18"/>
  <c r="H2160" i="18"/>
  <c r="H862" i="18"/>
  <c r="H4109" i="18"/>
  <c r="H3772" i="18"/>
  <c r="M3191" i="18"/>
  <c r="L1777" i="18"/>
  <c r="H990" i="18"/>
  <c r="H132" i="18"/>
  <c r="H4120" i="18"/>
  <c r="H3803" i="18"/>
  <c r="M3203" i="18"/>
  <c r="H2051" i="18"/>
  <c r="H1280" i="18"/>
  <c r="N851" i="18"/>
  <c r="H173" i="18"/>
  <c r="K3683" i="18"/>
  <c r="H3259" i="18"/>
  <c r="H1295" i="18"/>
  <c r="H418" i="18"/>
  <c r="P4370" i="18"/>
  <c r="Q5578" i="18"/>
  <c r="H709" i="18"/>
  <c r="H3445" i="18"/>
  <c r="K2532" i="18"/>
  <c r="H1258" i="18"/>
  <c r="H2911" i="18"/>
  <c r="H3999" i="18"/>
  <c r="H1236" i="18"/>
  <c r="H4053" i="18"/>
  <c r="H1950" i="18"/>
  <c r="H123" i="18"/>
  <c r="H1119" i="18"/>
  <c r="K4353" i="18"/>
  <c r="I5762" i="18"/>
  <c r="H4249" i="18"/>
  <c r="I4846" i="18"/>
  <c r="N4835" i="18"/>
  <c r="H4846" i="18"/>
  <c r="K4835" i="18"/>
  <c r="D4838" i="18"/>
  <c r="D4839" i="18"/>
  <c r="D4840" i="18"/>
  <c r="D4841" i="18"/>
  <c r="D4842" i="18"/>
  <c r="D4843" i="18"/>
  <c r="D4844" i="18"/>
  <c r="D4845" i="18"/>
  <c r="D4846" i="18"/>
  <c r="D4835" i="18"/>
  <c r="G4835" i="18"/>
  <c r="D4753" i="18"/>
  <c r="D4754" i="18"/>
  <c r="D4755" i="18"/>
  <c r="D4756" i="18"/>
  <c r="D4757" i="18"/>
  <c r="D4758" i="18"/>
  <c r="D4759" i="18"/>
  <c r="D4760" i="18"/>
  <c r="D4761" i="18"/>
  <c r="D4762" i="18"/>
  <c r="D4763" i="18"/>
  <c r="I4763" i="18"/>
  <c r="D4440" i="18"/>
  <c r="D4441" i="18"/>
  <c r="D4442" i="18"/>
  <c r="D4443" i="18"/>
  <c r="D4444" i="18"/>
  <c r="D4445" i="18"/>
  <c r="D4446" i="18"/>
  <c r="H4437" i="18"/>
  <c r="H4392" i="18"/>
  <c r="M4327" i="18"/>
  <c r="L4327" i="18"/>
  <c r="K4327" i="18"/>
  <c r="I4327" i="18"/>
  <c r="D4322" i="18"/>
  <c r="D4323" i="18"/>
  <c r="D4324" i="18"/>
  <c r="D4325" i="18"/>
  <c r="D4326" i="18"/>
  <c r="D4327" i="18"/>
  <c r="D4181" i="18"/>
  <c r="D4182" i="18"/>
  <c r="D4183" i="18"/>
  <c r="D4184" i="18"/>
  <c r="D4185" i="18"/>
  <c r="D4186" i="18"/>
  <c r="D4187" i="18"/>
  <c r="D4188" i="18"/>
  <c r="D4189" i="18"/>
  <c r="D4190" i="18"/>
  <c r="D4191" i="18"/>
  <c r="D4192" i="18"/>
  <c r="D4193" i="18"/>
  <c r="D4194" i="18"/>
  <c r="D4195" i="18"/>
  <c r="D4196" i="18"/>
  <c r="D4201" i="18"/>
  <c r="D4202" i="18"/>
  <c r="D4203" i="18"/>
  <c r="D4204" i="18"/>
  <c r="D4205" i="18"/>
  <c r="D4206" i="18"/>
  <c r="D4207" i="18"/>
  <c r="D4208" i="18"/>
  <c r="D4209" i="18"/>
  <c r="D4210" i="18"/>
  <c r="D4211" i="18"/>
  <c r="D4110" i="18"/>
  <c r="D4111" i="18"/>
  <c r="D4112" i="18"/>
  <c r="D4113" i="18"/>
  <c r="D4114" i="18"/>
  <c r="D4115" i="18"/>
  <c r="J3388" i="18"/>
  <c r="I3388" i="18"/>
  <c r="J3384" i="18"/>
  <c r="I3384" i="18"/>
  <c r="K3147" i="18"/>
  <c r="K3136" i="18"/>
  <c r="J3147" i="18"/>
  <c r="I3147" i="18"/>
  <c r="H3147" i="18"/>
  <c r="H3136" i="18"/>
  <c r="H3149" i="18"/>
  <c r="P3160" i="18"/>
  <c r="M3160" i="18"/>
  <c r="J3160" i="18"/>
  <c r="I3160" i="18"/>
  <c r="N3149" i="18"/>
  <c r="H3160" i="18"/>
  <c r="K3149" i="18"/>
  <c r="D3152" i="18"/>
  <c r="D3153" i="18"/>
  <c r="D3154" i="18"/>
  <c r="D3155" i="18"/>
  <c r="D3156" i="18"/>
  <c r="D3157" i="18"/>
  <c r="D3158" i="18"/>
  <c r="D3159" i="18"/>
  <c r="D3160" i="18"/>
  <c r="D3149" i="18"/>
  <c r="G3149" i="18"/>
  <c r="D3139" i="18"/>
  <c r="D3140" i="18"/>
  <c r="D3141" i="18"/>
  <c r="D3142" i="18"/>
  <c r="D3143" i="18"/>
  <c r="D3144" i="18"/>
  <c r="D3145" i="18"/>
  <c r="D3146" i="18"/>
  <c r="D3147" i="18"/>
  <c r="D3136" i="18"/>
  <c r="G3136" i="18"/>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c r="N2847" i="18"/>
  <c r="H1961" i="18"/>
  <c r="H1764" i="18"/>
  <c r="P931" i="18"/>
  <c r="M931" i="18"/>
  <c r="J931" i="18"/>
  <c r="I931" i="18"/>
  <c r="N920" i="18"/>
  <c r="H931" i="18"/>
  <c r="K920" i="18"/>
  <c r="D923" i="18"/>
  <c r="D924" i="18"/>
  <c r="D925" i="18"/>
  <c r="D926" i="18"/>
  <c r="D927" i="18"/>
  <c r="D928" i="18"/>
  <c r="D929" i="18"/>
  <c r="D930" i="18"/>
  <c r="D931" i="18"/>
  <c r="D920" i="18"/>
  <c r="G920" i="18"/>
  <c r="H3418" i="18"/>
  <c r="H2368" i="18"/>
  <c r="H2181" i="18"/>
  <c r="H1753" i="18"/>
  <c r="H1736" i="18"/>
  <c r="H1726" i="18"/>
  <c r="H1716" i="18"/>
  <c r="H1699" i="18"/>
  <c r="H1682" i="18"/>
  <c r="H1491" i="18"/>
  <c r="H1387" i="18"/>
  <c r="H1365" i="18"/>
  <c r="L1422" i="18"/>
  <c r="M1443" i="18"/>
  <c r="G268" i="18"/>
  <c r="G267" i="18"/>
  <c r="G231" i="18"/>
  <c r="G230" i="18"/>
  <c r="G209" i="18"/>
  <c r="G208" i="18"/>
  <c r="G187" i="18"/>
  <c r="J179" i="18"/>
  <c r="J175" i="18"/>
  <c r="H179" i="18"/>
  <c r="H175" i="18"/>
  <c r="G186" i="18"/>
  <c r="J1046" i="18"/>
  <c r="H1046" i="18"/>
  <c r="J1050" i="18"/>
  <c r="H1050" i="18"/>
  <c r="D2320" i="18"/>
  <c r="D2321" i="18"/>
  <c r="D2322" i="18"/>
  <c r="D2323" i="18"/>
  <c r="D2324" i="18"/>
  <c r="D2325" i="18"/>
  <c r="D2326" i="18"/>
  <c r="D2327" i="18"/>
  <c r="D2328" i="18"/>
  <c r="J2222" i="18"/>
  <c r="J2223" i="18"/>
  <c r="J2224" i="18"/>
  <c r="J2221" i="18"/>
  <c r="I2225" i="18"/>
  <c r="I2229" i="18"/>
  <c r="H2225" i="18"/>
  <c r="D2221" i="18"/>
  <c r="D2222" i="18"/>
  <c r="D2223" i="18"/>
  <c r="D2224" i="18"/>
  <c r="D2225" i="18"/>
  <c r="D2218" i="18"/>
  <c r="G2218" i="18"/>
  <c r="M2128" i="18"/>
  <c r="L2128" i="18"/>
  <c r="K2128" i="18"/>
  <c r="I2128" i="18"/>
  <c r="H2128" i="18"/>
  <c r="D2123" i="18"/>
  <c r="D2124" i="18"/>
  <c r="D2125" i="18"/>
  <c r="D2126" i="18"/>
  <c r="D2127" i="18"/>
  <c r="D2128" i="18"/>
  <c r="J2124" i="18"/>
  <c r="N2124" i="18"/>
  <c r="J2125" i="18"/>
  <c r="N2125" i="18"/>
  <c r="J2126" i="18"/>
  <c r="J2127" i="18"/>
  <c r="N2127" i="18"/>
  <c r="J2123" i="18"/>
  <c r="N2123" i="18"/>
  <c r="D2066" i="18"/>
  <c r="D2067" i="18"/>
  <c r="D2068" i="18"/>
  <c r="D2069" i="18"/>
  <c r="D2070" i="18"/>
  <c r="M1918" i="18"/>
  <c r="L1918" i="18"/>
  <c r="K1918" i="18"/>
  <c r="I1918" i="18"/>
  <c r="H1918" i="18"/>
  <c r="H1922" i="18"/>
  <c r="D1913" i="18"/>
  <c r="D1914" i="18"/>
  <c r="D1915" i="18"/>
  <c r="D1916" i="18"/>
  <c r="D1917" i="18"/>
  <c r="D1918" i="18"/>
  <c r="J1914" i="18"/>
  <c r="N1914" i="18"/>
  <c r="J1915" i="18"/>
  <c r="N1915" i="18"/>
  <c r="J1916" i="18"/>
  <c r="N1916" i="18"/>
  <c r="J1917" i="18"/>
  <c r="N1917" i="18"/>
  <c r="J1913" i="18"/>
  <c r="N1913" i="18"/>
  <c r="D1856" i="18"/>
  <c r="D1857" i="18"/>
  <c r="D1858" i="18"/>
  <c r="D1859" i="18"/>
  <c r="D1860" i="18"/>
  <c r="J1860" i="18"/>
  <c r="J1864" i="18"/>
  <c r="I1860" i="18"/>
  <c r="I1864" i="18"/>
  <c r="H1860" i="18"/>
  <c r="H1864" i="18"/>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c r="H1305" i="18"/>
  <c r="K1292" i="18"/>
  <c r="D1297" i="18"/>
  <c r="D1298" i="18"/>
  <c r="D1299" i="18"/>
  <c r="D1300" i="18"/>
  <c r="D1301" i="18"/>
  <c r="D1302" i="18"/>
  <c r="D1303" i="18"/>
  <c r="D1304" i="18"/>
  <c r="D1305" i="18"/>
  <c r="I1290" i="18"/>
  <c r="N1277" i="18"/>
  <c r="H1290" i="18"/>
  <c r="K1277" i="18"/>
  <c r="I1268" i="18"/>
  <c r="I1272" i="18"/>
  <c r="H1268" i="18"/>
  <c r="I1246" i="18"/>
  <c r="I1250" i="18"/>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c r="D1209" i="18"/>
  <c r="D1210" i="18"/>
  <c r="D1211" i="18"/>
  <c r="D1212" i="18"/>
  <c r="D1213" i="18"/>
  <c r="D1214" i="18"/>
  <c r="D1215" i="18"/>
  <c r="D1216" i="18"/>
  <c r="D1217" i="18"/>
  <c r="I1202" i="18"/>
  <c r="H1202" i="18"/>
  <c r="K1189" i="18"/>
  <c r="I1180" i="18"/>
  <c r="I1184" i="18"/>
  <c r="H1180" i="18"/>
  <c r="D1150" i="18"/>
  <c r="D1151" i="18"/>
  <c r="D1152" i="18"/>
  <c r="D1153" i="18"/>
  <c r="D1154" i="18"/>
  <c r="D1155" i="18"/>
  <c r="D1156" i="18"/>
  <c r="D1157" i="18"/>
  <c r="D1158" i="18"/>
  <c r="I1158" i="18"/>
  <c r="I1162" i="18"/>
  <c r="H1158" i="18"/>
  <c r="D1134" i="18"/>
  <c r="D1135" i="18"/>
  <c r="D1136" i="18"/>
  <c r="D1137" i="18"/>
  <c r="D1138" i="18"/>
  <c r="D1139" i="18"/>
  <c r="D1140" i="18"/>
  <c r="D1141" i="18"/>
  <c r="D1142" i="18"/>
  <c r="D1143" i="18"/>
  <c r="J1143" i="18"/>
  <c r="H1143" i="18"/>
  <c r="K1131" i="18"/>
  <c r="K1141" i="18"/>
  <c r="D1046" i="18"/>
  <c r="D1047" i="18"/>
  <c r="D1048" i="18"/>
  <c r="D1049" i="18"/>
  <c r="D1050" i="18"/>
  <c r="D1051" i="18"/>
  <c r="D1052" i="18"/>
  <c r="D1053" i="18"/>
  <c r="D1054" i="18"/>
  <c r="D1055" i="18"/>
  <c r="K1053" i="18"/>
  <c r="D1292" i="18"/>
  <c r="G1292" i="18"/>
  <c r="D1277" i="18"/>
  <c r="G1277" i="18"/>
  <c r="D1255" i="18"/>
  <c r="G1255" i="18"/>
  <c r="D1233" i="18"/>
  <c r="G1233" i="18"/>
  <c r="J1217" i="18"/>
  <c r="D1204" i="18"/>
  <c r="G1204" i="18"/>
  <c r="J1202" i="18"/>
  <c r="D1189" i="18"/>
  <c r="G1189" i="18"/>
  <c r="D1167" i="18"/>
  <c r="G1167" i="18"/>
  <c r="D1145" i="18"/>
  <c r="G1145" i="18"/>
  <c r="K1135" i="18"/>
  <c r="K1136" i="18"/>
  <c r="K1137" i="18"/>
  <c r="K1138" i="18"/>
  <c r="K1139" i="18"/>
  <c r="K1140" i="18"/>
  <c r="K1142" i="18"/>
  <c r="K1134" i="18"/>
  <c r="N1131" i="18"/>
  <c r="D1131" i="18"/>
  <c r="G1131" i="18"/>
  <c r="J1034" i="18"/>
  <c r="I1034" i="18"/>
  <c r="I1038" i="18"/>
  <c r="H1034" i="18"/>
  <c r="H1038" i="18"/>
  <c r="D1030" i="18"/>
  <c r="D1031" i="18"/>
  <c r="D1032" i="18"/>
  <c r="D1033" i="18"/>
  <c r="D1034" i="18"/>
  <c r="D1027" i="18"/>
  <c r="G1027" i="18"/>
  <c r="K1145" i="18"/>
  <c r="H1162" i="18"/>
  <c r="K1233" i="18"/>
  <c r="H1250" i="18"/>
  <c r="K1255" i="18"/>
  <c r="H1272" i="18"/>
  <c r="K2218" i="18"/>
  <c r="H2229" i="18"/>
  <c r="K1027" i="18"/>
  <c r="J1038" i="18"/>
  <c r="K1167" i="18"/>
  <c r="H1184" i="18"/>
  <c r="H1160" i="18"/>
  <c r="H1182" i="18"/>
  <c r="J1055" i="18"/>
  <c r="H1055" i="18"/>
  <c r="J2128" i="18"/>
  <c r="J2225" i="18"/>
  <c r="J2229" i="18"/>
  <c r="N2126" i="18"/>
  <c r="N2128" i="18"/>
  <c r="N1918" i="18"/>
  <c r="N1922" i="18"/>
  <c r="J1918" i="18"/>
  <c r="K1143" i="18"/>
  <c r="J166" i="5"/>
  <c r="J165" i="5"/>
  <c r="F166" i="5"/>
  <c r="F45" i="69"/>
  <c r="F44" i="69"/>
  <c r="E78" i="69"/>
  <c r="I59" i="68"/>
  <c r="I58" i="68"/>
  <c r="I47" i="68"/>
  <c r="I46" i="68"/>
  <c r="K2118" i="18"/>
  <c r="N2132" i="18"/>
  <c r="I47" i="72"/>
  <c r="G1"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c r="L2454" i="18"/>
  <c r="J2454" i="18"/>
  <c r="I2454" i="18"/>
  <c r="N2431" i="18"/>
  <c r="D2431" i="18"/>
  <c r="G2431" i="18"/>
  <c r="M2418" i="18"/>
  <c r="M2417" i="18"/>
  <c r="J2418" i="18"/>
  <c r="J2417" i="18"/>
  <c r="L2422" i="18"/>
  <c r="K2422" i="18"/>
  <c r="I2422" i="18"/>
  <c r="H2422" i="18"/>
  <c r="K2412" i="18"/>
  <c r="D2417" i="18"/>
  <c r="D2418" i="18"/>
  <c r="D2419" i="18"/>
  <c r="D2420" i="18"/>
  <c r="D2421" i="18"/>
  <c r="D2422" i="18"/>
  <c r="D2412" i="18"/>
  <c r="G2412" i="18"/>
  <c r="H2456" i="18"/>
  <c r="K1506" i="18"/>
  <c r="K1505" i="18"/>
  <c r="K1504" i="18"/>
  <c r="K1503" i="18"/>
  <c r="K1502" i="18"/>
  <c r="K1496" i="18"/>
  <c r="K1501" i="18"/>
  <c r="K1500" i="18"/>
  <c r="K1499" i="18"/>
  <c r="K1498" i="18"/>
  <c r="J1508" i="18"/>
  <c r="I1508" i="18"/>
  <c r="H1508" i="18"/>
  <c r="D1507" i="18"/>
  <c r="N2412" i="18"/>
  <c r="I2426" i="18"/>
  <c r="K2454" i="18"/>
  <c r="K2458" i="18"/>
  <c r="M798" i="5"/>
  <c r="M799" i="5"/>
  <c r="I798" i="5"/>
  <c r="I799" i="5"/>
  <c r="J2422" i="18"/>
  <c r="J2426" i="18"/>
  <c r="M2422" i="18"/>
  <c r="M2426" i="18"/>
  <c r="K1508" i="18"/>
  <c r="C38" i="7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c r="E3" i="72"/>
  <c r="Y37" i="75"/>
  <c r="L37" i="75"/>
  <c r="T37" i="75"/>
  <c r="G37" i="75"/>
  <c r="C37" i="75"/>
  <c r="C34" i="75"/>
  <c r="C33" i="75"/>
  <c r="C27" i="75"/>
  <c r="C26" i="75"/>
  <c r="C23" i="75"/>
  <c r="C19" i="75"/>
  <c r="C17" i="75"/>
  <c r="C16" i="75"/>
  <c r="C45" i="74"/>
  <c r="C57" i="73"/>
  <c r="C32" i="73"/>
  <c r="C31" i="73"/>
  <c r="K51" i="72"/>
  <c r="H51" i="72"/>
  <c r="E51" i="72"/>
  <c r="C36" i="75"/>
  <c r="C50" i="75"/>
  <c r="C35" i="75"/>
  <c r="C32" i="75"/>
  <c r="C31" i="75"/>
  <c r="C30" i="75"/>
  <c r="C29" i="75"/>
  <c r="C28" i="75"/>
  <c r="C25" i="75"/>
  <c r="C24" i="75"/>
  <c r="C22" i="75"/>
  <c r="C21" i="75"/>
  <c r="C20" i="75"/>
  <c r="C18" i="75"/>
  <c r="C15" i="75"/>
  <c r="C78" i="73"/>
  <c r="C14" i="75"/>
  <c r="C13" i="75"/>
  <c r="C12" i="75"/>
  <c r="C11" i="75"/>
  <c r="C10" i="75"/>
  <c r="C9" i="75"/>
  <c r="C5" i="75"/>
  <c r="U4" i="75"/>
  <c r="H4" i="75"/>
  <c r="C89" i="74"/>
  <c r="C78" i="74"/>
  <c r="C105" i="74"/>
  <c r="A78" i="74"/>
  <c r="C77" i="74"/>
  <c r="A77" i="74"/>
  <c r="C76" i="74"/>
  <c r="A76" i="74"/>
  <c r="C75" i="74"/>
  <c r="C101" i="74"/>
  <c r="A75" i="74"/>
  <c r="C74" i="74"/>
  <c r="C97" i="74"/>
  <c r="A74" i="74"/>
  <c r="C73" i="74"/>
  <c r="A73" i="74"/>
  <c r="C72" i="74"/>
  <c r="A72" i="74"/>
  <c r="C71" i="74"/>
  <c r="A71" i="74"/>
  <c r="C70" i="74"/>
  <c r="A70" i="74"/>
  <c r="C69" i="74"/>
  <c r="A69" i="74"/>
  <c r="C68" i="74"/>
  <c r="C93" i="74"/>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c r="A51" i="74"/>
  <c r="C50" i="74"/>
  <c r="A50" i="74"/>
  <c r="C44" i="74"/>
  <c r="C84" i="74"/>
  <c r="A44" i="74"/>
  <c r="C43" i="74"/>
  <c r="C102" i="74"/>
  <c r="A43" i="74"/>
  <c r="C42" i="74"/>
  <c r="C106" i="74"/>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c r="E50" i="72"/>
  <c r="E61" i="72"/>
  <c r="B50" i="72"/>
  <c r="A50" i="72"/>
  <c r="I49" i="72"/>
  <c r="E49" i="72"/>
  <c r="B49" i="72"/>
  <c r="A49" i="72"/>
  <c r="I48" i="72"/>
  <c r="E48" i="72"/>
  <c r="B48" i="72"/>
  <c r="A48" i="72"/>
  <c r="I46" i="72"/>
  <c r="E46" i="72"/>
  <c r="B46" i="72"/>
  <c r="A46" i="72"/>
  <c r="I45" i="72"/>
  <c r="E45" i="72"/>
  <c r="B45" i="72"/>
  <c r="A45" i="72"/>
  <c r="I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c r="C36" i="71"/>
  <c r="C32" i="71"/>
  <c r="C30" i="71"/>
  <c r="C29" i="71"/>
  <c r="C28" i="71"/>
  <c r="C27" i="71"/>
  <c r="C25" i="71"/>
  <c r="C24" i="71"/>
  <c r="C23" i="71"/>
  <c r="C22" i="71"/>
  <c r="C35" i="71"/>
  <c r="C34" i="71"/>
  <c r="C20" i="71"/>
  <c r="C19" i="71"/>
  <c r="C18" i="71"/>
  <c r="C17" i="71"/>
  <c r="C16" i="71"/>
  <c r="C15" i="71"/>
  <c r="C83" i="69"/>
  <c r="C14" i="71"/>
  <c r="C13" i="71"/>
  <c r="L44" i="71"/>
  <c r="C12" i="71"/>
  <c r="C11" i="71"/>
  <c r="C10" i="71"/>
  <c r="C9" i="71"/>
  <c r="U4" i="71"/>
  <c r="H4" i="71"/>
  <c r="C106" i="70"/>
  <c r="C95" i="70"/>
  <c r="C122" i="70"/>
  <c r="A95" i="70"/>
  <c r="C94" i="70"/>
  <c r="A94" i="70"/>
  <c r="C93" i="70"/>
  <c r="A93" i="70"/>
  <c r="C92" i="70"/>
  <c r="C118" i="70"/>
  <c r="A92" i="70"/>
  <c r="C91" i="70"/>
  <c r="C114" i="70"/>
  <c r="A91" i="70"/>
  <c r="C90" i="70"/>
  <c r="A90" i="70"/>
  <c r="C89" i="70"/>
  <c r="A89" i="70"/>
  <c r="C88" i="70"/>
  <c r="A88" i="70"/>
  <c r="C87" i="70"/>
  <c r="A87" i="70"/>
  <c r="C86" i="70"/>
  <c r="A86" i="70"/>
  <c r="C85" i="70"/>
  <c r="C110" i="70"/>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c r="A68" i="70"/>
  <c r="C67" i="70"/>
  <c r="A67" i="70"/>
  <c r="C61" i="70"/>
  <c r="C115" i="70"/>
  <c r="A61" i="70"/>
  <c r="C60" i="70"/>
  <c r="C119" i="70"/>
  <c r="A60" i="70"/>
  <c r="C59" i="70"/>
  <c r="C123" i="70"/>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c r="C64" i="69"/>
  <c r="C56" i="69"/>
  <c r="C55" i="69"/>
  <c r="C54" i="69"/>
  <c r="C52" i="69"/>
  <c r="C49" i="69"/>
  <c r="C48" i="69"/>
  <c r="C46" i="69"/>
  <c r="C86" i="69"/>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M676" i="5" s="1"/>
  <c r="F26" i="70" s="1"/>
  <c r="F676" i="5"/>
  <c r="E676" i="5"/>
  <c r="C676" i="5"/>
  <c r="B676" i="5"/>
  <c r="A676" i="5"/>
  <c r="J668" i="5"/>
  <c r="M668" i="5" s="1"/>
  <c r="F18" i="70" s="1"/>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c r="C43" i="21"/>
  <c r="C40" i="21"/>
  <c r="C33" i="21"/>
  <c r="C10" i="21"/>
  <c r="K26" i="7"/>
  <c r="F83" i="5" s="1"/>
  <c r="K35" i="7"/>
  <c r="F23" i="7"/>
  <c r="F25" i="5" s="1"/>
  <c r="F21" i="51" s="1"/>
  <c r="F35" i="7"/>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c r="D3730" i="18"/>
  <c r="D3731" i="18"/>
  <c r="D3732" i="18"/>
  <c r="D3733" i="18"/>
  <c r="D3734" i="18"/>
  <c r="D3735" i="18"/>
  <c r="D3736" i="18"/>
  <c r="D3737" i="18"/>
  <c r="D3738" i="18"/>
  <c r="D3739" i="18"/>
  <c r="D3740" i="18"/>
  <c r="D3741" i="18"/>
  <c r="D3742" i="18"/>
  <c r="D3743" i="18"/>
  <c r="D3744" i="18"/>
  <c r="K3744" i="18"/>
  <c r="J3744" i="18"/>
  <c r="H3744" i="18"/>
  <c r="I81" i="18"/>
  <c r="I74" i="18"/>
  <c r="H81" i="18"/>
  <c r="H74" i="18"/>
  <c r="D74" i="18"/>
  <c r="D75" i="18"/>
  <c r="D76" i="18"/>
  <c r="D77" i="18"/>
  <c r="D78" i="18"/>
  <c r="D79" i="18"/>
  <c r="D80" i="18"/>
  <c r="D81" i="18"/>
  <c r="D82" i="18"/>
  <c r="D83" i="18"/>
  <c r="D84" i="18"/>
  <c r="D85" i="18"/>
  <c r="D86" i="18"/>
  <c r="D87" i="18"/>
  <c r="H87" i="18"/>
  <c r="K71" i="18"/>
  <c r="J2554" i="18"/>
  <c r="I2554" i="18"/>
  <c r="N2543" i="18"/>
  <c r="D2546" i="18"/>
  <c r="D2547" i="18"/>
  <c r="D2548" i="18"/>
  <c r="D2549" i="18"/>
  <c r="D2550" i="18"/>
  <c r="D2551" i="18"/>
  <c r="D2552" i="18"/>
  <c r="D2553" i="18"/>
  <c r="D2554" i="18"/>
  <c r="D2543" i="18"/>
  <c r="G2543" i="18"/>
  <c r="M2541" i="18"/>
  <c r="J2541" i="18"/>
  <c r="I2541" i="18"/>
  <c r="N2530" i="18"/>
  <c r="D2533" i="18"/>
  <c r="D2534" i="18"/>
  <c r="D2535" i="18"/>
  <c r="D2536" i="18"/>
  <c r="D2537" i="18"/>
  <c r="D2538" i="18"/>
  <c r="D2539" i="18"/>
  <c r="D2540" i="18"/>
  <c r="D2541" i="18"/>
  <c r="D2530" i="18"/>
  <c r="G2530" i="18"/>
  <c r="G5219" i="18"/>
  <c r="G5218" i="18"/>
  <c r="G5217" i="18"/>
  <c r="J4104" i="18"/>
  <c r="N4096" i="18"/>
  <c r="K4096" i="18"/>
  <c r="D4099" i="18"/>
  <c r="D4100" i="18"/>
  <c r="D4101" i="18"/>
  <c r="D4102" i="18"/>
  <c r="D4103" i="18"/>
  <c r="D4104" i="18"/>
  <c r="D4096" i="18"/>
  <c r="G4096" i="18"/>
  <c r="J2199" i="18"/>
  <c r="N2191" i="18"/>
  <c r="K2191" i="18"/>
  <c r="D2194" i="18"/>
  <c r="D2195" i="18"/>
  <c r="D2196" i="18"/>
  <c r="D2197" i="18"/>
  <c r="D2198" i="18"/>
  <c r="D2199" i="18"/>
  <c r="D2191" i="18"/>
  <c r="G2191" i="18"/>
  <c r="J314" i="18"/>
  <c r="N306" i="18"/>
  <c r="K306" i="18"/>
  <c r="D309" i="18"/>
  <c r="D310" i="18"/>
  <c r="D311" i="18"/>
  <c r="D312" i="18"/>
  <c r="D313" i="18"/>
  <c r="D314" i="18"/>
  <c r="D306" i="18"/>
  <c r="G306" i="18"/>
  <c r="H64" i="18"/>
  <c r="H67" i="18"/>
  <c r="K59" i="18"/>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c r="D415" i="18"/>
  <c r="G415" i="18"/>
  <c r="I1114" i="18"/>
  <c r="H1114" i="18"/>
  <c r="K1101" i="18"/>
  <c r="I1092" i="18"/>
  <c r="I1096" i="18"/>
  <c r="H1092" i="18"/>
  <c r="D1101" i="18"/>
  <c r="G1101" i="18"/>
  <c r="D1079" i="18"/>
  <c r="G1079" i="18"/>
  <c r="H3727" i="18"/>
  <c r="M4960" i="18"/>
  <c r="D6095" i="18"/>
  <c r="D6096" i="18"/>
  <c r="D6097" i="18"/>
  <c r="D6098" i="18"/>
  <c r="D6099" i="18"/>
  <c r="D6100" i="18"/>
  <c r="D6101" i="18"/>
  <c r="D6102" i="18"/>
  <c r="D6103" i="18"/>
  <c r="H6103" i="18"/>
  <c r="K6092" i="18"/>
  <c r="I1070" i="18"/>
  <c r="H1070" i="18"/>
  <c r="D1062" i="18"/>
  <c r="D1063" i="18"/>
  <c r="D1064" i="18"/>
  <c r="D1065" i="18"/>
  <c r="D1066" i="18"/>
  <c r="D1067" i="18"/>
  <c r="D1068" i="18"/>
  <c r="D1069" i="18"/>
  <c r="D1070" i="18"/>
  <c r="D1057" i="18"/>
  <c r="G1057" i="18"/>
  <c r="N762" i="18"/>
  <c r="D767" i="18"/>
  <c r="D768" i="18"/>
  <c r="D769" i="18"/>
  <c r="D770" i="18"/>
  <c r="D771" i="18"/>
  <c r="D772" i="18"/>
  <c r="D773" i="18"/>
  <c r="D774" i="18"/>
  <c r="D775" i="18"/>
  <c r="D762" i="18"/>
  <c r="G762" i="18"/>
  <c r="H448" i="18"/>
  <c r="H468" i="18"/>
  <c r="I476" i="18"/>
  <c r="I483" i="18"/>
  <c r="H476" i="18"/>
  <c r="H483" i="18"/>
  <c r="N468" i="18"/>
  <c r="D473" i="18"/>
  <c r="D474" i="18"/>
  <c r="D475" i="18"/>
  <c r="D476" i="18"/>
  <c r="D477" i="18"/>
  <c r="D478" i="18"/>
  <c r="D479" i="18"/>
  <c r="D480" i="18"/>
  <c r="D481" i="18"/>
  <c r="D482" i="18"/>
  <c r="D483" i="18"/>
  <c r="D468" i="18"/>
  <c r="G468" i="18"/>
  <c r="I459" i="18"/>
  <c r="I463" i="18"/>
  <c r="H459" i="18"/>
  <c r="D453" i="18"/>
  <c r="D454" i="18"/>
  <c r="D455" i="18"/>
  <c r="D456" i="18"/>
  <c r="D457" i="18"/>
  <c r="D458" i="18"/>
  <c r="D459" i="18"/>
  <c r="D448" i="18"/>
  <c r="G448" i="18"/>
  <c r="P4379" i="18"/>
  <c r="O4379" i="18"/>
  <c r="N4379" i="18"/>
  <c r="M4379" i="18"/>
  <c r="L4379" i="18"/>
  <c r="K4379" i="18"/>
  <c r="J4379" i="18"/>
  <c r="I4379" i="18"/>
  <c r="H4379" i="18"/>
  <c r="P4372" i="18"/>
  <c r="O4372" i="18"/>
  <c r="N4372" i="18"/>
  <c r="M4372" i="18"/>
  <c r="L4372" i="18"/>
  <c r="K4372" i="18"/>
  <c r="J4372" i="18"/>
  <c r="I4372" i="18"/>
  <c r="H4372" i="18"/>
  <c r="D4372" i="18"/>
  <c r="D4373" i="18"/>
  <c r="D4374" i="18"/>
  <c r="D4375" i="18"/>
  <c r="D4376" i="18"/>
  <c r="D4377" i="18"/>
  <c r="D4378" i="18"/>
  <c r="D4379" i="18"/>
  <c r="D4380" i="18"/>
  <c r="D4381" i="18"/>
  <c r="D4382" i="18"/>
  <c r="D4383" i="18"/>
  <c r="D4384" i="18"/>
  <c r="D4385" i="18"/>
  <c r="D4386" i="18"/>
  <c r="D4387" i="18"/>
  <c r="D4388" i="18"/>
  <c r="D4389" i="18"/>
  <c r="D4390" i="18"/>
  <c r="G2699" i="18"/>
  <c r="G3107" i="18"/>
  <c r="G3108" i="18"/>
  <c r="G2700" i="18"/>
  <c r="P1639" i="18"/>
  <c r="P1640" i="18"/>
  <c r="O1640" i="18"/>
  <c r="D13" i="18"/>
  <c r="D14" i="18"/>
  <c r="D15" i="18"/>
  <c r="D16" i="18"/>
  <c r="D17" i="18"/>
  <c r="H17" i="18"/>
  <c r="K10" i="18"/>
  <c r="H5836" i="18"/>
  <c r="H5804" i="18"/>
  <c r="H5774" i="18"/>
  <c r="H5760" i="18"/>
  <c r="H5745" i="18"/>
  <c r="H5737" i="18"/>
  <c r="H5727" i="18"/>
  <c r="H5717" i="18"/>
  <c r="H5707" i="18"/>
  <c r="H5697" i="18"/>
  <c r="H5687" i="18"/>
  <c r="H5677" i="18"/>
  <c r="H5667" i="18"/>
  <c r="H5657" i="18"/>
  <c r="H5647" i="18"/>
  <c r="H5634" i="18"/>
  <c r="H5621" i="18"/>
  <c r="H5601" i="18"/>
  <c r="H5575" i="18"/>
  <c r="H5557" i="18"/>
  <c r="D5548" i="18"/>
  <c r="G5548" i="18"/>
  <c r="H5548" i="18"/>
  <c r="H5454" i="18"/>
  <c r="H5419" i="18"/>
  <c r="H5385" i="18"/>
  <c r="H5369" i="18"/>
  <c r="H5353" i="18"/>
  <c r="H5336" i="18"/>
  <c r="H5319" i="18"/>
  <c r="H5305" i="18"/>
  <c r="H5290" i="18"/>
  <c r="H5275" i="18"/>
  <c r="H5208" i="18"/>
  <c r="H5194" i="18"/>
  <c r="H5183" i="18"/>
  <c r="H5156" i="18"/>
  <c r="H5146" i="18"/>
  <c r="H5136" i="18"/>
  <c r="H5127" i="18"/>
  <c r="H5119" i="18"/>
  <c r="H5096" i="18"/>
  <c r="H5085" i="18"/>
  <c r="H5074" i="18"/>
  <c r="H5063" i="18"/>
  <c r="H5052" i="18"/>
  <c r="H5036" i="18"/>
  <c r="H5020" i="18"/>
  <c r="H4965" i="18"/>
  <c r="H4957" i="18"/>
  <c r="H4944" i="18"/>
  <c r="H4926" i="18"/>
  <c r="H4913" i="18"/>
  <c r="K4937" i="18"/>
  <c r="H4898" i="18"/>
  <c r="H4876" i="18"/>
  <c r="H4862" i="18"/>
  <c r="H4848" i="18"/>
  <c r="H4821" i="18"/>
  <c r="H4799" i="18"/>
  <c r="H4776" i="18"/>
  <c r="H4750" i="18"/>
  <c r="H4725" i="18"/>
  <c r="H4694" i="18"/>
  <c r="H4663" i="18"/>
  <c r="H4633" i="18"/>
  <c r="H4563" i="18"/>
  <c r="H4540" i="18"/>
  <c r="H4516" i="18"/>
  <c r="H4507" i="18"/>
  <c r="H4498" i="18"/>
  <c r="H4488" i="18"/>
  <c r="H4457" i="18"/>
  <c r="H4424" i="18"/>
  <c r="H4413" i="18"/>
  <c r="H4367" i="18"/>
  <c r="H4360" i="18"/>
  <c r="H4351" i="18"/>
  <c r="H4340" i="18"/>
  <c r="H4330" i="18"/>
  <c r="H4308" i="18"/>
  <c r="H4287" i="18"/>
  <c r="H4269" i="18"/>
  <c r="K4791" i="18"/>
  <c r="H4261" i="18"/>
  <c r="O4280" i="18"/>
  <c r="H4247" i="18"/>
  <c r="H4233" i="18"/>
  <c r="H4222" i="18"/>
  <c r="H4213" i="18"/>
  <c r="H4198" i="18"/>
  <c r="H4178" i="18"/>
  <c r="H4168" i="18"/>
  <c r="H4147" i="18"/>
  <c r="H4118" i="18"/>
  <c r="H4107" i="18"/>
  <c r="H4084" i="18"/>
  <c r="H4074" i="18"/>
  <c r="H4061" i="18"/>
  <c r="H4051" i="18"/>
  <c r="M3931" i="18"/>
  <c r="H3997" i="18"/>
  <c r="M3930" i="18"/>
  <c r="H3979" i="18"/>
  <c r="H3968" i="18"/>
  <c r="R3990" i="18"/>
  <c r="H3927" i="18"/>
  <c r="H3916" i="18"/>
  <c r="H3856" i="18"/>
  <c r="H3829" i="18"/>
  <c r="H3818" i="18"/>
  <c r="H3801" i="18"/>
  <c r="M3764" i="18"/>
  <c r="H3790" i="18"/>
  <c r="H3770" i="18"/>
  <c r="M3763" i="18"/>
  <c r="H3760" i="18"/>
  <c r="H3657" i="18"/>
  <c r="H3628" i="18"/>
  <c r="H3618" i="18"/>
  <c r="H3568" i="18"/>
  <c r="H3558" i="18"/>
  <c r="H3531" i="18"/>
  <c r="J3552" i="18"/>
  <c r="H3471" i="18"/>
  <c r="H3443" i="18"/>
  <c r="J3465" i="18"/>
  <c r="H3432" i="18"/>
  <c r="H3421" i="18"/>
  <c r="H3409" i="18"/>
  <c r="H3394" i="18"/>
  <c r="H3381" i="18"/>
  <c r="H3359" i="18"/>
  <c r="H3319" i="18"/>
  <c r="H3306" i="18"/>
  <c r="H3286" i="18"/>
  <c r="J3300" i="18"/>
  <c r="H3276" i="18"/>
  <c r="J3299" i="18"/>
  <c r="H3269" i="18"/>
  <c r="H3256" i="18"/>
  <c r="H3240" i="18"/>
  <c r="H3213" i="18"/>
  <c r="H3200" i="18"/>
  <c r="H3188" i="18"/>
  <c r="H3175" i="18"/>
  <c r="H3113" i="18"/>
  <c r="H3043" i="18"/>
  <c r="H3006" i="18"/>
  <c r="H2982" i="18"/>
  <c r="H2920" i="18"/>
  <c r="H2908" i="18"/>
  <c r="M2825" i="18"/>
  <c r="H2877" i="18"/>
  <c r="H2830" i="18"/>
  <c r="H2821" i="18"/>
  <c r="H2797" i="18"/>
  <c r="M2643" i="18"/>
  <c r="H2748" i="18"/>
  <c r="H2733" i="18"/>
  <c r="H2719" i="18"/>
  <c r="H2705" i="18"/>
  <c r="H2648" i="18"/>
  <c r="M2642" i="18"/>
  <c r="H2639" i="18"/>
  <c r="H2618" i="18"/>
  <c r="H2599" i="18"/>
  <c r="H2557" i="18"/>
  <c r="H2520" i="18"/>
  <c r="H2506" i="18"/>
  <c r="H2497" i="18"/>
  <c r="H2463" i="18"/>
  <c r="N2425" i="18"/>
  <c r="H2378" i="18"/>
  <c r="H2330" i="18"/>
  <c r="H2349" i="18"/>
  <c r="H2293" i="18"/>
  <c r="H2273" i="18"/>
  <c r="L2309" i="18"/>
  <c r="H2315" i="18"/>
  <c r="H2260" i="18"/>
  <c r="O2223" i="18"/>
  <c r="H2247" i="18"/>
  <c r="O2222" i="18"/>
  <c r="H2234" i="18"/>
  <c r="O2221" i="18"/>
  <c r="H2202" i="18"/>
  <c r="M1795" i="18"/>
  <c r="H2171" i="18"/>
  <c r="H2157" i="18"/>
  <c r="H2118" i="18"/>
  <c r="H2105" i="18"/>
  <c r="M2068" i="18"/>
  <c r="H2092" i="18"/>
  <c r="M2067" i="18"/>
  <c r="H2079" i="18"/>
  <c r="M2066" i="18"/>
  <c r="H2137" i="18"/>
  <c r="H2063" i="18"/>
  <c r="O2131" i="18"/>
  <c r="H2048" i="18"/>
  <c r="H2032" i="18"/>
  <c r="H2021" i="18"/>
  <c r="H2001" i="18"/>
  <c r="H1986" i="18"/>
  <c r="H1971" i="18"/>
  <c r="H1947" i="18"/>
  <c r="H1908" i="18"/>
  <c r="H1895" i="18"/>
  <c r="O1858" i="18"/>
  <c r="H1882" i="18"/>
  <c r="O1857" i="18"/>
  <c r="H1869" i="18"/>
  <c r="O1856" i="18"/>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c r="H334" i="18"/>
  <c r="H317" i="18"/>
  <c r="H293" i="18"/>
  <c r="H286" i="18"/>
  <c r="H273" i="18"/>
  <c r="H251" i="18"/>
  <c r="H214" i="18"/>
  <c r="H192" i="18"/>
  <c r="H170" i="18"/>
  <c r="H160" i="18"/>
  <c r="H146" i="18"/>
  <c r="H138" i="18"/>
  <c r="H120" i="18"/>
  <c r="H109" i="18"/>
  <c r="H90" i="18"/>
  <c r="H71" i="18"/>
  <c r="H10" i="18"/>
  <c r="N1799" i="18"/>
  <c r="H1809" i="18"/>
  <c r="K1799" i="18"/>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D2657" i="18" s="1"/>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K2674" i="18"/>
  <c r="J2674" i="18"/>
  <c r="I2674" i="18"/>
  <c r="H2674" i="18"/>
  <c r="O2663" i="18"/>
  <c r="N2663" i="18"/>
  <c r="M2663" i="18"/>
  <c r="M2696" i="18"/>
  <c r="L2663" i="18"/>
  <c r="L2696" i="18" s="1"/>
  <c r="K2663" i="18"/>
  <c r="J2663" i="18"/>
  <c r="I2663" i="18"/>
  <c r="I2696" i="18"/>
  <c r="H2663" i="18"/>
  <c r="H2695" i="18"/>
  <c r="H2694" i="18"/>
  <c r="H2693" i="18"/>
  <c r="H2692" i="18"/>
  <c r="H2691" i="18"/>
  <c r="H2690" i="18"/>
  <c r="H2699" i="18" s="1"/>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17" i="18"/>
  <c r="N5385" i="18"/>
  <c r="K5385" i="18"/>
  <c r="D5428" i="18"/>
  <c r="D5433" i="18"/>
  <c r="D5438" i="18"/>
  <c r="D5443" i="18"/>
  <c r="D5448" i="18"/>
  <c r="D5449" i="18"/>
  <c r="D5450" i="18"/>
  <c r="I5451" i="18"/>
  <c r="N5419" i="18"/>
  <c r="G5447" i="18"/>
  <c r="G5446" i="18"/>
  <c r="G5445" i="18"/>
  <c r="G5442" i="18"/>
  <c r="G5441" i="18"/>
  <c r="G5440" i="18"/>
  <c r="G5437" i="18"/>
  <c r="G5436" i="18"/>
  <c r="G5435" i="18"/>
  <c r="G5432" i="18"/>
  <c r="G5431" i="18"/>
  <c r="G5430" i="18"/>
  <c r="G5427" i="18"/>
  <c r="G5426" i="18"/>
  <c r="G5425" i="18"/>
  <c r="D5394" i="18"/>
  <c r="D5399" i="18"/>
  <c r="D5404" i="18"/>
  <c r="D5409" i="18"/>
  <c r="D5414" i="18"/>
  <c r="D5415" i="18"/>
  <c r="D5416" i="18"/>
  <c r="G5413" i="18"/>
  <c r="G5412" i="18"/>
  <c r="G5411" i="18"/>
  <c r="G5408" i="18"/>
  <c r="G5407" i="18"/>
  <c r="G5406" i="18"/>
  <c r="G5403" i="18"/>
  <c r="G5402" i="18"/>
  <c r="G5401" i="18"/>
  <c r="G5398" i="18"/>
  <c r="G5397" i="18"/>
  <c r="G5396" i="18"/>
  <c r="G5393" i="18"/>
  <c r="G5392" i="18"/>
  <c r="G5391" i="18"/>
  <c r="D5125" i="18"/>
  <c r="G5269" i="18"/>
  <c r="G5268" i="18"/>
  <c r="G5267" i="18"/>
  <c r="G5264" i="18"/>
  <c r="G5263" i="18"/>
  <c r="G5262" i="18"/>
  <c r="G5259" i="18"/>
  <c r="G5258" i="18"/>
  <c r="G5257" i="18"/>
  <c r="G5254" i="18"/>
  <c r="G5253" i="18"/>
  <c r="G5252" i="18"/>
  <c r="G5249" i="18"/>
  <c r="G5248" i="18"/>
  <c r="G5247" i="18"/>
  <c r="G5244" i="18"/>
  <c r="G5243" i="18"/>
  <c r="G5242" i="18"/>
  <c r="G5234" i="18"/>
  <c r="G5233" i="18"/>
  <c r="G5232" i="18"/>
  <c r="G5229" i="18"/>
  <c r="G5228" i="18"/>
  <c r="G5227" i="18"/>
  <c r="G5224" i="18"/>
  <c r="G5223" i="18"/>
  <c r="G5222" i="18"/>
  <c r="G5214" i="18"/>
  <c r="G5213" i="18"/>
  <c r="G5212" i="18"/>
  <c r="G5101" i="18"/>
  <c r="D4779" i="18"/>
  <c r="D4780" i="18"/>
  <c r="D4781" i="18"/>
  <c r="D4782" i="18"/>
  <c r="D4783" i="18"/>
  <c r="D4784" i="18"/>
  <c r="D4785" i="18"/>
  <c r="D4786" i="18"/>
  <c r="D4787" i="18"/>
  <c r="D4788" i="18"/>
  <c r="I4784" i="18"/>
  <c r="H4784" i="18"/>
  <c r="I4779" i="18"/>
  <c r="H4779" i="18"/>
  <c r="N4750" i="18"/>
  <c r="K4494" i="18"/>
  <c r="K4493" i="18"/>
  <c r="I4494" i="18"/>
  <c r="I4493" i="18"/>
  <c r="I4496" i="18" s="1"/>
  <c r="N4488" i="18" s="1"/>
  <c r="O4488" i="18" s="1"/>
  <c r="J4494" i="18"/>
  <c r="H4494" i="18"/>
  <c r="J4493" i="18"/>
  <c r="H4493" i="18"/>
  <c r="I4113" i="18"/>
  <c r="H4113" i="18"/>
  <c r="I4057" i="18"/>
  <c r="H4057" i="18"/>
  <c r="H4059" i="18"/>
  <c r="K4051" i="18"/>
  <c r="D4054" i="18"/>
  <c r="D4055" i="18"/>
  <c r="D4056" i="18"/>
  <c r="D4057" i="18"/>
  <c r="D4058" i="18"/>
  <c r="D4059" i="18"/>
  <c r="I4006" i="18"/>
  <c r="H4006" i="18"/>
  <c r="H4008" i="18"/>
  <c r="D4000" i="18"/>
  <c r="D4001" i="18"/>
  <c r="D4002" i="18"/>
  <c r="D4003" i="18"/>
  <c r="D4004" i="18"/>
  <c r="D4005" i="18"/>
  <c r="D4006" i="18"/>
  <c r="D4007" i="18"/>
  <c r="D4008" i="18"/>
  <c r="I3814" i="18"/>
  <c r="H3814" i="18"/>
  <c r="I3809" i="18"/>
  <c r="H3809" i="18"/>
  <c r="D3804" i="18"/>
  <c r="D3805" i="18"/>
  <c r="D3806" i="18"/>
  <c r="D3807" i="18"/>
  <c r="D3808" i="18"/>
  <c r="D3809" i="18"/>
  <c r="D3810" i="18"/>
  <c r="D3811" i="18"/>
  <c r="D3812" i="18"/>
  <c r="D3813" i="18"/>
  <c r="D3814" i="18"/>
  <c r="D3815" i="18"/>
  <c r="D3816" i="18"/>
  <c r="I3785" i="18"/>
  <c r="H3785" i="18"/>
  <c r="I3780" i="18"/>
  <c r="H3780" i="18"/>
  <c r="D3773" i="18"/>
  <c r="D3774" i="18"/>
  <c r="D3775" i="18"/>
  <c r="D3776" i="18"/>
  <c r="D3777" i="18"/>
  <c r="D3778" i="18"/>
  <c r="D3779" i="18"/>
  <c r="D3780" i="18"/>
  <c r="D3781" i="18"/>
  <c r="D3782" i="18"/>
  <c r="D3783" i="18"/>
  <c r="D3784" i="18"/>
  <c r="D3785" i="18"/>
  <c r="D3786" i="18"/>
  <c r="D3787" i="18"/>
  <c r="D3788" i="18"/>
  <c r="D2610" i="18"/>
  <c r="D2615" i="18"/>
  <c r="K2607" i="18"/>
  <c r="K2608" i="18"/>
  <c r="D2568" i="18"/>
  <c r="D2572" i="18"/>
  <c r="D2578" i="18"/>
  <c r="D2582" i="18"/>
  <c r="D2588" i="18"/>
  <c r="D2592" i="18"/>
  <c r="D2597" i="18"/>
  <c r="K2566" i="18"/>
  <c r="K2567" i="18"/>
  <c r="K3385" i="18"/>
  <c r="K3386" i="18"/>
  <c r="K3387" i="18"/>
  <c r="K3388" i="18"/>
  <c r="K3389" i="18"/>
  <c r="K3390" i="18"/>
  <c r="K3391" i="18"/>
  <c r="K3384"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28" i="18"/>
  <c r="M4428" i="18"/>
  <c r="J4429" i="18"/>
  <c r="M4429" i="18"/>
  <c r="J4430" i="18"/>
  <c r="M4430" i="18"/>
  <c r="J4431" i="18"/>
  <c r="M4431" i="18"/>
  <c r="J4427" i="18"/>
  <c r="M4427" i="18"/>
  <c r="J2336" i="18"/>
  <c r="N2336" i="18"/>
  <c r="J2337" i="18"/>
  <c r="N2337" i="18"/>
  <c r="J2338" i="18"/>
  <c r="N2338" i="18"/>
  <c r="J2339" i="18"/>
  <c r="N2339" i="18"/>
  <c r="J2335" i="18"/>
  <c r="N2335" i="18"/>
  <c r="J1475" i="18"/>
  <c r="N1475" i="18"/>
  <c r="J1476" i="18"/>
  <c r="N1476" i="18"/>
  <c r="J1477" i="18"/>
  <c r="N1477" i="18"/>
  <c r="J1478" i="18"/>
  <c r="J1479" i="18"/>
  <c r="N1479" i="18"/>
  <c r="J1480" i="18"/>
  <c r="N1480" i="18"/>
  <c r="J1481" i="18"/>
  <c r="N1481" i="18"/>
  <c r="J1474" i="18"/>
  <c r="J854" i="18"/>
  <c r="N854" i="18"/>
  <c r="J855" i="18"/>
  <c r="N855" i="18"/>
  <c r="J853" i="18"/>
  <c r="N853" i="18"/>
  <c r="J585" i="18"/>
  <c r="J586" i="18"/>
  <c r="N586" i="18"/>
  <c r="J587" i="18"/>
  <c r="N587" i="18"/>
  <c r="J588" i="18"/>
  <c r="N588" i="18"/>
  <c r="J589" i="18"/>
  <c r="N589" i="18"/>
  <c r="J590" i="18"/>
  <c r="N590" i="18"/>
  <c r="J591" i="18"/>
  <c r="N591" i="18"/>
  <c r="J584" i="18"/>
  <c r="N584" i="18"/>
  <c r="J257" i="18"/>
  <c r="N257" i="18"/>
  <c r="J258" i="18"/>
  <c r="N258" i="18"/>
  <c r="J259" i="18"/>
  <c r="N259" i="18"/>
  <c r="J260" i="18"/>
  <c r="N260" i="18"/>
  <c r="J261" i="18"/>
  <c r="N261" i="18"/>
  <c r="J262" i="18"/>
  <c r="N262" i="18"/>
  <c r="J263" i="18"/>
  <c r="N263" i="18"/>
  <c r="J256" i="18"/>
  <c r="N256" i="18"/>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H3103" i="18" s="1"/>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24" i="18"/>
  <c r="D5325" i="18"/>
  <c r="D5326" i="18"/>
  <c r="D5327" i="18"/>
  <c r="D5328" i="18"/>
  <c r="D5329" i="18"/>
  <c r="D5330" i="18"/>
  <c r="D5331" i="18"/>
  <c r="D5332" i="18"/>
  <c r="D5333" i="18"/>
  <c r="D5334" i="18"/>
  <c r="L5334" i="18"/>
  <c r="K5334" i="18"/>
  <c r="J5334" i="18"/>
  <c r="I5334" i="18"/>
  <c r="N5319" i="18"/>
  <c r="H5334" i="18"/>
  <c r="K5319" i="18"/>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c r="J666" i="18"/>
  <c r="I666" i="18"/>
  <c r="D632" i="18"/>
  <c r="D633" i="18"/>
  <c r="D634" i="18"/>
  <c r="D635" i="18"/>
  <c r="D636" i="18"/>
  <c r="D637" i="18"/>
  <c r="D638" i="18"/>
  <c r="D639" i="18"/>
  <c r="D640" i="18"/>
  <c r="D641" i="18"/>
  <c r="D642" i="18"/>
  <c r="D643" i="18"/>
  <c r="D644" i="18"/>
  <c r="D645" i="18"/>
  <c r="D646" i="18"/>
  <c r="D614" i="18"/>
  <c r="D615" i="18"/>
  <c r="D616" i="18"/>
  <c r="H616" i="18"/>
  <c r="K611" i="18"/>
  <c r="D540" i="18"/>
  <c r="D541" i="18"/>
  <c r="D542" i="18"/>
  <c r="D543" i="18"/>
  <c r="D544" i="18"/>
  <c r="D545" i="18"/>
  <c r="D546" i="18"/>
  <c r="D547" i="18"/>
  <c r="D548" i="18"/>
  <c r="D549" i="18"/>
  <c r="D550" i="18"/>
  <c r="L436" i="18"/>
  <c r="L437" i="18"/>
  <c r="L438" i="18"/>
  <c r="L435" i="18"/>
  <c r="L340" i="18"/>
  <c r="L341" i="18"/>
  <c r="L342" i="18"/>
  <c r="L343" i="18"/>
  <c r="L344" i="18"/>
  <c r="L345" i="18"/>
  <c r="L346" i="18"/>
  <c r="L339" i="18"/>
  <c r="L176" i="18"/>
  <c r="L177" i="18"/>
  <c r="L178" i="18"/>
  <c r="L179" i="18"/>
  <c r="L180" i="18"/>
  <c r="L181" i="18"/>
  <c r="L182" i="18"/>
  <c r="L175" i="18"/>
  <c r="J183" i="18"/>
  <c r="J187" i="18"/>
  <c r="H183" i="18"/>
  <c r="H187" i="18"/>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C102" i="47"/>
  <c r="H101" i="47"/>
  <c r="C101" i="47"/>
  <c r="I100" i="47"/>
  <c r="J100" i="47"/>
  <c r="H100" i="47"/>
  <c r="C100" i="47"/>
  <c r="H99" i="47"/>
  <c r="C99" i="47"/>
  <c r="C98" i="47"/>
  <c r="C97" i="47"/>
  <c r="C96" i="47"/>
  <c r="C95" i="47"/>
  <c r="C94" i="47"/>
  <c r="C93" i="47"/>
  <c r="C92" i="47"/>
  <c r="C91" i="47"/>
  <c r="C90" i="47"/>
  <c r="C89" i="47"/>
  <c r="C88" i="47"/>
  <c r="C87" i="47"/>
  <c r="I86" i="47"/>
  <c r="J86" i="47"/>
  <c r="H86" i="47"/>
  <c r="C86" i="47"/>
  <c r="C85" i="47"/>
  <c r="C84" i="47"/>
  <c r="C83" i="47"/>
  <c r="C82" i="47"/>
  <c r="C81" i="47"/>
  <c r="C80" i="47"/>
  <c r="C79" i="47"/>
  <c r="C78" i="47"/>
  <c r="C77" i="47"/>
  <c r="C76" i="47"/>
  <c r="C75" i="47"/>
  <c r="C74" i="47"/>
  <c r="I73" i="47"/>
  <c r="J73" i="47"/>
  <c r="H73" i="47"/>
  <c r="C73" i="47"/>
  <c r="C72" i="47"/>
  <c r="C71" i="47"/>
  <c r="C70" i="47"/>
  <c r="C69" i="47"/>
  <c r="C68" i="47"/>
  <c r="C67" i="47"/>
  <c r="C66" i="47"/>
  <c r="C65" i="47"/>
  <c r="C64" i="47"/>
  <c r="C63" i="47"/>
  <c r="C62" i="47"/>
  <c r="C61" i="47"/>
  <c r="C60" i="47"/>
  <c r="C59" i="47"/>
  <c r="C58" i="47"/>
  <c r="C57" i="47"/>
  <c r="I56" i="47"/>
  <c r="J56" i="47"/>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c r="H29" i="47"/>
  <c r="C29" i="47"/>
  <c r="C28" i="47"/>
  <c r="C27" i="47"/>
  <c r="C26" i="47"/>
  <c r="C25" i="47"/>
  <c r="C24" i="47"/>
  <c r="C23" i="47"/>
  <c r="C22" i="47"/>
  <c r="C21" i="47"/>
  <c r="C20" i="47"/>
  <c r="C19" i="47"/>
  <c r="C18" i="47"/>
  <c r="C17" i="47"/>
  <c r="C16" i="47"/>
  <c r="C15" i="47"/>
  <c r="C14" i="47"/>
  <c r="C13" i="47"/>
  <c r="J12" i="47"/>
  <c r="C12" i="47"/>
  <c r="I11" i="47"/>
  <c r="J11" i="47"/>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c r="H100" i="51"/>
  <c r="C100" i="51"/>
  <c r="H99" i="51"/>
  <c r="C99" i="51"/>
  <c r="C98" i="51"/>
  <c r="C97" i="51"/>
  <c r="C96" i="51"/>
  <c r="C95" i="51"/>
  <c r="C94" i="51"/>
  <c r="C93" i="51"/>
  <c r="C92" i="51"/>
  <c r="C91" i="51"/>
  <c r="C90" i="51"/>
  <c r="C89" i="51"/>
  <c r="C88" i="51"/>
  <c r="C87" i="51"/>
  <c r="I86" i="51"/>
  <c r="J86" i="51"/>
  <c r="H86" i="51"/>
  <c r="C86" i="51"/>
  <c r="C85" i="51"/>
  <c r="C84" i="51"/>
  <c r="C83" i="51"/>
  <c r="C82" i="51"/>
  <c r="C81" i="51"/>
  <c r="C80" i="51"/>
  <c r="C79" i="51"/>
  <c r="C78" i="51"/>
  <c r="C77" i="51"/>
  <c r="C76" i="51"/>
  <c r="C75" i="51"/>
  <c r="C74" i="51"/>
  <c r="I73" i="51"/>
  <c r="J73" i="51"/>
  <c r="H73" i="51"/>
  <c r="C73" i="51"/>
  <c r="C72" i="51"/>
  <c r="C71" i="51"/>
  <c r="C70" i="51"/>
  <c r="C69" i="51"/>
  <c r="C68" i="51"/>
  <c r="C67" i="51"/>
  <c r="C66" i="51"/>
  <c r="C65" i="51"/>
  <c r="C64" i="51"/>
  <c r="C63" i="51"/>
  <c r="C62" i="51"/>
  <c r="C61" i="51"/>
  <c r="C60" i="51"/>
  <c r="C59" i="51"/>
  <c r="C58" i="51"/>
  <c r="C57" i="51"/>
  <c r="I56" i="51"/>
  <c r="J56" i="5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c r="H29" i="51"/>
  <c r="C29" i="51"/>
  <c r="C28" i="51"/>
  <c r="C27" i="51"/>
  <c r="C26" i="51"/>
  <c r="C25" i="51"/>
  <c r="C24" i="51"/>
  <c r="C23" i="51"/>
  <c r="C22" i="51"/>
  <c r="C21" i="51"/>
  <c r="C20" i="51"/>
  <c r="C19" i="51"/>
  <c r="C18" i="51"/>
  <c r="C17" i="51"/>
  <c r="C16" i="51"/>
  <c r="C15" i="51"/>
  <c r="C14" i="51"/>
  <c r="C13" i="51"/>
  <c r="J12" i="51"/>
  <c r="C12" i="51"/>
  <c r="I11" i="51"/>
  <c r="J11" i="51"/>
  <c r="H11" i="51"/>
  <c r="C11" i="51"/>
  <c r="I4" i="51"/>
  <c r="G4" i="51"/>
  <c r="C4" i="51"/>
  <c r="I3" i="51"/>
  <c r="G3" i="51"/>
  <c r="C2" i="51"/>
  <c r="G4" i="17"/>
  <c r="F4" i="17"/>
  <c r="C4" i="17"/>
  <c r="G3" i="17"/>
  <c r="F3" i="17"/>
  <c r="C2" i="17"/>
  <c r="D24" i="16"/>
  <c r="H4" i="16"/>
  <c r="F4" i="16"/>
  <c r="C4" i="16"/>
  <c r="H3" i="16"/>
  <c r="F3" i="16"/>
  <c r="C2" i="16"/>
  <c r="H6247" i="18"/>
  <c r="K6241" i="18"/>
  <c r="D6247" i="18"/>
  <c r="D6246" i="18"/>
  <c r="D6245" i="18"/>
  <c r="D6244" i="18"/>
  <c r="D6241" i="18"/>
  <c r="G6241" i="18"/>
  <c r="C6240" i="18"/>
  <c r="G6240" i="18"/>
  <c r="D6238" i="18"/>
  <c r="D6237" i="18"/>
  <c r="I6236" i="18"/>
  <c r="H6236" i="18"/>
  <c r="D6236" i="18"/>
  <c r="J6235" i="18"/>
  <c r="D6235" i="18"/>
  <c r="J6234" i="18"/>
  <c r="D6234" i="18"/>
  <c r="J6233" i="18"/>
  <c r="D6233" i="18"/>
  <c r="J6232" i="18"/>
  <c r="D6232" i="18"/>
  <c r="J6231" i="18"/>
  <c r="D6231" i="18"/>
  <c r="J6230" i="18"/>
  <c r="D6230" i="18"/>
  <c r="J6229" i="18"/>
  <c r="D6229" i="18"/>
  <c r="J6228" i="18"/>
  <c r="D6228" i="18"/>
  <c r="J6227" i="18"/>
  <c r="D6227" i="18"/>
  <c r="D6226" i="18"/>
  <c r="D6225" i="18"/>
  <c r="I6224" i="18"/>
  <c r="H6224" i="18"/>
  <c r="D6224" i="18"/>
  <c r="J6223" i="18"/>
  <c r="D6223" i="18"/>
  <c r="J6222" i="18"/>
  <c r="D6222" i="18"/>
  <c r="J6221" i="18"/>
  <c r="D6221" i="18"/>
  <c r="J6220" i="18"/>
  <c r="D6220" i="18"/>
  <c r="J6219" i="18"/>
  <c r="D6219" i="18"/>
  <c r="J6218" i="18"/>
  <c r="D6218" i="18"/>
  <c r="J6217" i="18"/>
  <c r="D6217" i="18"/>
  <c r="J6216" i="18"/>
  <c r="D6216" i="18"/>
  <c r="D6215" i="18"/>
  <c r="D6212" i="18"/>
  <c r="G6212" i="18"/>
  <c r="C6211" i="18"/>
  <c r="G6211" i="18"/>
  <c r="D6209" i="18"/>
  <c r="J6208" i="18"/>
  <c r="D6208" i="18"/>
  <c r="I6207" i="18"/>
  <c r="H6207" i="18"/>
  <c r="D6207" i="18"/>
  <c r="J6206" i="18"/>
  <c r="D6206" i="18"/>
  <c r="J6205" i="18"/>
  <c r="D6205" i="18"/>
  <c r="J6204" i="18"/>
  <c r="D6204" i="18"/>
  <c r="J6203" i="18"/>
  <c r="D6203" i="18"/>
  <c r="J6202" i="18"/>
  <c r="D6202" i="18"/>
  <c r="J6201" i="18"/>
  <c r="D6201" i="18"/>
  <c r="J6200" i="18"/>
  <c r="D6200" i="18"/>
  <c r="J6199" i="18"/>
  <c r="D6199" i="18"/>
  <c r="J6198" i="18"/>
  <c r="D6198" i="18"/>
  <c r="D6197" i="18"/>
  <c r="D6196" i="18"/>
  <c r="I6195" i="18"/>
  <c r="H6195" i="18"/>
  <c r="D6195" i="18"/>
  <c r="J6194" i="18"/>
  <c r="D6194" i="18"/>
  <c r="J6193" i="18"/>
  <c r="D6193" i="18"/>
  <c r="J6192" i="18"/>
  <c r="D6192" i="18"/>
  <c r="J6191" i="18"/>
  <c r="D6191" i="18"/>
  <c r="J6190" i="18"/>
  <c r="D6190" i="18"/>
  <c r="J6189" i="18"/>
  <c r="D6189" i="18"/>
  <c r="D6188" i="18"/>
  <c r="D6185" i="18"/>
  <c r="G6185" i="18"/>
  <c r="C6184" i="18"/>
  <c r="G6184" i="18"/>
  <c r="D6182" i="18"/>
  <c r="D6181" i="18"/>
  <c r="H6180" i="18"/>
  <c r="D6180" i="18"/>
  <c r="D6179" i="18"/>
  <c r="D6178" i="18"/>
  <c r="D6177" i="18"/>
  <c r="D6176" i="18"/>
  <c r="D6175" i="18"/>
  <c r="D6174" i="18"/>
  <c r="D6173" i="18"/>
  <c r="D6172" i="18"/>
  <c r="D6171" i="18"/>
  <c r="D6170" i="18"/>
  <c r="D6169" i="18"/>
  <c r="H6168" i="18"/>
  <c r="D6168" i="18"/>
  <c r="D6167" i="18"/>
  <c r="D6166" i="18"/>
  <c r="D6163" i="18"/>
  <c r="G6163" i="18"/>
  <c r="C6162" i="18"/>
  <c r="G6162" i="18"/>
  <c r="I6160" i="18"/>
  <c r="H6160" i="18"/>
  <c r="D6160" i="18"/>
  <c r="D6159" i="18"/>
  <c r="D6158" i="18"/>
  <c r="J6157" i="18"/>
  <c r="J6160" i="18"/>
  <c r="K6154" i="18"/>
  <c r="D6157" i="18"/>
  <c r="D6154" i="18"/>
  <c r="G6154" i="18"/>
  <c r="C6153" i="18"/>
  <c r="G6153" i="18"/>
  <c r="I6151" i="18"/>
  <c r="H6151" i="18"/>
  <c r="D6151" i="18"/>
  <c r="D6150" i="18"/>
  <c r="D6149" i="18"/>
  <c r="J6148" i="18"/>
  <c r="J6151" i="18"/>
  <c r="K6145" i="18"/>
  <c r="D6148" i="18"/>
  <c r="D6145" i="18"/>
  <c r="G6145" i="18"/>
  <c r="C6144" i="18"/>
  <c r="G6144" i="18"/>
  <c r="H6142" i="18"/>
  <c r="K6136" i="18"/>
  <c r="D6142" i="18"/>
  <c r="D6141" i="18"/>
  <c r="D6140" i="18"/>
  <c r="D6139" i="18"/>
  <c r="D6136" i="18"/>
  <c r="G6136" i="18"/>
  <c r="C6135" i="18"/>
  <c r="G6135" i="18"/>
  <c r="H6133" i="18"/>
  <c r="K6125" i="18"/>
  <c r="D6133" i="18"/>
  <c r="D6132" i="18"/>
  <c r="D6131" i="18"/>
  <c r="D6130" i="18"/>
  <c r="D6129" i="18"/>
  <c r="D6128" i="18"/>
  <c r="D6125" i="18"/>
  <c r="G6125" i="18"/>
  <c r="C6124" i="18"/>
  <c r="G6124" i="18"/>
  <c r="H6122" i="18"/>
  <c r="K6116" i="18"/>
  <c r="D6122" i="18"/>
  <c r="D6121" i="18"/>
  <c r="D6120" i="18"/>
  <c r="D6119" i="18"/>
  <c r="D6116" i="18"/>
  <c r="G6116" i="18"/>
  <c r="C6115" i="18"/>
  <c r="G6115" i="18"/>
  <c r="H6113" i="18"/>
  <c r="K6106" i="18"/>
  <c r="D6113" i="18"/>
  <c r="D6112" i="18"/>
  <c r="D6111" i="18"/>
  <c r="D6110" i="18"/>
  <c r="D6109" i="18"/>
  <c r="D6106" i="18"/>
  <c r="G6106" i="18"/>
  <c r="C6105" i="18"/>
  <c r="G6105" i="18"/>
  <c r="D6092" i="18"/>
  <c r="G6092" i="18"/>
  <c r="C6091" i="18"/>
  <c r="G6091" i="18"/>
  <c r="H6089" i="18"/>
  <c r="K6083" i="18"/>
  <c r="D6089" i="18"/>
  <c r="D6088" i="18"/>
  <c r="D6087" i="18"/>
  <c r="D6086" i="18"/>
  <c r="D6083" i="18"/>
  <c r="G6083" i="18"/>
  <c r="C6082" i="18"/>
  <c r="G6082" i="18"/>
  <c r="H6080" i="18"/>
  <c r="K6074" i="18"/>
  <c r="D6080" i="18"/>
  <c r="D6079" i="18"/>
  <c r="D6078" i="18"/>
  <c r="D6077" i="18"/>
  <c r="D6074" i="18"/>
  <c r="G6074" i="18"/>
  <c r="C6073" i="18"/>
  <c r="G6073" i="18"/>
  <c r="H6071" i="18"/>
  <c r="K6063" i="18"/>
  <c r="D6071" i="18"/>
  <c r="D6070" i="18"/>
  <c r="D6069" i="18"/>
  <c r="D6068" i="18"/>
  <c r="D6067" i="18"/>
  <c r="D6066" i="18"/>
  <c r="D6063" i="18"/>
  <c r="G6063" i="18"/>
  <c r="C6062" i="18"/>
  <c r="G6062" i="18"/>
  <c r="H6060" i="18"/>
  <c r="K6054" i="18"/>
  <c r="D6060" i="18"/>
  <c r="D6059" i="18"/>
  <c r="D6058" i="18"/>
  <c r="D6057" i="18"/>
  <c r="D6054" i="18"/>
  <c r="G6054" i="18"/>
  <c r="C6053" i="18"/>
  <c r="G6053" i="18"/>
  <c r="D6050" i="18"/>
  <c r="D6049" i="18"/>
  <c r="D6048" i="18"/>
  <c r="D6047" i="18"/>
  <c r="D6046" i="18"/>
  <c r="D6045" i="18"/>
  <c r="D6044" i="18"/>
  <c r="I6043" i="18"/>
  <c r="D6043" i="18"/>
  <c r="D6042" i="18"/>
  <c r="D6041" i="18"/>
  <c r="D6040" i="18"/>
  <c r="I6039" i="18"/>
  <c r="D6039" i="18"/>
  <c r="D6038" i="18"/>
  <c r="D6037" i="18"/>
  <c r="I6036" i="18"/>
  <c r="D6036" i="18"/>
  <c r="D6035" i="18"/>
  <c r="D6034" i="18"/>
  <c r="D6031" i="18"/>
  <c r="G6031" i="18"/>
  <c r="C6030" i="18"/>
  <c r="G6030" i="18"/>
  <c r="I6028" i="18"/>
  <c r="D6028" i="18"/>
  <c r="D6027" i="18"/>
  <c r="D6026" i="18"/>
  <c r="D6025" i="18"/>
  <c r="D6024" i="18"/>
  <c r="D6023" i="18"/>
  <c r="D6022" i="18"/>
  <c r="K6019" i="18"/>
  <c r="D6019" i="18"/>
  <c r="G6019" i="18"/>
  <c r="C6018" i="18"/>
  <c r="G6018" i="18"/>
  <c r="I6016" i="18"/>
  <c r="D6016" i="18"/>
  <c r="D6015" i="18"/>
  <c r="D6014" i="18"/>
  <c r="D6013" i="18"/>
  <c r="D6012" i="18"/>
  <c r="D6011" i="18"/>
  <c r="D6010" i="18"/>
  <c r="K6007" i="18"/>
  <c r="D6007" i="18"/>
  <c r="G6007" i="18"/>
  <c r="C6006" i="18"/>
  <c r="G6006" i="18"/>
  <c r="I6004" i="18"/>
  <c r="K5996" i="18"/>
  <c r="D6004" i="18"/>
  <c r="D6003" i="18"/>
  <c r="D6002" i="18"/>
  <c r="D6001" i="18"/>
  <c r="D6000" i="18"/>
  <c r="D5999" i="18"/>
  <c r="D5996" i="18"/>
  <c r="G5996" i="18"/>
  <c r="C5995" i="18"/>
  <c r="G5995" i="18"/>
  <c r="I5993" i="18"/>
  <c r="K5975" i="18"/>
  <c r="D5993" i="18"/>
  <c r="D5992" i="18"/>
  <c r="D5991" i="18"/>
  <c r="D5990" i="18"/>
  <c r="D5989" i="18"/>
  <c r="D5988" i="18"/>
  <c r="D5987" i="18"/>
  <c r="D5986" i="18"/>
  <c r="D5985" i="18"/>
  <c r="D5984" i="18"/>
  <c r="D5983" i="18"/>
  <c r="D5982" i="18"/>
  <c r="D5981" i="18"/>
  <c r="D5980" i="18"/>
  <c r="D5979" i="18"/>
  <c r="D5978" i="18"/>
  <c r="D5975" i="18"/>
  <c r="G5975" i="18"/>
  <c r="C5974" i="18"/>
  <c r="G5974" i="18"/>
  <c r="I5972" i="18"/>
  <c r="K5956" i="18"/>
  <c r="D5972" i="18"/>
  <c r="D5971" i="18"/>
  <c r="D5970" i="18"/>
  <c r="D5969" i="18"/>
  <c r="D5968" i="18"/>
  <c r="D5967" i="18"/>
  <c r="D5966" i="18"/>
  <c r="D5965" i="18"/>
  <c r="D5964" i="18"/>
  <c r="D5963" i="18"/>
  <c r="D5962" i="18"/>
  <c r="D5961" i="18"/>
  <c r="D5960" i="18"/>
  <c r="D5959" i="18"/>
  <c r="D5956" i="18"/>
  <c r="G5956" i="18"/>
  <c r="C5955" i="18"/>
  <c r="G5955" i="18"/>
  <c r="I5953" i="18"/>
  <c r="K5945" i="18"/>
  <c r="D5953" i="18"/>
  <c r="D5952" i="18"/>
  <c r="D5951" i="18"/>
  <c r="D5950" i="18"/>
  <c r="D5949" i="18"/>
  <c r="D5948" i="18"/>
  <c r="D5945" i="18"/>
  <c r="G5945" i="18"/>
  <c r="C5944" i="18"/>
  <c r="G5944" i="18"/>
  <c r="I5942" i="18"/>
  <c r="K5934" i="18"/>
  <c r="D5942" i="18"/>
  <c r="D5941" i="18"/>
  <c r="D5940" i="18"/>
  <c r="D5939" i="18"/>
  <c r="D5938" i="18"/>
  <c r="D5937" i="18"/>
  <c r="D5934" i="18"/>
  <c r="G5934" i="18"/>
  <c r="C5933" i="18"/>
  <c r="G5933" i="18"/>
  <c r="I5931" i="18"/>
  <c r="K5923" i="18"/>
  <c r="D5931" i="18"/>
  <c r="D5930" i="18"/>
  <c r="D5929" i="18"/>
  <c r="D5928" i="18"/>
  <c r="D5927" i="18"/>
  <c r="D5926" i="18"/>
  <c r="D5923" i="18"/>
  <c r="G5923" i="18"/>
  <c r="C5922" i="18"/>
  <c r="G5922" i="18"/>
  <c r="I5920" i="18"/>
  <c r="K5912" i="18"/>
  <c r="D5920" i="18"/>
  <c r="D5919" i="18"/>
  <c r="D5918" i="18"/>
  <c r="D5917" i="18"/>
  <c r="D5916" i="18"/>
  <c r="D5915" i="18"/>
  <c r="D5912" i="18"/>
  <c r="G5912" i="18"/>
  <c r="C5911" i="18"/>
  <c r="G5911" i="18"/>
  <c r="I5909" i="18"/>
  <c r="K5901" i="18"/>
  <c r="D5909" i="18"/>
  <c r="D5908" i="18"/>
  <c r="D5907" i="18"/>
  <c r="D5906" i="18"/>
  <c r="D5905" i="18"/>
  <c r="D5904" i="18"/>
  <c r="D5901" i="18"/>
  <c r="G5901" i="18"/>
  <c r="C5900" i="18"/>
  <c r="G5900" i="18"/>
  <c r="I5898" i="18"/>
  <c r="K5890" i="18"/>
  <c r="D5898" i="18"/>
  <c r="D5897" i="18"/>
  <c r="D5896" i="18"/>
  <c r="D5895" i="18"/>
  <c r="D5894" i="18"/>
  <c r="D5893" i="18"/>
  <c r="D5890" i="18"/>
  <c r="G5890" i="18"/>
  <c r="C5889" i="18"/>
  <c r="G5889" i="18"/>
  <c r="I5887" i="18"/>
  <c r="K5879" i="18"/>
  <c r="D5887" i="18"/>
  <c r="D5886" i="18"/>
  <c r="D5885" i="18"/>
  <c r="D5884" i="18"/>
  <c r="D5883" i="18"/>
  <c r="D5882" i="18"/>
  <c r="D5879" i="18"/>
  <c r="G5879" i="18"/>
  <c r="C5878" i="18"/>
  <c r="G5878" i="18"/>
  <c r="I5876" i="18"/>
  <c r="K5868" i="18"/>
  <c r="D5876" i="18"/>
  <c r="D5875" i="18"/>
  <c r="D5874" i="18"/>
  <c r="D5873" i="18"/>
  <c r="D5872" i="18"/>
  <c r="D5871" i="18"/>
  <c r="D5868" i="18"/>
  <c r="G5868" i="18"/>
  <c r="C5867" i="18"/>
  <c r="G5867" i="18"/>
  <c r="H5864" i="18"/>
  <c r="D5864" i="18"/>
  <c r="D5863" i="18"/>
  <c r="D5862" i="18"/>
  <c r="D5861" i="18"/>
  <c r="D5860" i="18"/>
  <c r="D5859" i="18"/>
  <c r="D5856" i="18"/>
  <c r="G5856" i="18"/>
  <c r="H5854" i="18"/>
  <c r="D5854" i="18"/>
  <c r="D5853" i="18"/>
  <c r="D5852" i="18"/>
  <c r="D5851" i="18"/>
  <c r="D5850" i="18"/>
  <c r="D5849" i="18"/>
  <c r="D5846" i="18"/>
  <c r="G5846" i="18"/>
  <c r="H5844" i="18"/>
  <c r="D5844" i="18"/>
  <c r="D5843" i="18"/>
  <c r="D5842" i="18"/>
  <c r="D5841" i="18"/>
  <c r="D5840" i="18"/>
  <c r="D5839" i="18"/>
  <c r="D5836" i="18"/>
  <c r="G5836" i="18"/>
  <c r="I5834" i="18"/>
  <c r="N5804" i="18"/>
  <c r="D5834" i="18"/>
  <c r="D5833" i="18"/>
  <c r="D5832" i="18"/>
  <c r="D5831" i="18"/>
  <c r="H5830" i="18"/>
  <c r="D5830" i="18"/>
  <c r="D5829" i="18"/>
  <c r="D5828" i="18"/>
  <c r="D5827" i="18"/>
  <c r="D5826" i="18"/>
  <c r="D5825" i="18"/>
  <c r="D5824" i="18"/>
  <c r="D5823" i="18"/>
  <c r="D5822" i="18"/>
  <c r="D5821" i="18"/>
  <c r="D5820" i="18"/>
  <c r="D5819" i="18"/>
  <c r="D5818" i="18"/>
  <c r="D5817" i="18"/>
  <c r="D5816" i="18"/>
  <c r="D5815" i="18"/>
  <c r="D5814" i="18"/>
  <c r="D5813" i="18"/>
  <c r="D5812" i="18"/>
  <c r="D5811" i="18"/>
  <c r="D5810" i="18"/>
  <c r="D5809" i="18"/>
  <c r="D5808" i="18"/>
  <c r="D5807" i="18"/>
  <c r="D5804" i="18"/>
  <c r="G5804" i="18"/>
  <c r="C5803" i="18"/>
  <c r="G5803" i="18"/>
  <c r="D5793" i="18"/>
  <c r="D5792" i="18"/>
  <c r="D5791" i="18"/>
  <c r="D5790" i="18"/>
  <c r="D5789" i="18"/>
  <c r="D5788" i="18"/>
  <c r="D5787" i="18"/>
  <c r="D5786" i="18"/>
  <c r="I5785" i="18"/>
  <c r="H5785" i="18"/>
  <c r="D5785" i="18"/>
  <c r="D5784" i="18"/>
  <c r="D5783" i="18"/>
  <c r="D5782" i="18"/>
  <c r="I5781" i="18"/>
  <c r="H5781" i="18"/>
  <c r="D5781" i="18"/>
  <c r="D5780" i="18"/>
  <c r="D5779" i="18"/>
  <c r="D5778" i="18"/>
  <c r="D5777" i="18"/>
  <c r="D5774" i="18"/>
  <c r="G5774" i="18"/>
  <c r="C5773" i="18"/>
  <c r="G5773" i="18"/>
  <c r="I5316" i="18"/>
  <c r="N5305" i="18"/>
  <c r="H5316" i="18"/>
  <c r="K5305" i="18"/>
  <c r="D5316" i="18"/>
  <c r="D5315" i="18"/>
  <c r="D5314" i="18"/>
  <c r="D5313" i="18"/>
  <c r="D5312" i="18"/>
  <c r="D5311" i="18"/>
  <c r="D5310" i="18"/>
  <c r="D5309" i="18"/>
  <c r="D5308" i="18"/>
  <c r="D5305" i="18"/>
  <c r="G5305" i="18"/>
  <c r="K5303" i="18"/>
  <c r="N5290" i="18"/>
  <c r="J5303" i="18"/>
  <c r="K5290" i="18"/>
  <c r="I5303" i="18"/>
  <c r="H5303" i="18"/>
  <c r="D5303" i="18"/>
  <c r="D5302" i="18"/>
  <c r="D5301" i="18"/>
  <c r="D5300" i="18"/>
  <c r="D5299" i="18"/>
  <c r="D5298" i="18"/>
  <c r="D5297" i="18"/>
  <c r="D5296" i="18"/>
  <c r="D5295" i="18"/>
  <c r="D5290" i="18"/>
  <c r="G5290" i="18"/>
  <c r="K5288" i="18"/>
  <c r="N5275" i="18"/>
  <c r="J5288" i="18"/>
  <c r="K5275" i="18"/>
  <c r="I5288" i="18"/>
  <c r="H5288" i="18"/>
  <c r="D5288" i="18"/>
  <c r="D5287" i="18"/>
  <c r="D5286" i="18"/>
  <c r="D5285" i="18"/>
  <c r="D5284" i="18"/>
  <c r="D5283" i="18"/>
  <c r="D5282" i="18"/>
  <c r="D5281" i="18"/>
  <c r="D5280" i="18"/>
  <c r="D5275" i="18"/>
  <c r="G5275" i="18"/>
  <c r="C5274" i="18"/>
  <c r="G5274" i="18"/>
  <c r="P5599" i="18"/>
  <c r="O5599" i="18"/>
  <c r="N5599" i="18"/>
  <c r="M5599" i="18"/>
  <c r="L5599" i="18"/>
  <c r="K5599" i="18"/>
  <c r="J5599" i="18"/>
  <c r="I5599" i="18"/>
  <c r="H5599" i="18"/>
  <c r="D5599" i="18"/>
  <c r="D5598" i="18"/>
  <c r="D5597" i="18"/>
  <c r="D5596" i="18"/>
  <c r="D5595" i="18"/>
  <c r="D5594" i="18"/>
  <c r="R5593" i="18"/>
  <c r="Q5593" i="18"/>
  <c r="D5593" i="18"/>
  <c r="D5592" i="18"/>
  <c r="D5591" i="18"/>
  <c r="D5590" i="18"/>
  <c r="D5589" i="18"/>
  <c r="R5588" i="18"/>
  <c r="Q5588" i="18"/>
  <c r="D5588" i="18"/>
  <c r="D5587" i="18"/>
  <c r="D5586" i="18"/>
  <c r="D5585" i="18"/>
  <c r="D5584" i="18"/>
  <c r="D5583" i="18"/>
  <c r="D5582" i="18"/>
  <c r="D5581" i="18"/>
  <c r="D5580" i="18"/>
  <c r="D5575" i="18"/>
  <c r="G5575" i="18"/>
  <c r="D5618" i="18"/>
  <c r="K5617" i="18"/>
  <c r="J5617" i="18"/>
  <c r="I5617" i="18"/>
  <c r="H5617" i="18"/>
  <c r="D5617" i="18"/>
  <c r="D5616" i="18"/>
  <c r="D5615" i="18"/>
  <c r="D5614" i="18"/>
  <c r="D5613" i="18"/>
  <c r="D5612" i="18"/>
  <c r="D5611" i="18"/>
  <c r="K5610" i="18"/>
  <c r="J5610" i="18"/>
  <c r="I5610" i="18"/>
  <c r="H5610" i="18"/>
  <c r="D5610" i="18"/>
  <c r="D5609" i="18"/>
  <c r="D5608" i="18"/>
  <c r="D5607" i="18"/>
  <c r="D5606" i="18"/>
  <c r="D5605" i="18"/>
  <c r="D5604" i="18"/>
  <c r="D5601" i="18"/>
  <c r="G5601" i="18"/>
  <c r="D5573" i="18"/>
  <c r="D5572" i="18"/>
  <c r="D5571" i="18"/>
  <c r="D5570" i="18"/>
  <c r="D5569" i="18"/>
  <c r="D5568" i="18"/>
  <c r="D5567" i="18"/>
  <c r="D5566" i="18"/>
  <c r="D5565" i="18"/>
  <c r="D5564" i="18"/>
  <c r="D5563" i="18"/>
  <c r="D5562" i="18"/>
  <c r="D5561" i="18"/>
  <c r="D5560" i="18"/>
  <c r="K5557" i="18"/>
  <c r="D5557" i="18"/>
  <c r="G5557" i="18"/>
  <c r="K5548" i="18"/>
  <c r="D5555" i="18"/>
  <c r="D5554" i="18"/>
  <c r="D5553" i="18"/>
  <c r="D5552" i="18"/>
  <c r="D5551" i="18"/>
  <c r="J5497" i="18"/>
  <c r="I5497" i="18"/>
  <c r="H5497" i="18"/>
  <c r="K5496" i="18"/>
  <c r="K5495" i="18"/>
  <c r="J5494" i="18"/>
  <c r="I5494" i="18"/>
  <c r="H5494" i="18"/>
  <c r="K5493" i="18"/>
  <c r="K5492" i="18"/>
  <c r="K5489" i="18"/>
  <c r="K5488" i="18"/>
  <c r="K5487" i="18"/>
  <c r="K5485" i="18"/>
  <c r="K5484" i="18"/>
  <c r="J5483" i="18"/>
  <c r="J5490" i="18"/>
  <c r="I5483" i="18"/>
  <c r="I5490" i="18"/>
  <c r="H5483" i="18"/>
  <c r="H5490" i="18"/>
  <c r="K5481" i="18"/>
  <c r="K5480" i="18"/>
  <c r="K5479" i="18"/>
  <c r="J5478" i="18"/>
  <c r="I5478" i="18"/>
  <c r="H5478" i="18"/>
  <c r="K5477" i="18"/>
  <c r="K5475" i="18"/>
  <c r="K5474" i="18"/>
  <c r="J5473" i="18"/>
  <c r="I5473" i="18"/>
  <c r="H5473" i="18"/>
  <c r="K5472" i="18"/>
  <c r="K5471" i="18"/>
  <c r="K5470" i="18"/>
  <c r="K5469" i="18"/>
  <c r="K5467" i="18"/>
  <c r="J5466" i="18"/>
  <c r="I5466" i="18"/>
  <c r="H5466" i="18"/>
  <c r="K5465" i="18"/>
  <c r="K5463" i="18"/>
  <c r="K5462" i="18"/>
  <c r="J5461" i="18"/>
  <c r="I5461" i="18"/>
  <c r="H5461" i="18"/>
  <c r="D5454" i="18"/>
  <c r="G5454" i="18"/>
  <c r="C5453" i="18"/>
  <c r="G5453" i="18"/>
  <c r="K5419" i="18"/>
  <c r="D5419" i="18"/>
  <c r="G5419" i="18"/>
  <c r="D5385" i="18"/>
  <c r="G5385" i="18"/>
  <c r="M5383" i="18"/>
  <c r="L5383" i="18"/>
  <c r="K5383" i="18"/>
  <c r="J5383" i="18"/>
  <c r="I5383" i="18"/>
  <c r="H5383" i="18"/>
  <c r="D5383" i="18"/>
  <c r="D5382" i="18"/>
  <c r="D5381" i="18"/>
  <c r="D5380" i="18"/>
  <c r="D5379" i="18"/>
  <c r="D5378" i="18"/>
  <c r="D5377" i="18"/>
  <c r="D5376" i="18"/>
  <c r="D5375" i="18"/>
  <c r="D5374" i="18"/>
  <c r="N5369" i="18"/>
  <c r="K5369" i="18"/>
  <c r="D5369" i="18"/>
  <c r="G5369" i="18"/>
  <c r="M5367" i="18"/>
  <c r="L5367" i="18"/>
  <c r="K5367" i="18"/>
  <c r="J5367" i="18"/>
  <c r="I5367" i="18"/>
  <c r="H5367" i="18"/>
  <c r="D5367" i="18"/>
  <c r="D5366" i="18"/>
  <c r="D5365" i="18"/>
  <c r="D5364" i="18"/>
  <c r="D5363" i="18"/>
  <c r="D5362" i="18"/>
  <c r="D5361" i="18"/>
  <c r="D5360" i="18"/>
  <c r="D5359" i="18"/>
  <c r="D5358" i="18"/>
  <c r="N5353" i="18"/>
  <c r="K5353" i="18"/>
  <c r="D5353" i="18"/>
  <c r="G5353" i="18"/>
  <c r="L5351" i="18"/>
  <c r="K5351" i="18"/>
  <c r="J5351" i="18"/>
  <c r="I5351" i="18"/>
  <c r="N5336" i="18"/>
  <c r="H5351" i="18"/>
  <c r="K5336" i="18"/>
  <c r="D5351" i="18"/>
  <c r="D5350" i="18"/>
  <c r="D5349" i="18"/>
  <c r="D5348" i="18"/>
  <c r="D5347" i="18"/>
  <c r="D5346" i="18"/>
  <c r="D5345" i="18"/>
  <c r="D5344" i="18"/>
  <c r="D5343" i="18"/>
  <c r="D5342" i="18"/>
  <c r="D5341" i="18"/>
  <c r="D5336" i="18"/>
  <c r="G5336" i="18"/>
  <c r="D5319" i="18"/>
  <c r="G5319" i="18"/>
  <c r="C5318" i="18"/>
  <c r="G5318" i="18"/>
  <c r="I5771" i="18"/>
  <c r="K5760" i="18"/>
  <c r="H5771" i="18"/>
  <c r="D5771" i="18"/>
  <c r="D5770" i="18"/>
  <c r="D5769" i="18"/>
  <c r="D5768" i="18"/>
  <c r="D5767" i="18"/>
  <c r="D5766" i="18"/>
  <c r="D5765" i="18"/>
  <c r="D5764" i="18"/>
  <c r="D5763" i="18"/>
  <c r="D5760" i="18"/>
  <c r="G5760" i="18"/>
  <c r="J5758" i="18"/>
  <c r="I5758" i="18"/>
  <c r="N5745" i="18"/>
  <c r="H5758" i="18"/>
  <c r="K5745" i="18"/>
  <c r="D5758" i="18"/>
  <c r="D5757" i="18"/>
  <c r="D5756" i="18"/>
  <c r="D5755" i="18"/>
  <c r="D5754" i="18"/>
  <c r="D5753" i="18"/>
  <c r="D5752" i="18"/>
  <c r="D5751" i="18"/>
  <c r="D5750" i="18"/>
  <c r="D5745" i="18"/>
  <c r="G5745" i="18"/>
  <c r="I5742" i="18"/>
  <c r="H5742" i="18"/>
  <c r="D5742" i="18"/>
  <c r="D5741" i="18"/>
  <c r="D5740" i="18"/>
  <c r="D5737" i="18"/>
  <c r="G5737" i="18"/>
  <c r="J5735" i="18"/>
  <c r="I5735" i="18"/>
  <c r="D5735" i="18"/>
  <c r="D5734" i="18"/>
  <c r="D5733" i="18"/>
  <c r="D5732" i="18"/>
  <c r="D5731" i="18"/>
  <c r="D5730" i="18"/>
  <c r="D5727" i="18"/>
  <c r="G5727" i="18"/>
  <c r="H5725" i="18"/>
  <c r="D5725" i="18"/>
  <c r="D5724" i="18"/>
  <c r="D5723" i="18"/>
  <c r="D5722" i="18"/>
  <c r="D5721" i="18"/>
  <c r="D5720" i="18"/>
  <c r="D5717" i="18"/>
  <c r="G5717" i="18"/>
  <c r="H5715" i="18"/>
  <c r="D5715" i="18"/>
  <c r="D5714" i="18"/>
  <c r="D5713" i="18"/>
  <c r="D5712" i="18"/>
  <c r="D5711" i="18"/>
  <c r="D5710" i="18"/>
  <c r="D5707" i="18"/>
  <c r="G5707" i="18"/>
  <c r="H5705" i="18"/>
  <c r="D5705" i="18"/>
  <c r="D5704" i="18"/>
  <c r="D5703" i="18"/>
  <c r="D5702" i="18"/>
  <c r="D5701" i="18"/>
  <c r="D5700" i="18"/>
  <c r="D5697" i="18"/>
  <c r="G5697" i="18"/>
  <c r="H5695" i="18"/>
  <c r="D5695" i="18"/>
  <c r="D5694" i="18"/>
  <c r="D5693" i="18"/>
  <c r="D5692" i="18"/>
  <c r="D5691" i="18"/>
  <c r="D5690" i="18"/>
  <c r="D5687" i="18"/>
  <c r="G5687" i="18"/>
  <c r="J5685" i="18"/>
  <c r="I5685" i="18"/>
  <c r="D5685" i="18"/>
  <c r="D5684" i="18"/>
  <c r="D5683" i="18"/>
  <c r="D5682" i="18"/>
  <c r="D5681" i="18"/>
  <c r="D5680" i="18"/>
  <c r="D5677" i="18"/>
  <c r="G5677" i="18"/>
  <c r="J5675" i="18"/>
  <c r="I5675" i="18"/>
  <c r="D5675" i="18"/>
  <c r="D5674" i="18"/>
  <c r="D5673" i="18"/>
  <c r="D5672" i="18"/>
  <c r="D5671" i="18"/>
  <c r="D5670" i="18"/>
  <c r="D5667" i="18"/>
  <c r="G5667" i="18"/>
  <c r="M5665" i="18"/>
  <c r="D5665" i="18"/>
  <c r="D5664" i="18"/>
  <c r="D5663" i="18"/>
  <c r="D5662" i="18"/>
  <c r="D5661" i="18"/>
  <c r="D5660" i="18"/>
  <c r="D5657" i="18"/>
  <c r="G5657" i="18"/>
  <c r="M5655" i="18"/>
  <c r="D5655" i="18"/>
  <c r="D5654" i="18"/>
  <c r="D5653" i="18"/>
  <c r="D5652" i="18"/>
  <c r="D5651" i="18"/>
  <c r="D5650" i="18"/>
  <c r="D5647" i="18"/>
  <c r="G5647" i="18"/>
  <c r="J5645" i="18"/>
  <c r="N5634" i="18"/>
  <c r="I5645" i="18"/>
  <c r="K5634" i="18"/>
  <c r="D5645" i="18"/>
  <c r="D5644" i="18"/>
  <c r="D5643" i="18"/>
  <c r="D5642" i="18"/>
  <c r="D5641" i="18"/>
  <c r="D5640" i="18"/>
  <c r="D5639" i="18"/>
  <c r="D5638" i="18"/>
  <c r="D5637" i="18"/>
  <c r="D5634" i="18"/>
  <c r="G5634" i="18"/>
  <c r="J5632" i="18"/>
  <c r="I5632" i="18"/>
  <c r="N5621" i="18"/>
  <c r="D5632" i="18"/>
  <c r="D5631" i="18"/>
  <c r="D5630" i="18"/>
  <c r="D5629" i="18"/>
  <c r="D5628" i="18"/>
  <c r="D5627" i="18"/>
  <c r="D5626" i="18"/>
  <c r="D5625" i="18"/>
  <c r="D5624" i="18"/>
  <c r="K5621" i="18"/>
  <c r="D5621" i="18"/>
  <c r="G5621" i="18"/>
  <c r="C5620" i="18"/>
  <c r="G5620" i="18"/>
  <c r="D5208" i="18"/>
  <c r="G5208" i="18"/>
  <c r="C5207" i="18"/>
  <c r="G5207" i="18"/>
  <c r="H5205" i="18"/>
  <c r="D5205" i="18"/>
  <c r="D5204" i="18"/>
  <c r="D5203" i="18"/>
  <c r="D5202" i="18"/>
  <c r="D5201" i="18"/>
  <c r="D5200" i="18"/>
  <c r="D5199" i="18"/>
  <c r="D5198" i="18"/>
  <c r="D5197" i="18"/>
  <c r="D5194" i="18"/>
  <c r="G5194" i="18"/>
  <c r="C5193" i="18"/>
  <c r="G5193" i="18"/>
  <c r="H5191" i="18"/>
  <c r="D5191" i="18"/>
  <c r="D5190" i="18"/>
  <c r="D5189" i="18"/>
  <c r="D5188" i="18"/>
  <c r="D5187" i="18"/>
  <c r="D5186" i="18"/>
  <c r="D5183" i="18"/>
  <c r="G5183" i="18"/>
  <c r="C5182" i="18"/>
  <c r="G5182" i="18"/>
  <c r="H5180" i="18"/>
  <c r="D5180" i="18"/>
  <c r="D5179" i="18"/>
  <c r="D5178" i="18"/>
  <c r="D5177" i="18"/>
  <c r="D5176" i="18"/>
  <c r="D5175" i="18"/>
  <c r="D5172" i="18"/>
  <c r="G5172" i="18"/>
  <c r="D5170" i="18"/>
  <c r="D5169" i="18"/>
  <c r="D5168" i="18"/>
  <c r="D5167" i="18"/>
  <c r="D5166" i="18"/>
  <c r="D5165" i="18"/>
  <c r="D5164" i="18"/>
  <c r="D5163" i="18"/>
  <c r="D5162" i="18"/>
  <c r="D5161" i="18"/>
  <c r="D5160" i="18"/>
  <c r="I5159" i="18"/>
  <c r="I5168" i="18" s="1"/>
  <c r="H5159" i="18"/>
  <c r="H5168" i="18" s="1"/>
  <c r="D5159" i="18"/>
  <c r="D5156" i="18"/>
  <c r="G5156" i="18"/>
  <c r="H5154" i="18"/>
  <c r="D5154" i="18"/>
  <c r="D5153" i="18"/>
  <c r="D5152" i="18"/>
  <c r="D5151" i="18"/>
  <c r="D5150" i="18"/>
  <c r="D5149" i="18"/>
  <c r="D5146" i="18"/>
  <c r="G5146" i="18"/>
  <c r="H5144" i="18"/>
  <c r="D5144" i="18"/>
  <c r="D5143" i="18"/>
  <c r="D5142" i="18"/>
  <c r="D5141" i="18"/>
  <c r="D5140" i="18"/>
  <c r="D5139" i="18"/>
  <c r="D5136" i="18"/>
  <c r="G5136" i="18"/>
  <c r="G5133" i="18"/>
  <c r="G5132" i="18"/>
  <c r="G5131" i="18"/>
  <c r="G5130" i="18"/>
  <c r="D5127" i="18"/>
  <c r="G5127" i="18"/>
  <c r="G5124" i="18"/>
  <c r="G5123" i="18"/>
  <c r="G5122" i="18"/>
  <c r="D5119" i="18"/>
  <c r="G5119" i="18"/>
  <c r="G5115" i="18"/>
  <c r="G5114" i="18"/>
  <c r="G5113" i="18"/>
  <c r="G5112" i="18"/>
  <c r="G5111" i="18"/>
  <c r="G5110" i="18"/>
  <c r="G5109" i="18"/>
  <c r="G5108" i="18"/>
  <c r="G5107" i="18"/>
  <c r="G5106" i="18"/>
  <c r="G5105" i="18"/>
  <c r="G5104" i="18"/>
  <c r="G5103" i="18"/>
  <c r="G5102" i="18"/>
  <c r="G5099" i="18"/>
  <c r="D5096" i="18"/>
  <c r="G5096" i="18"/>
  <c r="C5095" i="18"/>
  <c r="G5095" i="18"/>
  <c r="I5093" i="18"/>
  <c r="N5085" i="18"/>
  <c r="H5093" i="18"/>
  <c r="K5085" i="18"/>
  <c r="D5093" i="18"/>
  <c r="D5092" i="18"/>
  <c r="D5091" i="18"/>
  <c r="D5090" i="18"/>
  <c r="D5089" i="18"/>
  <c r="D5088" i="18"/>
  <c r="D5085" i="18"/>
  <c r="G5085" i="18"/>
  <c r="C5084" i="18"/>
  <c r="G5084" i="18"/>
  <c r="I5082" i="18"/>
  <c r="N5074" i="18"/>
  <c r="H5082" i="18"/>
  <c r="K5074" i="18" s="1"/>
  <c r="D5082" i="18"/>
  <c r="D5081" i="18"/>
  <c r="D5080" i="18"/>
  <c r="D5079" i="18"/>
  <c r="D5078" i="18"/>
  <c r="D5077" i="18"/>
  <c r="D5074" i="18"/>
  <c r="G5074" i="18"/>
  <c r="C5073" i="18"/>
  <c r="G5073" i="18"/>
  <c r="I5071" i="18"/>
  <c r="N5063" i="18"/>
  <c r="H5071" i="18"/>
  <c r="K5063" i="18" s="1"/>
  <c r="D5071" i="18"/>
  <c r="D5070" i="18"/>
  <c r="D5069" i="18"/>
  <c r="D5068" i="18"/>
  <c r="D5067" i="18"/>
  <c r="D5066" i="18"/>
  <c r="D5063" i="18"/>
  <c r="G5063" i="18"/>
  <c r="C5062" i="18"/>
  <c r="G5062" i="18"/>
  <c r="I5060" i="18"/>
  <c r="N5052" i="18"/>
  <c r="H5060" i="18"/>
  <c r="K5052" i="18"/>
  <c r="D5060" i="18"/>
  <c r="D5059" i="18"/>
  <c r="D5058" i="18"/>
  <c r="D5057" i="18"/>
  <c r="D5056" i="18"/>
  <c r="D5055" i="18"/>
  <c r="D5052" i="18"/>
  <c r="G5052" i="18"/>
  <c r="C5051" i="18"/>
  <c r="G5051" i="18"/>
  <c r="I5049" i="18"/>
  <c r="N5036" i="18"/>
  <c r="H5049" i="18"/>
  <c r="K5036" i="18" s="1"/>
  <c r="D5049" i="18"/>
  <c r="D5048" i="18"/>
  <c r="D5047" i="18"/>
  <c r="D5046" i="18"/>
  <c r="D5045" i="18"/>
  <c r="D5044" i="18"/>
  <c r="D5043" i="18"/>
  <c r="D5042" i="18"/>
  <c r="D5041" i="18"/>
  <c r="D5040" i="18"/>
  <c r="D5039" i="18"/>
  <c r="D5036" i="18"/>
  <c r="G5036" i="18"/>
  <c r="C5035" i="18"/>
  <c r="G5035" i="18"/>
  <c r="I5033" i="18"/>
  <c r="N5020" i="18"/>
  <c r="H5033" i="18"/>
  <c r="K5020" i="18" s="1"/>
  <c r="D5033" i="18"/>
  <c r="D5032" i="18"/>
  <c r="D5031" i="18"/>
  <c r="D5030" i="18"/>
  <c r="D5029" i="18"/>
  <c r="D5028" i="18"/>
  <c r="D5027" i="18"/>
  <c r="D5026" i="18"/>
  <c r="D5025" i="18"/>
  <c r="D5024" i="18"/>
  <c r="D5023" i="18"/>
  <c r="D5020" i="18"/>
  <c r="G5020" i="18"/>
  <c r="C5019" i="18"/>
  <c r="G5019" i="18"/>
  <c r="C5018" i="18"/>
  <c r="G5018" i="18"/>
  <c r="L5016" i="18"/>
  <c r="K5016" i="18"/>
  <c r="J5016" i="18"/>
  <c r="I5016" i="18"/>
  <c r="H5016" i="18"/>
  <c r="D5016" i="18"/>
  <c r="D5015" i="18"/>
  <c r="D5014" i="18"/>
  <c r="D5013" i="18"/>
  <c r="D5012" i="18"/>
  <c r="D5011" i="18"/>
  <c r="D5008" i="18"/>
  <c r="G5008" i="18"/>
  <c r="N5006" i="18"/>
  <c r="M5006" i="18"/>
  <c r="L5006" i="18"/>
  <c r="J5006" i="18"/>
  <c r="I5006" i="18"/>
  <c r="H5006" i="18"/>
  <c r="D5006" i="18"/>
  <c r="K5005" i="18"/>
  <c r="D5005" i="18"/>
  <c r="K5004" i="18"/>
  <c r="D5004" i="18"/>
  <c r="K5003" i="18"/>
  <c r="D5003" i="18"/>
  <c r="K5002" i="18"/>
  <c r="D5002" i="18"/>
  <c r="K5001" i="18"/>
  <c r="D5001" i="18"/>
  <c r="D4998" i="18"/>
  <c r="G4998" i="18"/>
  <c r="I4996" i="18"/>
  <c r="H4996" i="18"/>
  <c r="D4996" i="18"/>
  <c r="D4995" i="18"/>
  <c r="D4994" i="18"/>
  <c r="D4993" i="18"/>
  <c r="D4992" i="18"/>
  <c r="D4991" i="18"/>
  <c r="D4990" i="18"/>
  <c r="D4989" i="18"/>
  <c r="D4988" i="18"/>
  <c r="D4987" i="18"/>
  <c r="N4984" i="18"/>
  <c r="K4984" i="18"/>
  <c r="D4984" i="18"/>
  <c r="G4984" i="18"/>
  <c r="C4983" i="18"/>
  <c r="G4983" i="18"/>
  <c r="N4965" i="18"/>
  <c r="D4965" i="18"/>
  <c r="G4965" i="18"/>
  <c r="I4963" i="18"/>
  <c r="N4957" i="18"/>
  <c r="H4963" i="18"/>
  <c r="Q4957" i="18" s="1"/>
  <c r="D4963" i="18"/>
  <c r="D4962" i="18"/>
  <c r="D4961" i="18"/>
  <c r="D4960" i="18"/>
  <c r="D4957" i="18"/>
  <c r="G4957" i="18"/>
  <c r="C4956" i="18"/>
  <c r="G4956" i="18"/>
  <c r="J4954" i="18"/>
  <c r="I4954" i="18"/>
  <c r="H4954" i="18"/>
  <c r="K4944" i="18"/>
  <c r="D4954" i="18"/>
  <c r="D4953" i="18"/>
  <c r="D4952" i="18"/>
  <c r="D4951" i="18"/>
  <c r="D4950" i="18"/>
  <c r="D4949" i="18"/>
  <c r="D4948" i="18"/>
  <c r="D4947" i="18"/>
  <c r="D4944" i="18"/>
  <c r="G4944" i="18"/>
  <c r="C4943" i="18"/>
  <c r="G4943" i="18"/>
  <c r="G4937" i="18"/>
  <c r="I4934" i="18"/>
  <c r="I4938" i="18"/>
  <c r="H4934" i="18"/>
  <c r="K4926" i="18"/>
  <c r="D4934" i="18"/>
  <c r="D4933" i="18"/>
  <c r="D4932" i="18"/>
  <c r="D4931" i="18"/>
  <c r="D4930" i="18"/>
  <c r="D4929" i="18"/>
  <c r="D4926" i="18"/>
  <c r="G4926" i="18"/>
  <c r="J4924" i="18"/>
  <c r="I4924" i="18"/>
  <c r="N4913" i="18"/>
  <c r="H4924" i="18"/>
  <c r="K4913" i="18"/>
  <c r="D4924" i="18"/>
  <c r="D4923" i="18"/>
  <c r="D4922" i="18"/>
  <c r="D4921" i="18"/>
  <c r="D4920" i="18"/>
  <c r="D4919" i="18"/>
  <c r="D4918" i="18"/>
  <c r="D4917" i="18"/>
  <c r="D4916" i="18"/>
  <c r="D4913" i="18"/>
  <c r="G4913" i="18"/>
  <c r="H4936" i="18"/>
  <c r="C4912" i="18"/>
  <c r="G4912" i="18"/>
  <c r="I4910" i="18"/>
  <c r="N4898" i="18"/>
  <c r="H4910" i="18"/>
  <c r="K4898" i="18"/>
  <c r="D4910" i="18"/>
  <c r="D4909" i="18"/>
  <c r="D4908" i="18"/>
  <c r="D4907" i="18"/>
  <c r="D4906" i="18"/>
  <c r="D4905" i="18"/>
  <c r="D4904" i="18"/>
  <c r="D4903" i="18"/>
  <c r="D4902" i="18"/>
  <c r="D4901" i="18"/>
  <c r="D4898" i="18"/>
  <c r="G4898" i="18"/>
  <c r="C4897" i="18"/>
  <c r="G4897" i="18"/>
  <c r="I4895" i="18"/>
  <c r="N4876" i="18"/>
  <c r="H4895" i="18"/>
  <c r="D4895" i="18"/>
  <c r="D4894" i="18"/>
  <c r="D4893" i="18"/>
  <c r="D4892" i="18"/>
  <c r="D4891" i="18"/>
  <c r="D4890" i="18"/>
  <c r="D4889" i="18"/>
  <c r="D4888" i="18"/>
  <c r="D4887" i="18"/>
  <c r="D4886" i="18"/>
  <c r="D4885" i="18"/>
  <c r="D4884" i="18"/>
  <c r="D4883" i="18"/>
  <c r="D4882" i="18"/>
  <c r="D4881" i="18"/>
  <c r="D4880" i="18"/>
  <c r="D4879" i="18"/>
  <c r="D4876" i="18"/>
  <c r="G4876" i="18"/>
  <c r="C4875" i="18"/>
  <c r="G4875" i="18"/>
  <c r="I4873" i="18"/>
  <c r="N4862" i="18"/>
  <c r="H4873" i="18"/>
  <c r="K4862" i="18"/>
  <c r="D4873" i="18"/>
  <c r="D4872" i="18"/>
  <c r="D4871" i="18"/>
  <c r="D4870" i="18"/>
  <c r="D4869" i="18"/>
  <c r="D4868" i="18"/>
  <c r="D4867" i="18"/>
  <c r="D4866" i="18"/>
  <c r="D4865" i="18"/>
  <c r="D4862" i="18"/>
  <c r="G4862" i="18"/>
  <c r="C4861" i="18"/>
  <c r="G4861" i="18"/>
  <c r="N4848" i="18"/>
  <c r="K4848" i="18"/>
  <c r="D4848" i="18"/>
  <c r="G4848" i="18"/>
  <c r="C4834" i="18"/>
  <c r="G4834" i="18"/>
  <c r="I4832" i="18"/>
  <c r="N4821" i="18"/>
  <c r="H4832" i="18"/>
  <c r="K4821" i="18"/>
  <c r="D4832" i="18"/>
  <c r="D4831" i="18"/>
  <c r="D4830" i="18"/>
  <c r="D4829" i="18"/>
  <c r="D4828" i="18"/>
  <c r="D4827" i="18"/>
  <c r="D4826" i="18"/>
  <c r="D4825" i="18"/>
  <c r="D4824" i="18"/>
  <c r="D4821" i="18"/>
  <c r="G4821" i="18"/>
  <c r="C4820" i="18"/>
  <c r="G4820" i="18"/>
  <c r="I4818" i="18"/>
  <c r="N4799" i="18"/>
  <c r="H4818" i="18"/>
  <c r="K4799" i="18"/>
  <c r="D4818" i="18"/>
  <c r="D4817" i="18"/>
  <c r="D4816" i="18"/>
  <c r="D4815" i="18"/>
  <c r="D4814" i="18"/>
  <c r="D4813" i="18"/>
  <c r="D4812" i="18"/>
  <c r="D4811" i="18"/>
  <c r="D4810" i="18"/>
  <c r="D4809" i="18"/>
  <c r="D4808" i="18"/>
  <c r="D4807" i="18"/>
  <c r="D4806" i="18"/>
  <c r="D4805" i="18"/>
  <c r="D4804" i="18"/>
  <c r="D4803" i="18"/>
  <c r="D4802" i="18"/>
  <c r="D4799" i="18"/>
  <c r="G4799" i="18"/>
  <c r="C4798" i="18"/>
  <c r="G4798" i="18"/>
  <c r="D4776" i="18"/>
  <c r="G4776" i="18"/>
  <c r="C4775" i="18"/>
  <c r="G4775" i="18"/>
  <c r="I4773" i="18"/>
  <c r="N4765" i="18"/>
  <c r="H4773" i="18"/>
  <c r="K4765" i="18"/>
  <c r="D4773" i="18"/>
  <c r="D4772" i="18"/>
  <c r="D4771" i="18"/>
  <c r="D4770" i="18"/>
  <c r="D4769" i="18"/>
  <c r="D4768" i="18"/>
  <c r="D4765" i="18"/>
  <c r="G4765" i="18"/>
  <c r="D4750" i="18"/>
  <c r="G4750" i="18"/>
  <c r="C4749" i="18"/>
  <c r="G4749" i="18"/>
  <c r="N4725" i="18"/>
  <c r="K4725" i="18"/>
  <c r="D4734" i="18"/>
  <c r="D4733" i="18"/>
  <c r="D4732" i="18"/>
  <c r="D4731" i="18"/>
  <c r="D4730" i="18"/>
  <c r="D4729" i="18"/>
  <c r="D4728" i="18"/>
  <c r="D4725" i="18"/>
  <c r="G4725" i="18"/>
  <c r="C4724" i="18"/>
  <c r="G4724" i="18"/>
  <c r="I4722" i="18"/>
  <c r="N4714" i="18"/>
  <c r="H4722" i="18"/>
  <c r="K4714" i="18"/>
  <c r="D4722" i="18"/>
  <c r="D4721" i="18"/>
  <c r="D4720" i="18"/>
  <c r="D4719" i="18"/>
  <c r="D4718" i="18"/>
  <c r="D4717" i="18"/>
  <c r="D4714" i="18"/>
  <c r="G4714" i="18"/>
  <c r="I4712" i="18"/>
  <c r="N4694" i="18"/>
  <c r="H4712" i="18"/>
  <c r="K4694" i="18"/>
  <c r="D4712" i="18"/>
  <c r="D4711" i="18"/>
  <c r="D4710" i="18"/>
  <c r="D4709" i="18"/>
  <c r="D4708" i="18"/>
  <c r="D4707" i="18"/>
  <c r="D4706" i="18"/>
  <c r="D4705" i="18"/>
  <c r="D4704" i="18"/>
  <c r="D4703" i="18"/>
  <c r="D4702" i="18"/>
  <c r="D4701" i="18"/>
  <c r="D4700" i="18"/>
  <c r="D4699" i="18"/>
  <c r="D4698" i="18"/>
  <c r="D4697" i="18"/>
  <c r="D4694" i="18"/>
  <c r="G4694" i="18"/>
  <c r="C4693" i="18"/>
  <c r="G4693" i="18"/>
  <c r="I4691" i="18"/>
  <c r="H4691" i="18"/>
  <c r="D4691" i="18"/>
  <c r="D4690" i="18"/>
  <c r="D4689" i="18"/>
  <c r="D4688" i="18"/>
  <c r="D4687" i="18"/>
  <c r="D4686" i="18"/>
  <c r="N4683" i="18"/>
  <c r="O4683" i="18"/>
  <c r="K4683" i="18"/>
  <c r="L4683" i="18"/>
  <c r="D4683" i="18"/>
  <c r="G4683" i="18"/>
  <c r="I4681" i="18"/>
  <c r="N4663" i="18"/>
  <c r="H4681" i="18"/>
  <c r="K4663" i="18"/>
  <c r="D4681" i="18"/>
  <c r="D4680" i="18"/>
  <c r="D4679" i="18"/>
  <c r="D4678" i="18"/>
  <c r="D4677" i="18"/>
  <c r="D4676" i="18"/>
  <c r="D4675" i="18"/>
  <c r="D4674" i="18"/>
  <c r="D4673" i="18"/>
  <c r="D4672" i="18"/>
  <c r="D4671" i="18"/>
  <c r="D4670" i="18"/>
  <c r="D4669" i="18"/>
  <c r="D4668" i="18"/>
  <c r="D4667" i="18"/>
  <c r="D4666" i="18"/>
  <c r="D4663" i="18"/>
  <c r="G4663" i="18"/>
  <c r="C4662" i="18"/>
  <c r="G4662" i="18"/>
  <c r="I4660" i="18"/>
  <c r="N4652" i="18"/>
  <c r="H4660" i="18"/>
  <c r="K4652" i="18"/>
  <c r="D4660" i="18"/>
  <c r="D4659" i="18"/>
  <c r="D4658" i="18"/>
  <c r="D4657" i="18"/>
  <c r="D4656" i="18"/>
  <c r="D4655" i="18"/>
  <c r="D4652" i="18"/>
  <c r="G4652" i="18"/>
  <c r="I4650" i="18"/>
  <c r="H4650" i="18"/>
  <c r="K4633" i="18" s="1"/>
  <c r="D4650" i="18"/>
  <c r="D4649" i="18"/>
  <c r="D4648" i="18"/>
  <c r="D4647" i="18"/>
  <c r="D4646" i="18"/>
  <c r="D4645" i="18"/>
  <c r="D4644" i="18"/>
  <c r="D4643" i="18"/>
  <c r="D4642" i="18"/>
  <c r="D4641" i="18"/>
  <c r="D4640" i="18"/>
  <c r="D4639" i="18"/>
  <c r="D4638" i="18"/>
  <c r="D4637" i="18"/>
  <c r="D4636" i="18"/>
  <c r="D4633" i="18"/>
  <c r="C4632" i="18"/>
  <c r="G4632" i="18"/>
  <c r="I4630" i="18"/>
  <c r="N4622" i="18"/>
  <c r="H4630" i="18"/>
  <c r="K4622" i="18"/>
  <c r="D4630" i="18"/>
  <c r="D4629" i="18"/>
  <c r="D4628" i="18"/>
  <c r="D4627" i="18"/>
  <c r="D4626" i="18"/>
  <c r="D4625" i="18"/>
  <c r="D4622" i="18"/>
  <c r="G4622" i="18"/>
  <c r="I4620" i="18"/>
  <c r="N4612" i="18"/>
  <c r="H4620" i="18"/>
  <c r="K4612" i="18"/>
  <c r="D4620" i="18"/>
  <c r="D4619" i="18"/>
  <c r="D4618" i="18"/>
  <c r="D4617" i="18"/>
  <c r="D4616" i="18"/>
  <c r="D4615" i="18"/>
  <c r="D4612" i="18"/>
  <c r="G4612" i="18"/>
  <c r="H4610" i="18"/>
  <c r="D4610" i="18"/>
  <c r="D4609" i="18"/>
  <c r="D4608" i="18"/>
  <c r="D4607" i="18"/>
  <c r="D4606" i="18"/>
  <c r="D4605" i="18"/>
  <c r="D4604" i="18"/>
  <c r="D4603" i="18"/>
  <c r="D4602" i="18"/>
  <c r="D4601" i="18"/>
  <c r="D4600" i="18"/>
  <c r="D4597" i="18"/>
  <c r="G4597" i="18"/>
  <c r="H4595" i="18"/>
  <c r="D4595" i="18"/>
  <c r="D4594" i="18"/>
  <c r="D4593" i="18"/>
  <c r="D4592" i="18"/>
  <c r="D4591" i="18"/>
  <c r="D4590" i="18"/>
  <c r="D4589" i="18"/>
  <c r="D4588" i="18"/>
  <c r="D4587" i="18"/>
  <c r="D4586" i="18"/>
  <c r="D4585" i="18"/>
  <c r="D4582" i="18"/>
  <c r="G4582" i="18"/>
  <c r="G4576" i="18"/>
  <c r="K4573" i="18"/>
  <c r="K4577" i="18"/>
  <c r="J4573" i="18"/>
  <c r="I4573" i="18"/>
  <c r="H4573" i="18"/>
  <c r="H4577" i="18" s="1"/>
  <c r="D4573" i="18"/>
  <c r="D4572" i="18"/>
  <c r="D4571" i="18"/>
  <c r="D4570" i="18"/>
  <c r="D4569" i="18"/>
  <c r="D4568" i="18"/>
  <c r="D4563" i="18"/>
  <c r="G4563" i="18"/>
  <c r="G4557" i="18"/>
  <c r="K4554" i="18"/>
  <c r="K4558" i="18"/>
  <c r="J4554" i="18"/>
  <c r="J4558" i="18"/>
  <c r="I4554" i="18"/>
  <c r="I4558" i="18" s="1"/>
  <c r="H4554" i="18"/>
  <c r="Q4540" i="18" s="1"/>
  <c r="H4558" i="18"/>
  <c r="D4554" i="18"/>
  <c r="D4553" i="18"/>
  <c r="D4552" i="18"/>
  <c r="D4551" i="18"/>
  <c r="D4550" i="18"/>
  <c r="D4549" i="18"/>
  <c r="D4548" i="18"/>
  <c r="D4547" i="18"/>
  <c r="D4546" i="18"/>
  <c r="D4545" i="18"/>
  <c r="D4540" i="18"/>
  <c r="G4540" i="18"/>
  <c r="G4534" i="18"/>
  <c r="K4531" i="18"/>
  <c r="J4531" i="18"/>
  <c r="I4531" i="18"/>
  <c r="H4531" i="18"/>
  <c r="D4531" i="18"/>
  <c r="D4530" i="18"/>
  <c r="D4529" i="18"/>
  <c r="D4528" i="18"/>
  <c r="D4527" i="18"/>
  <c r="D4526" i="18"/>
  <c r="D4525" i="18"/>
  <c r="D4524" i="18"/>
  <c r="D4523" i="18"/>
  <c r="D4522" i="18"/>
  <c r="D4521" i="18"/>
  <c r="D4516" i="18"/>
  <c r="G4516" i="18"/>
  <c r="D4514" i="18"/>
  <c r="D4513" i="18"/>
  <c r="D4512" i="18"/>
  <c r="D4511" i="18"/>
  <c r="I4510" i="18"/>
  <c r="I4514" i="18"/>
  <c r="N4507" i="18"/>
  <c r="H4510" i="18"/>
  <c r="D4510" i="18"/>
  <c r="D4507" i="18"/>
  <c r="G4507" i="18"/>
  <c r="J4556" i="18"/>
  <c r="D4505" i="18"/>
  <c r="D4504" i="18"/>
  <c r="D4503" i="18"/>
  <c r="D4502" i="18"/>
  <c r="I4501" i="18"/>
  <c r="I4505" i="18" s="1"/>
  <c r="N4498" i="18" s="1"/>
  <c r="H4501" i="18"/>
  <c r="H4505" i="18"/>
  <c r="K4498" i="18" s="1"/>
  <c r="D4501" i="18"/>
  <c r="D4498" i="18"/>
  <c r="G4498" i="18"/>
  <c r="D4496" i="18"/>
  <c r="D4495" i="18"/>
  <c r="D4494" i="18"/>
  <c r="D4493" i="18"/>
  <c r="D4488" i="18"/>
  <c r="G4488" i="18"/>
  <c r="C4487" i="18"/>
  <c r="G4487" i="18"/>
  <c r="C4486" i="18"/>
  <c r="G4486" i="18"/>
  <c r="C4485" i="18"/>
  <c r="G4485" i="18"/>
  <c r="H4483" i="18"/>
  <c r="K4474" i="18"/>
  <c r="D4483" i="18"/>
  <c r="D4482" i="18"/>
  <c r="D4481" i="18"/>
  <c r="D4480" i="18"/>
  <c r="D4479" i="18"/>
  <c r="D4478" i="18"/>
  <c r="D4477" i="18"/>
  <c r="D4474" i="18"/>
  <c r="G4474" i="18"/>
  <c r="D4472" i="18"/>
  <c r="D4471" i="18"/>
  <c r="D4470" i="18"/>
  <c r="D4469" i="18"/>
  <c r="D4468" i="18"/>
  <c r="D4467" i="18"/>
  <c r="D4466" i="18"/>
  <c r="D4465" i="18"/>
  <c r="D4464" i="18"/>
  <c r="D4463" i="18"/>
  <c r="I4462" i="18"/>
  <c r="H4462" i="18"/>
  <c r="D4462" i="18"/>
  <c r="D4461" i="18"/>
  <c r="D4460" i="18"/>
  <c r="D4457" i="18"/>
  <c r="G4457" i="18"/>
  <c r="C4456" i="18"/>
  <c r="G4456" i="18"/>
  <c r="J4454" i="18"/>
  <c r="I4454" i="18"/>
  <c r="H4454" i="18"/>
  <c r="N4449" i="18"/>
  <c r="D4454" i="18"/>
  <c r="K4453" i="18"/>
  <c r="D4453" i="18"/>
  <c r="K4452" i="18"/>
  <c r="D4452" i="18"/>
  <c r="D4449" i="18"/>
  <c r="G4449" i="18"/>
  <c r="C4448" i="18"/>
  <c r="G4448" i="18"/>
  <c r="J4446" i="18"/>
  <c r="I4446" i="18"/>
  <c r="H4446" i="18"/>
  <c r="N4437" i="18"/>
  <c r="K4445" i="18"/>
  <c r="K4444" i="18"/>
  <c r="K4443" i="18"/>
  <c r="K4442" i="18"/>
  <c r="K4441" i="18"/>
  <c r="K4440" i="18"/>
  <c r="D4437" i="18"/>
  <c r="G4437" i="18"/>
  <c r="L4435" i="18"/>
  <c r="K4435" i="18"/>
  <c r="I4435" i="18"/>
  <c r="D4435" i="18"/>
  <c r="D4434" i="18"/>
  <c r="D4433" i="18"/>
  <c r="D4432" i="18"/>
  <c r="D4431" i="18"/>
  <c r="D4430" i="18"/>
  <c r="D4429" i="18"/>
  <c r="D4428" i="18"/>
  <c r="D4427" i="18"/>
  <c r="D4424" i="18"/>
  <c r="G4424" i="18"/>
  <c r="C4423" i="18"/>
  <c r="G4423" i="18"/>
  <c r="J4421" i="18"/>
  <c r="I4421" i="18"/>
  <c r="D4421" i="18"/>
  <c r="K4420" i="18"/>
  <c r="D4420" i="18"/>
  <c r="K4419" i="18"/>
  <c r="D4419" i="18"/>
  <c r="K4418" i="18"/>
  <c r="D4418" i="18"/>
  <c r="K4417" i="18"/>
  <c r="D4417" i="18"/>
  <c r="K4416" i="18"/>
  <c r="D4416" i="18"/>
  <c r="D4413" i="18"/>
  <c r="G4413" i="18"/>
  <c r="C4412" i="18"/>
  <c r="G4412" i="18"/>
  <c r="D4410" i="18"/>
  <c r="O4409" i="18"/>
  <c r="N4409" i="18"/>
  <c r="D4409" i="18"/>
  <c r="O4408" i="18"/>
  <c r="N4408" i="18"/>
  <c r="D4408" i="18"/>
  <c r="O4407" i="18"/>
  <c r="N4407" i="18"/>
  <c r="D4407" i="18"/>
  <c r="O4406" i="18"/>
  <c r="N4406" i="18"/>
  <c r="D4406" i="18"/>
  <c r="O4405" i="18"/>
  <c r="N4405" i="18"/>
  <c r="D4405" i="18"/>
  <c r="O4404" i="18"/>
  <c r="N4404" i="18"/>
  <c r="D4404" i="18"/>
  <c r="O4403" i="18"/>
  <c r="N4403" i="18"/>
  <c r="D4403" i="18"/>
  <c r="M4402" i="18"/>
  <c r="L4402" i="18"/>
  <c r="K4402" i="18"/>
  <c r="J4402" i="18"/>
  <c r="I4402" i="18"/>
  <c r="H4402" i="18"/>
  <c r="D4402" i="18"/>
  <c r="O4401" i="18"/>
  <c r="N4401" i="18"/>
  <c r="D4401" i="18"/>
  <c r="O4400" i="18"/>
  <c r="N4400" i="18"/>
  <c r="D4400" i="18"/>
  <c r="O4399" i="18"/>
  <c r="N4399" i="18"/>
  <c r="D4399" i="18"/>
  <c r="O4398" i="18"/>
  <c r="N4398" i="18"/>
  <c r="D4398" i="18"/>
  <c r="M4397" i="18"/>
  <c r="L4397" i="18"/>
  <c r="K4397" i="18"/>
  <c r="J4397" i="18"/>
  <c r="I4397" i="18"/>
  <c r="H4397" i="18"/>
  <c r="D4397" i="18"/>
  <c r="D4392" i="18"/>
  <c r="G4392" i="18"/>
  <c r="D4367" i="18"/>
  <c r="G4367" i="18"/>
  <c r="C4366" i="18"/>
  <c r="G4366" i="18"/>
  <c r="J4364" i="18"/>
  <c r="I4364" i="18"/>
  <c r="D4364" i="18"/>
  <c r="K4363" i="18"/>
  <c r="K4364" i="18"/>
  <c r="K4360" i="18"/>
  <c r="D4363" i="18"/>
  <c r="D4360" i="18"/>
  <c r="G4360" i="18"/>
  <c r="C4359" i="18"/>
  <c r="G4359" i="18"/>
  <c r="J4357" i="18"/>
  <c r="I4357" i="18"/>
  <c r="D4357" i="18"/>
  <c r="K4356" i="18"/>
  <c r="D4356" i="18"/>
  <c r="K4355" i="18"/>
  <c r="D4355" i="18"/>
  <c r="K4354" i="18"/>
  <c r="D4354" i="18"/>
  <c r="D4351" i="18"/>
  <c r="G4351" i="18"/>
  <c r="C4350" i="18"/>
  <c r="G4350" i="18"/>
  <c r="M4348" i="18"/>
  <c r="L4348" i="18"/>
  <c r="K4348" i="18"/>
  <c r="J4348" i="18"/>
  <c r="I4348" i="18"/>
  <c r="N4340" i="18"/>
  <c r="H4348" i="18"/>
  <c r="D4348" i="18"/>
  <c r="O4347" i="18"/>
  <c r="N4347" i="18"/>
  <c r="D4347" i="18"/>
  <c r="O4346" i="18"/>
  <c r="N4346" i="18"/>
  <c r="D4346" i="18"/>
  <c r="O4345" i="18"/>
  <c r="N4345" i="18"/>
  <c r="D4345" i="18"/>
  <c r="D4340" i="18"/>
  <c r="G4340" i="18"/>
  <c r="M4338" i="18"/>
  <c r="D4338" i="18"/>
  <c r="L4337" i="18"/>
  <c r="D4337" i="18"/>
  <c r="L4336" i="18"/>
  <c r="D4336" i="18"/>
  <c r="L4335" i="18"/>
  <c r="D4335" i="18"/>
  <c r="L4334" i="18"/>
  <c r="D4334" i="18"/>
  <c r="L4333" i="18"/>
  <c r="D4333" i="18"/>
  <c r="K4330" i="18"/>
  <c r="D4330" i="18"/>
  <c r="G4330" i="18"/>
  <c r="C4329" i="18"/>
  <c r="G4329" i="18"/>
  <c r="H4327" i="18"/>
  <c r="J4327" i="18"/>
  <c r="N4317" i="18"/>
  <c r="D4317" i="18"/>
  <c r="G4317" i="18"/>
  <c r="D4315" i="18"/>
  <c r="D4314" i="18"/>
  <c r="M4313" i="18"/>
  <c r="D4313" i="18"/>
  <c r="D4308" i="18"/>
  <c r="G4308" i="18"/>
  <c r="C4307" i="18"/>
  <c r="G4307" i="18"/>
  <c r="N4305" i="18"/>
  <c r="M4305" i="18"/>
  <c r="L4305" i="18"/>
  <c r="J4305" i="18"/>
  <c r="I4305" i="18"/>
  <c r="H4305" i="18"/>
  <c r="N4297" i="18"/>
  <c r="D4305" i="18"/>
  <c r="K4304" i="18"/>
  <c r="D4304" i="18"/>
  <c r="K4303" i="18"/>
  <c r="D4303" i="18"/>
  <c r="K4302" i="18"/>
  <c r="D4302" i="18"/>
  <c r="K4301" i="18"/>
  <c r="D4301" i="18"/>
  <c r="K4300" i="18"/>
  <c r="D4300" i="18"/>
  <c r="D4297" i="18"/>
  <c r="G4297" i="18"/>
  <c r="H4295" i="18"/>
  <c r="D4295" i="18"/>
  <c r="D4294" i="18"/>
  <c r="D4293" i="18"/>
  <c r="D4292" i="18"/>
  <c r="D4291" i="18"/>
  <c r="D4290" i="18"/>
  <c r="D4287" i="18"/>
  <c r="G4287" i="18"/>
  <c r="C4286" i="18"/>
  <c r="G4286" i="18"/>
  <c r="D4277" i="18"/>
  <c r="D4276" i="18"/>
  <c r="D4275" i="18"/>
  <c r="D4274" i="18"/>
  <c r="D4273" i="18"/>
  <c r="D4272" i="18"/>
  <c r="D4269" i="18"/>
  <c r="G4269" i="18"/>
  <c r="H4790" i="18"/>
  <c r="J4267" i="18"/>
  <c r="I4267" i="18"/>
  <c r="D4267" i="18"/>
  <c r="K4266" i="18"/>
  <c r="D4266" i="18"/>
  <c r="K4265" i="18"/>
  <c r="D4265" i="18"/>
  <c r="K4264" i="18"/>
  <c r="D4264" i="18"/>
  <c r="D4261" i="18"/>
  <c r="G4261" i="18"/>
  <c r="H4279" i="18"/>
  <c r="C4260" i="18"/>
  <c r="G4260" i="18"/>
  <c r="H4258" i="18"/>
  <c r="K4247" i="18"/>
  <c r="D4258" i="18"/>
  <c r="D4257" i="18"/>
  <c r="D4256" i="18"/>
  <c r="D4255" i="18"/>
  <c r="D4254" i="18"/>
  <c r="D4253" i="18"/>
  <c r="D4252" i="18"/>
  <c r="D4251" i="18"/>
  <c r="D4250" i="18"/>
  <c r="D4247" i="18"/>
  <c r="G4247" i="18"/>
  <c r="C4246" i="18"/>
  <c r="G4246" i="18"/>
  <c r="D4244" i="18"/>
  <c r="D4243" i="18"/>
  <c r="D4242" i="18"/>
  <c r="D4241" i="18"/>
  <c r="D4240" i="18"/>
  <c r="D4239" i="18"/>
  <c r="D4238" i="18"/>
  <c r="D4233" i="18"/>
  <c r="G4233" i="18"/>
  <c r="D4231" i="18"/>
  <c r="D4230" i="18"/>
  <c r="D4229" i="18"/>
  <c r="D4228" i="18"/>
  <c r="D4227" i="18"/>
  <c r="D4226" i="18"/>
  <c r="D4225" i="18"/>
  <c r="D4222" i="18"/>
  <c r="G4222" i="18"/>
  <c r="D4220" i="18"/>
  <c r="D4219" i="18"/>
  <c r="D4218" i="18"/>
  <c r="D4217" i="18"/>
  <c r="D4216" i="18"/>
  <c r="D4213" i="18"/>
  <c r="G4213" i="18"/>
  <c r="D4198" i="18"/>
  <c r="G4198" i="18"/>
  <c r="D4178" i="18"/>
  <c r="G4178" i="18"/>
  <c r="H4176" i="18"/>
  <c r="K4168" i="18"/>
  <c r="D4176" i="18"/>
  <c r="D4175" i="18"/>
  <c r="D4174" i="18"/>
  <c r="D4173" i="18"/>
  <c r="D4172" i="18"/>
  <c r="D4171" i="18"/>
  <c r="D4168" i="18"/>
  <c r="G4168" i="18"/>
  <c r="C4167" i="18"/>
  <c r="G4167" i="18"/>
  <c r="J4165" i="18"/>
  <c r="K4157" i="18"/>
  <c r="D4165" i="18"/>
  <c r="D4164" i="18"/>
  <c r="D4163" i="18"/>
  <c r="D4162" i="18"/>
  <c r="D4161" i="18"/>
  <c r="D4160" i="18"/>
  <c r="D4157" i="18"/>
  <c r="G4157" i="18"/>
  <c r="J4155" i="18"/>
  <c r="I4155" i="18"/>
  <c r="D4155" i="18"/>
  <c r="K4154" i="18"/>
  <c r="D4154" i="18"/>
  <c r="K4153" i="18"/>
  <c r="D4153" i="18"/>
  <c r="K4152" i="18"/>
  <c r="D4152" i="18"/>
  <c r="K4151" i="18"/>
  <c r="D4151" i="18"/>
  <c r="K4150" i="18"/>
  <c r="D4150" i="18"/>
  <c r="D4147" i="18"/>
  <c r="G4147" i="18"/>
  <c r="C4146" i="18"/>
  <c r="G4146" i="18"/>
  <c r="J4144" i="18"/>
  <c r="K4136" i="18"/>
  <c r="D4144" i="18"/>
  <c r="D4143" i="18"/>
  <c r="D4142" i="18"/>
  <c r="D4141" i="18"/>
  <c r="D4140" i="18"/>
  <c r="D4139" i="18"/>
  <c r="D4136" i="18"/>
  <c r="G4136" i="18"/>
  <c r="D4127" i="18"/>
  <c r="D4126" i="18"/>
  <c r="I4125" i="18"/>
  <c r="H4125" i="18"/>
  <c r="D4125" i="18"/>
  <c r="D4124" i="18"/>
  <c r="D4123" i="18"/>
  <c r="D4122" i="18"/>
  <c r="D4121" i="18"/>
  <c r="D4118" i="18"/>
  <c r="G4118" i="18"/>
  <c r="C4117" i="18"/>
  <c r="G4117" i="18"/>
  <c r="D4107" i="18"/>
  <c r="G4107" i="18"/>
  <c r="H4129" i="18"/>
  <c r="C4106" i="18"/>
  <c r="G4106" i="18"/>
  <c r="M4094" i="18"/>
  <c r="K4094" i="18"/>
  <c r="I4094" i="18"/>
  <c r="N4084" i="18"/>
  <c r="D4094" i="18"/>
  <c r="O4093" i="18"/>
  <c r="N4093" i="18"/>
  <c r="D4093" i="18"/>
  <c r="O4092" i="18"/>
  <c r="N4092" i="18"/>
  <c r="D4092" i="18"/>
  <c r="O4091" i="18"/>
  <c r="N4091" i="18"/>
  <c r="D4091" i="18"/>
  <c r="O4090" i="18"/>
  <c r="N4090" i="18"/>
  <c r="D4090" i="18"/>
  <c r="O4089" i="18"/>
  <c r="N4089" i="18"/>
  <c r="D4089" i="18"/>
  <c r="D4084" i="18"/>
  <c r="G4084" i="18"/>
  <c r="D4082" i="18"/>
  <c r="L4081" i="18"/>
  <c r="D4081" i="18"/>
  <c r="L4080" i="18"/>
  <c r="D4080" i="18"/>
  <c r="L4079" i="18"/>
  <c r="D4079" i="18"/>
  <c r="L4078" i="18"/>
  <c r="D4078" i="18"/>
  <c r="L4077" i="18"/>
  <c r="D4077" i="18"/>
  <c r="K4074" i="18"/>
  <c r="D4074" i="18"/>
  <c r="G4074" i="18"/>
  <c r="D4072" i="18"/>
  <c r="Q4071" i="18"/>
  <c r="D4071" i="18"/>
  <c r="P4070" i="18"/>
  <c r="P4072" i="18"/>
  <c r="O4070" i="18"/>
  <c r="O4072" i="18"/>
  <c r="N4070" i="18"/>
  <c r="N4072" i="18"/>
  <c r="M4070" i="18"/>
  <c r="M4072" i="18"/>
  <c r="L4070" i="18"/>
  <c r="K4070" i="18"/>
  <c r="K4072" i="18"/>
  <c r="H4070" i="18"/>
  <c r="H4072" i="18"/>
  <c r="D4070" i="18"/>
  <c r="Q4069" i="18"/>
  <c r="D4069" i="18"/>
  <c r="Q4068" i="18"/>
  <c r="D4068" i="18"/>
  <c r="Q4067" i="18"/>
  <c r="D4067" i="18"/>
  <c r="Q4066" i="18"/>
  <c r="D4066" i="18"/>
  <c r="Q4065" i="18"/>
  <c r="D4065" i="18"/>
  <c r="D4064" i="18"/>
  <c r="D4061" i="18"/>
  <c r="G4061" i="18"/>
  <c r="D4051" i="18"/>
  <c r="G4051" i="18"/>
  <c r="C4050" i="18"/>
  <c r="G4050" i="18"/>
  <c r="K4038" i="18"/>
  <c r="H4038" i="18"/>
  <c r="K4030" i="18"/>
  <c r="D4038" i="18"/>
  <c r="D4037" i="18"/>
  <c r="D4036" i="18"/>
  <c r="D4035" i="18"/>
  <c r="D4034" i="18"/>
  <c r="D4033" i="18"/>
  <c r="D4030" i="18"/>
  <c r="G4030" i="18"/>
  <c r="K4028" i="18"/>
  <c r="H4028" i="18"/>
  <c r="K4020" i="18"/>
  <c r="D4028" i="18"/>
  <c r="D4027" i="18"/>
  <c r="D4026" i="18"/>
  <c r="D4025" i="18"/>
  <c r="D4024" i="18"/>
  <c r="D4023" i="18"/>
  <c r="D4020" i="18"/>
  <c r="G4020" i="18"/>
  <c r="K4018" i="18"/>
  <c r="H4018" i="18"/>
  <c r="K4010" i="18"/>
  <c r="D4018" i="18"/>
  <c r="D4017" i="18"/>
  <c r="D4016" i="18"/>
  <c r="D4015" i="18"/>
  <c r="D4014" i="18"/>
  <c r="D4013" i="18"/>
  <c r="D4010" i="18"/>
  <c r="G4010" i="18"/>
  <c r="J4048" i="18"/>
  <c r="K4040" i="18"/>
  <c r="D4048" i="18"/>
  <c r="D4047" i="18"/>
  <c r="D4046" i="18"/>
  <c r="D4045" i="18"/>
  <c r="D4044" i="18"/>
  <c r="D4043" i="18"/>
  <c r="N4040" i="18"/>
  <c r="D4040" i="18"/>
  <c r="G4040" i="18"/>
  <c r="D3997" i="18"/>
  <c r="G3997" i="18"/>
  <c r="C3996" i="18"/>
  <c r="G3996" i="18"/>
  <c r="G3990" i="18"/>
  <c r="P3987" i="18"/>
  <c r="O3987" i="18"/>
  <c r="N3987" i="18"/>
  <c r="M3987" i="18"/>
  <c r="K3987" i="18"/>
  <c r="H3987" i="18"/>
  <c r="D3987" i="18"/>
  <c r="Q3986" i="18"/>
  <c r="D3986" i="18"/>
  <c r="Q3985" i="18"/>
  <c r="D3985" i="18"/>
  <c r="Q3984" i="18"/>
  <c r="D3984" i="18"/>
  <c r="Q3983" i="18"/>
  <c r="D3983" i="18"/>
  <c r="Q3982" i="18"/>
  <c r="D3982" i="18"/>
  <c r="D3979" i="18"/>
  <c r="G3979" i="18"/>
  <c r="H3977" i="18"/>
  <c r="K3968" i="18"/>
  <c r="D3977" i="18"/>
  <c r="D3976" i="18"/>
  <c r="D3975" i="18"/>
  <c r="D3974" i="18"/>
  <c r="D3973" i="18"/>
  <c r="D3972" i="18"/>
  <c r="D3971" i="18"/>
  <c r="D3968" i="18"/>
  <c r="G3968" i="18"/>
  <c r="H3989" i="18"/>
  <c r="C3967" i="18"/>
  <c r="G3967" i="18"/>
  <c r="I3965" i="18"/>
  <c r="N3957" i="18"/>
  <c r="H3965" i="18"/>
  <c r="K3957" i="18"/>
  <c r="D3965" i="18"/>
  <c r="D3964" i="18"/>
  <c r="D3963" i="18"/>
  <c r="D3962" i="18"/>
  <c r="D3961" i="18"/>
  <c r="D3960" i="18"/>
  <c r="D3957" i="18"/>
  <c r="G3957" i="18"/>
  <c r="P3955" i="18"/>
  <c r="O3955" i="18"/>
  <c r="N3955" i="18"/>
  <c r="M3955" i="18"/>
  <c r="L3955" i="18"/>
  <c r="N3947" i="18"/>
  <c r="K3955" i="18"/>
  <c r="H3955" i="18"/>
  <c r="D3955" i="18"/>
  <c r="Q3954" i="18"/>
  <c r="D3954" i="18"/>
  <c r="Q3953" i="18"/>
  <c r="D3953" i="18"/>
  <c r="Q3952" i="18"/>
  <c r="D3952" i="18"/>
  <c r="Q3951" i="18"/>
  <c r="D3951" i="18"/>
  <c r="Q3950" i="18"/>
  <c r="D3950" i="18"/>
  <c r="D3947" i="18"/>
  <c r="G3947" i="18"/>
  <c r="I3945" i="18"/>
  <c r="N3937" i="18"/>
  <c r="H3945" i="18"/>
  <c r="K3937" i="18"/>
  <c r="D3945" i="18"/>
  <c r="D3944" i="18"/>
  <c r="D3943" i="18"/>
  <c r="D3942" i="18"/>
  <c r="D3941" i="18"/>
  <c r="D3940" i="18"/>
  <c r="D3937" i="18"/>
  <c r="G3937" i="18"/>
  <c r="H3935" i="18"/>
  <c r="K3927" i="18"/>
  <c r="D3935" i="18"/>
  <c r="D3934" i="18"/>
  <c r="D3933" i="18"/>
  <c r="D3932" i="18"/>
  <c r="D3931" i="18"/>
  <c r="D3930" i="18"/>
  <c r="D3927" i="18"/>
  <c r="G3927" i="18"/>
  <c r="C3926" i="18"/>
  <c r="G3926" i="18"/>
  <c r="H3924" i="18"/>
  <c r="D3924" i="18"/>
  <c r="D3923" i="18"/>
  <c r="D3922" i="18"/>
  <c r="D3921" i="18"/>
  <c r="D3920" i="18"/>
  <c r="D3919" i="18"/>
  <c r="D3916" i="18"/>
  <c r="G3916" i="18"/>
  <c r="C3915" i="18"/>
  <c r="G3915" i="18"/>
  <c r="D3913" i="18"/>
  <c r="H3912" i="18"/>
  <c r="D3912" i="18"/>
  <c r="D3911" i="18"/>
  <c r="D3910" i="18"/>
  <c r="D3909" i="18"/>
  <c r="D3908" i="18"/>
  <c r="D3907" i="18"/>
  <c r="D3906" i="18"/>
  <c r="H3905" i="18"/>
  <c r="D3905" i="18"/>
  <c r="D3904" i="18"/>
  <c r="D3903" i="18"/>
  <c r="D3902" i="18"/>
  <c r="D3901" i="18"/>
  <c r="D3900" i="18"/>
  <c r="D3899" i="18"/>
  <c r="D3896" i="18"/>
  <c r="G3896" i="18"/>
  <c r="I3894" i="18"/>
  <c r="H3894" i="18"/>
  <c r="D3894" i="18"/>
  <c r="D3893" i="18"/>
  <c r="D3892" i="18"/>
  <c r="D3891" i="18"/>
  <c r="D3890" i="18"/>
  <c r="D3889" i="18"/>
  <c r="D3886" i="18"/>
  <c r="G3886" i="18"/>
  <c r="J3884" i="18"/>
  <c r="Q3876" i="18"/>
  <c r="D3884" i="18"/>
  <c r="D3883" i="18"/>
  <c r="D3882" i="18"/>
  <c r="D3881" i="18"/>
  <c r="D3880" i="18"/>
  <c r="D3879" i="18"/>
  <c r="D3876" i="18"/>
  <c r="G3876" i="18"/>
  <c r="H3874" i="18"/>
  <c r="K3866" i="18"/>
  <c r="D3874" i="18"/>
  <c r="D3873" i="18"/>
  <c r="D3872" i="18"/>
  <c r="D3871" i="18"/>
  <c r="D3870" i="18"/>
  <c r="D3869" i="18"/>
  <c r="D3866" i="18"/>
  <c r="G3866" i="18"/>
  <c r="H3864" i="18"/>
  <c r="Q3856" i="18"/>
  <c r="D3864" i="18"/>
  <c r="D3863" i="18"/>
  <c r="D3862" i="18"/>
  <c r="D3861" i="18"/>
  <c r="D3860" i="18"/>
  <c r="D3859" i="18"/>
  <c r="D3856" i="18"/>
  <c r="G3856" i="18"/>
  <c r="I3847" i="18"/>
  <c r="N3839" i="18"/>
  <c r="H3847" i="18"/>
  <c r="K3839" i="18"/>
  <c r="D3847" i="18"/>
  <c r="D3846" i="18"/>
  <c r="D3845" i="18"/>
  <c r="D3844" i="18"/>
  <c r="D3843" i="18"/>
  <c r="D3842" i="18"/>
  <c r="D3839" i="18"/>
  <c r="G3839" i="18"/>
  <c r="H3837" i="18"/>
  <c r="D3837" i="18"/>
  <c r="D3836" i="18"/>
  <c r="D3835" i="18"/>
  <c r="D3834" i="18"/>
  <c r="D3833" i="18"/>
  <c r="D3832" i="18"/>
  <c r="D3829" i="18"/>
  <c r="G3829" i="18"/>
  <c r="H3849" i="18"/>
  <c r="C3828" i="18"/>
  <c r="G3828" i="18"/>
  <c r="H3826" i="18"/>
  <c r="Q3818" i="18"/>
  <c r="D3826" i="18"/>
  <c r="D3825" i="18"/>
  <c r="D3824" i="18"/>
  <c r="D3823" i="18"/>
  <c r="D3822" i="18"/>
  <c r="D3821" i="18"/>
  <c r="D3818" i="18"/>
  <c r="G3818" i="18"/>
  <c r="D3801" i="18"/>
  <c r="G3801" i="18"/>
  <c r="C3800" i="18"/>
  <c r="G3800" i="18"/>
  <c r="H3798" i="18"/>
  <c r="Q3790" i="18"/>
  <c r="D3798" i="18"/>
  <c r="D3797" i="18"/>
  <c r="D3796" i="18"/>
  <c r="D3795" i="18"/>
  <c r="D3794" i="18"/>
  <c r="D3793" i="18"/>
  <c r="D3790" i="18"/>
  <c r="G3790" i="18"/>
  <c r="D3770" i="18"/>
  <c r="G3770" i="18"/>
  <c r="C3769" i="18"/>
  <c r="G3769" i="18"/>
  <c r="K3760" i="18"/>
  <c r="D3760" i="18"/>
  <c r="G3760" i="18"/>
  <c r="C3759" i="18"/>
  <c r="G3759" i="18"/>
  <c r="K3757" i="18"/>
  <c r="K3746" i="18"/>
  <c r="J3757" i="18"/>
  <c r="I3757" i="18"/>
  <c r="H3757" i="18"/>
  <c r="N3746" i="18"/>
  <c r="D3757" i="18"/>
  <c r="D3756" i="18"/>
  <c r="D3755" i="18"/>
  <c r="D3754" i="18"/>
  <c r="D3753" i="18"/>
  <c r="D3752" i="18"/>
  <c r="D3751" i="18"/>
  <c r="D3750" i="18"/>
  <c r="D3749" i="18"/>
  <c r="D3746" i="18"/>
  <c r="G3746" i="18"/>
  <c r="K3727" i="18"/>
  <c r="D3727" i="18"/>
  <c r="G3727" i="18"/>
  <c r="C3726" i="18"/>
  <c r="G3726" i="18"/>
  <c r="H3724" i="18"/>
  <c r="D3724" i="18"/>
  <c r="D3723" i="18"/>
  <c r="D3722" i="18"/>
  <c r="D3721" i="18"/>
  <c r="D3720" i="18"/>
  <c r="D3719" i="18"/>
  <c r="D3718" i="18"/>
  <c r="D3717" i="18"/>
  <c r="D3716" i="18"/>
  <c r="N3713" i="18"/>
  <c r="K3713" i="18"/>
  <c r="D3713" i="18"/>
  <c r="G3713" i="18"/>
  <c r="D3711" i="18"/>
  <c r="K3710" i="18"/>
  <c r="D3710" i="18"/>
  <c r="J3709" i="18"/>
  <c r="I3709" i="18"/>
  <c r="H3709" i="18"/>
  <c r="D3709" i="18"/>
  <c r="K3708" i="18"/>
  <c r="D3708" i="18"/>
  <c r="K3707" i="18"/>
  <c r="D3707" i="18"/>
  <c r="K3706" i="18"/>
  <c r="D3706" i="18"/>
  <c r="K3705" i="18"/>
  <c r="D3705" i="18"/>
  <c r="J3704" i="18"/>
  <c r="I3704" i="18"/>
  <c r="H3704" i="18"/>
  <c r="D3704" i="18"/>
  <c r="K3703" i="18"/>
  <c r="D3703" i="18"/>
  <c r="K3702" i="18"/>
  <c r="D3702" i="18"/>
  <c r="K3701" i="18"/>
  <c r="D3701" i="18"/>
  <c r="K3700" i="18"/>
  <c r="D3700" i="18"/>
  <c r="K3699" i="18"/>
  <c r="D3699" i="18"/>
  <c r="K3698" i="18"/>
  <c r="D3698" i="18"/>
  <c r="J3697" i="18"/>
  <c r="I3697" i="18"/>
  <c r="I3711" i="18"/>
  <c r="H3697" i="18"/>
  <c r="D3697" i="18"/>
  <c r="K3696" i="18"/>
  <c r="D3696" i="18"/>
  <c r="K3695" i="18"/>
  <c r="D3695" i="18"/>
  <c r="K3694" i="18"/>
  <c r="D3694" i="18"/>
  <c r="K3693" i="18"/>
  <c r="D3693" i="18"/>
  <c r="K3692" i="18"/>
  <c r="D3692" i="18"/>
  <c r="K3691" i="18"/>
  <c r="D3691" i="18"/>
  <c r="K3690" i="18"/>
  <c r="D3690" i="18"/>
  <c r="K3689" i="18"/>
  <c r="D3689" i="18"/>
  <c r="K3688" i="18"/>
  <c r="D3688" i="18"/>
  <c r="D3687" i="18"/>
  <c r="K3686" i="18"/>
  <c r="D3686" i="18"/>
  <c r="K3685" i="18"/>
  <c r="D3685" i="18"/>
  <c r="K3684" i="18"/>
  <c r="D3684" i="18"/>
  <c r="D3681" i="18"/>
  <c r="G3681" i="18"/>
  <c r="K3671" i="18"/>
  <c r="K3669" i="18"/>
  <c r="K3668" i="18"/>
  <c r="K3665" i="18"/>
  <c r="K3664" i="18"/>
  <c r="K3663" i="18"/>
  <c r="K3662" i="18"/>
  <c r="K3661" i="18"/>
  <c r="D3657" i="18"/>
  <c r="G3657" i="18"/>
  <c r="D3648" i="18"/>
  <c r="K3647" i="18"/>
  <c r="D3647" i="18"/>
  <c r="K3646" i="18"/>
  <c r="D3646" i="18"/>
  <c r="K3645" i="18"/>
  <c r="D3645" i="18"/>
  <c r="K3644" i="18"/>
  <c r="D3644" i="18"/>
  <c r="K3643" i="18"/>
  <c r="D3643" i="18"/>
  <c r="K3642" i="18"/>
  <c r="D3642" i="18"/>
  <c r="K3641" i="18"/>
  <c r="D3641" i="18"/>
  <c r="J3640" i="18"/>
  <c r="J3648" i="18"/>
  <c r="J3652" i="18"/>
  <c r="I3640" i="18"/>
  <c r="I3648" i="18" s="1"/>
  <c r="I3652" i="18" s="1"/>
  <c r="H3640" i="18"/>
  <c r="H3648" i="18" s="1"/>
  <c r="D3640" i="18"/>
  <c r="K3639" i="18"/>
  <c r="D3639" i="18"/>
  <c r="K3638" i="18"/>
  <c r="D3638" i="18"/>
  <c r="K3637" i="18"/>
  <c r="D3637" i="18"/>
  <c r="K3636" i="18"/>
  <c r="D3636" i="18"/>
  <c r="K3635" i="18"/>
  <c r="D3635" i="18"/>
  <c r="K3634" i="18"/>
  <c r="K3640" i="18" s="1"/>
  <c r="D3634" i="18"/>
  <c r="D3633" i="18"/>
  <c r="K3632" i="18"/>
  <c r="D3632" i="18"/>
  <c r="K3631" i="18"/>
  <c r="D3631" i="18"/>
  <c r="D3628" i="18"/>
  <c r="G3628" i="18"/>
  <c r="J3626" i="18"/>
  <c r="I3626" i="18"/>
  <c r="D3626" i="18"/>
  <c r="K3625" i="18"/>
  <c r="D3625" i="18"/>
  <c r="K3624" i="18"/>
  <c r="D3624" i="18"/>
  <c r="K3623" i="18"/>
  <c r="D3623" i="18"/>
  <c r="K3622" i="18"/>
  <c r="D3622" i="18"/>
  <c r="K3621" i="18"/>
  <c r="K3626" i="18" s="1"/>
  <c r="D3621" i="18"/>
  <c r="D3618" i="18"/>
  <c r="G3618" i="18"/>
  <c r="C3617" i="18"/>
  <c r="G3617" i="18"/>
  <c r="D3615" i="18"/>
  <c r="H3614" i="18"/>
  <c r="D3614" i="18"/>
  <c r="D3613" i="18"/>
  <c r="D3612" i="18"/>
  <c r="D3611" i="18"/>
  <c r="D3610" i="18"/>
  <c r="D3609" i="18"/>
  <c r="D3608" i="18"/>
  <c r="H3607" i="18"/>
  <c r="D3607" i="18"/>
  <c r="D3606" i="18"/>
  <c r="D3605" i="18"/>
  <c r="D3604" i="18"/>
  <c r="D3603" i="18"/>
  <c r="D3602" i="18"/>
  <c r="D3601" i="18"/>
  <c r="D3598" i="18"/>
  <c r="G3598" i="18"/>
  <c r="I3596" i="18"/>
  <c r="H3596" i="18"/>
  <c r="D3596" i="18"/>
  <c r="D3595" i="18"/>
  <c r="D3594" i="18"/>
  <c r="D3593" i="18"/>
  <c r="D3592" i="18"/>
  <c r="D3591" i="18"/>
  <c r="D3588" i="18"/>
  <c r="G3588" i="18"/>
  <c r="I3586" i="18"/>
  <c r="N3578" i="18"/>
  <c r="H3586" i="18"/>
  <c r="K3578" i="18"/>
  <c r="D3586" i="18"/>
  <c r="D3585" i="18"/>
  <c r="D3584" i="18"/>
  <c r="D3583" i="18"/>
  <c r="D3582" i="18"/>
  <c r="D3581" i="18"/>
  <c r="D3578" i="18"/>
  <c r="G3578" i="18"/>
  <c r="H3576" i="18"/>
  <c r="Q3568" i="18"/>
  <c r="D3576" i="18"/>
  <c r="D3575" i="18"/>
  <c r="D3574" i="18"/>
  <c r="D3573" i="18"/>
  <c r="D3572" i="18"/>
  <c r="D3571" i="18"/>
  <c r="D3568" i="18"/>
  <c r="G3568" i="18"/>
  <c r="H3566" i="18"/>
  <c r="Q3558" i="18"/>
  <c r="D3566" i="18"/>
  <c r="D3565" i="18"/>
  <c r="D3564" i="18"/>
  <c r="D3563" i="18"/>
  <c r="D3562" i="18"/>
  <c r="D3561" i="18"/>
  <c r="D3558" i="18"/>
  <c r="G3558" i="18"/>
  <c r="I3549" i="18"/>
  <c r="H3549" i="18"/>
  <c r="D3549" i="18"/>
  <c r="D3548" i="18"/>
  <c r="D3547" i="18"/>
  <c r="D3546" i="18"/>
  <c r="D3545" i="18"/>
  <c r="D3544" i="18"/>
  <c r="D3541" i="18"/>
  <c r="G3541" i="18"/>
  <c r="H3539" i="18"/>
  <c r="D3539" i="18"/>
  <c r="D3538" i="18"/>
  <c r="D3537" i="18"/>
  <c r="D3536" i="18"/>
  <c r="D3535" i="18"/>
  <c r="D3534" i="18"/>
  <c r="D3531" i="18"/>
  <c r="G3531" i="18"/>
  <c r="H3551" i="18"/>
  <c r="C3530" i="18"/>
  <c r="G3530" i="18"/>
  <c r="D3528" i="18"/>
  <c r="H3527" i="18"/>
  <c r="D3527" i="18"/>
  <c r="D3526" i="18"/>
  <c r="D3525" i="18"/>
  <c r="D3524" i="18"/>
  <c r="D3523" i="18"/>
  <c r="D3522" i="18"/>
  <c r="D3521" i="18"/>
  <c r="H3520" i="18"/>
  <c r="D3520" i="18"/>
  <c r="D3519" i="18"/>
  <c r="D3518" i="18"/>
  <c r="D3517" i="18"/>
  <c r="D3516" i="18"/>
  <c r="D3515" i="18"/>
  <c r="D3514" i="18"/>
  <c r="D3511" i="18"/>
  <c r="G3511" i="18"/>
  <c r="H3509" i="18"/>
  <c r="K3501" i="18"/>
  <c r="D3509" i="18"/>
  <c r="D3508" i="18"/>
  <c r="D3507" i="18"/>
  <c r="D3506" i="18"/>
  <c r="D3505" i="18"/>
  <c r="D3504" i="18"/>
  <c r="D3501" i="18"/>
  <c r="G3501" i="18"/>
  <c r="I3499" i="18"/>
  <c r="H3499" i="18"/>
  <c r="D3499" i="18"/>
  <c r="D3498" i="18"/>
  <c r="D3497" i="18"/>
  <c r="D3496" i="18"/>
  <c r="D3495" i="18"/>
  <c r="D3494" i="18"/>
  <c r="D3491" i="18"/>
  <c r="G3491" i="18"/>
  <c r="J3489" i="18"/>
  <c r="K3481" i="18"/>
  <c r="D3489" i="18"/>
  <c r="D3488" i="18"/>
  <c r="D3487" i="18"/>
  <c r="D3486" i="18"/>
  <c r="D3485" i="18"/>
  <c r="D3484" i="18"/>
  <c r="D3481" i="18"/>
  <c r="G3481" i="18"/>
  <c r="H3479" i="18"/>
  <c r="Q3471" i="18"/>
  <c r="D3479" i="18"/>
  <c r="D3478" i="18"/>
  <c r="D3477" i="18"/>
  <c r="D3476" i="18"/>
  <c r="D3475" i="18"/>
  <c r="D3474" i="18"/>
  <c r="D3471" i="18"/>
  <c r="G3471" i="18"/>
  <c r="I3462" i="18"/>
  <c r="H3462" i="18"/>
  <c r="D3462" i="18"/>
  <c r="D3461" i="18"/>
  <c r="D3460" i="18"/>
  <c r="D3459" i="18"/>
  <c r="D3458" i="18"/>
  <c r="D3457" i="18"/>
  <c r="D3454" i="18"/>
  <c r="G3454" i="18"/>
  <c r="H3452" i="18"/>
  <c r="K3443" i="18"/>
  <c r="D3452" i="18"/>
  <c r="D3451" i="18"/>
  <c r="D3450" i="18"/>
  <c r="D3449" i="18"/>
  <c r="D3448" i="18"/>
  <c r="D3447" i="18"/>
  <c r="D3446" i="18"/>
  <c r="D3443" i="18"/>
  <c r="G3443" i="18"/>
  <c r="H3464" i="18"/>
  <c r="C3442" i="18"/>
  <c r="G3442" i="18"/>
  <c r="H3439" i="18"/>
  <c r="K3432" i="18"/>
  <c r="D3439" i="18"/>
  <c r="D3438" i="18"/>
  <c r="D3437" i="18"/>
  <c r="D3436" i="18"/>
  <c r="D3435" i="18"/>
  <c r="D3432" i="18"/>
  <c r="G3432" i="18"/>
  <c r="C3431" i="18"/>
  <c r="G3431" i="18"/>
  <c r="H3429" i="18"/>
  <c r="K3421" i="18"/>
  <c r="D3429" i="18"/>
  <c r="D3428" i="18"/>
  <c r="D3427" i="18"/>
  <c r="D3426" i="18"/>
  <c r="D3425" i="18"/>
  <c r="D3424" i="18"/>
  <c r="D3421" i="18"/>
  <c r="G3421" i="18"/>
  <c r="C3420" i="18"/>
  <c r="G3420" i="18"/>
  <c r="D3418" i="18"/>
  <c r="D3417" i="18"/>
  <c r="D3416" i="18"/>
  <c r="D3415" i="18"/>
  <c r="D3414" i="18"/>
  <c r="D3413" i="18"/>
  <c r="D3412" i="18"/>
  <c r="K3409" i="18"/>
  <c r="D3409" i="18"/>
  <c r="G3409" i="18"/>
  <c r="C3408" i="18"/>
  <c r="G3408" i="18"/>
  <c r="J3405" i="18"/>
  <c r="I3405" i="18"/>
  <c r="N3394" i="18"/>
  <c r="H3405" i="18"/>
  <c r="K3394" i="18"/>
  <c r="D3405" i="18"/>
  <c r="D3404" i="18"/>
  <c r="D3403" i="18"/>
  <c r="D3402" i="18"/>
  <c r="D3401" i="18"/>
  <c r="D3400" i="18"/>
  <c r="D3399" i="18"/>
  <c r="D3398" i="18"/>
  <c r="D3397" i="18"/>
  <c r="D3394" i="18"/>
  <c r="G3394" i="18"/>
  <c r="J3392" i="18"/>
  <c r="I3392" i="18"/>
  <c r="N3381" i="18"/>
  <c r="D3392" i="18"/>
  <c r="D3391" i="18"/>
  <c r="D3390" i="18"/>
  <c r="D3389" i="18"/>
  <c r="D3388" i="18"/>
  <c r="D3387" i="18"/>
  <c r="D3386" i="18"/>
  <c r="D3385" i="18"/>
  <c r="D3384" i="18"/>
  <c r="D3381" i="18"/>
  <c r="G3381" i="18"/>
  <c r="C3380" i="18"/>
  <c r="G3380" i="18"/>
  <c r="J3378" i="18"/>
  <c r="K3370" i="18"/>
  <c r="D3378" i="18"/>
  <c r="D3377" i="18"/>
  <c r="D3376" i="18"/>
  <c r="D3375" i="18"/>
  <c r="D3374" i="18"/>
  <c r="D3373" i="18"/>
  <c r="N3370" i="18"/>
  <c r="D3370" i="18"/>
  <c r="G3370" i="18"/>
  <c r="H3367" i="18"/>
  <c r="Q3359" i="18"/>
  <c r="D3367" i="18"/>
  <c r="D3366" i="18"/>
  <c r="D3365" i="18"/>
  <c r="D3364" i="18"/>
  <c r="D3363" i="18"/>
  <c r="D3362" i="18"/>
  <c r="D3359" i="18"/>
  <c r="G3359" i="18"/>
  <c r="H3357" i="18"/>
  <c r="K3349" i="18"/>
  <c r="D3357" i="18"/>
  <c r="D3356" i="18"/>
  <c r="D3355" i="18"/>
  <c r="D3354" i="18"/>
  <c r="D3353" i="18"/>
  <c r="D3352" i="18"/>
  <c r="D3349" i="18"/>
  <c r="G3349" i="18"/>
  <c r="H3347" i="18"/>
  <c r="K3339" i="18"/>
  <c r="D3347" i="18"/>
  <c r="D3346" i="18"/>
  <c r="D3345" i="18"/>
  <c r="D3344" i="18"/>
  <c r="D3343" i="18"/>
  <c r="D3342" i="18"/>
  <c r="D3339" i="18"/>
  <c r="G3339" i="18"/>
  <c r="H3337" i="18"/>
  <c r="K3329" i="18"/>
  <c r="D3337" i="18"/>
  <c r="D3336" i="18"/>
  <c r="D3335" i="18"/>
  <c r="D3334" i="18"/>
  <c r="D3333" i="18"/>
  <c r="D3332" i="18"/>
  <c r="D3329" i="18"/>
  <c r="G3329" i="18"/>
  <c r="H3327" i="18"/>
  <c r="K3319" i="18"/>
  <c r="D3327" i="18"/>
  <c r="D3326" i="18"/>
  <c r="D3325" i="18"/>
  <c r="D3324" i="18"/>
  <c r="D3323" i="18"/>
  <c r="D3322" i="18"/>
  <c r="D3319" i="18"/>
  <c r="G3319" i="18"/>
  <c r="C3318" i="18"/>
  <c r="G3318" i="18"/>
  <c r="H3316" i="18"/>
  <c r="D3316" i="18"/>
  <c r="D3315" i="18"/>
  <c r="D3314" i="18"/>
  <c r="D3313" i="18"/>
  <c r="D3312" i="18"/>
  <c r="D3311" i="18"/>
  <c r="D3310" i="18"/>
  <c r="D3309" i="18"/>
  <c r="D3306" i="18"/>
  <c r="G3306" i="18"/>
  <c r="C3305" i="18"/>
  <c r="G3305" i="18"/>
  <c r="G3299" i="18"/>
  <c r="H3296" i="18"/>
  <c r="D3296" i="18"/>
  <c r="D3295" i="18"/>
  <c r="D3294" i="18"/>
  <c r="D3293" i="18"/>
  <c r="D3292" i="18"/>
  <c r="D3291" i="18"/>
  <c r="D3290" i="18"/>
  <c r="D3289" i="18"/>
  <c r="D3286" i="18"/>
  <c r="G3286" i="18"/>
  <c r="H3284" i="18"/>
  <c r="D3284" i="18"/>
  <c r="D3283" i="18"/>
  <c r="D3282" i="18"/>
  <c r="D3281" i="18"/>
  <c r="D3280" i="18"/>
  <c r="D3279" i="18"/>
  <c r="D3276" i="18"/>
  <c r="G3276" i="18"/>
  <c r="H3298" i="18"/>
  <c r="D3274" i="18"/>
  <c r="D3273" i="18"/>
  <c r="D3272" i="18"/>
  <c r="Q3269" i="18"/>
  <c r="D3269" i="18"/>
  <c r="G3269" i="18"/>
  <c r="K3267" i="18"/>
  <c r="J3267" i="18"/>
  <c r="I3267" i="18"/>
  <c r="K3256" i="18"/>
  <c r="H3267" i="18"/>
  <c r="D3267" i="18"/>
  <c r="D3266" i="18"/>
  <c r="D3265" i="18"/>
  <c r="D3264" i="18"/>
  <c r="D3263" i="18"/>
  <c r="D3262" i="18"/>
  <c r="D3261" i="18"/>
  <c r="D3256" i="18"/>
  <c r="G3256" i="18"/>
  <c r="K3254" i="18"/>
  <c r="N3240" i="18"/>
  <c r="J3254" i="18"/>
  <c r="I3254" i="18"/>
  <c r="H3254" i="18"/>
  <c r="D3254" i="18"/>
  <c r="D3253" i="18"/>
  <c r="D3252" i="18"/>
  <c r="D3251" i="18"/>
  <c r="D3250" i="18"/>
  <c r="D3249" i="18"/>
  <c r="D3248" i="18"/>
  <c r="D3247" i="18"/>
  <c r="D3246" i="18"/>
  <c r="D3245" i="18"/>
  <c r="K3240" i="18"/>
  <c r="D3240" i="18"/>
  <c r="G3240" i="18"/>
  <c r="C3239" i="18"/>
  <c r="G3239" i="18"/>
  <c r="C3238" i="18"/>
  <c r="G3238" i="18"/>
  <c r="C3237" i="18"/>
  <c r="G3237" i="18"/>
  <c r="H3235" i="18"/>
  <c r="D3235" i="18"/>
  <c r="D3234" i="18"/>
  <c r="D3233" i="18"/>
  <c r="D3232" i="18"/>
  <c r="D3231" i="18"/>
  <c r="D3230" i="18"/>
  <c r="D3229" i="18"/>
  <c r="D3228" i="18"/>
  <c r="D3225" i="18"/>
  <c r="G3225" i="18"/>
  <c r="K3223" i="18"/>
  <c r="J3223" i="18"/>
  <c r="I3223" i="18"/>
  <c r="H3223" i="18"/>
  <c r="N3213" i="18"/>
  <c r="D3223" i="18"/>
  <c r="L3222" i="18"/>
  <c r="D3222" i="18"/>
  <c r="L3221" i="18"/>
  <c r="D3221" i="18"/>
  <c r="L3220" i="18"/>
  <c r="D3220" i="18"/>
  <c r="L3219" i="18"/>
  <c r="D3219" i="18"/>
  <c r="L3218" i="18"/>
  <c r="L3223" i="18" s="1"/>
  <c r="Q3213" i="18" s="1"/>
  <c r="D3218" i="18"/>
  <c r="D3213" i="18"/>
  <c r="G3213" i="18"/>
  <c r="C3212" i="18"/>
  <c r="G3212" i="18"/>
  <c r="L3210" i="18"/>
  <c r="K3210" i="18"/>
  <c r="J3210" i="18"/>
  <c r="I3210" i="18"/>
  <c r="H3210" i="18"/>
  <c r="N3200" i="18"/>
  <c r="D3210" i="18"/>
  <c r="M3209" i="18"/>
  <c r="D3209" i="18"/>
  <c r="M3208" i="18"/>
  <c r="D3208" i="18"/>
  <c r="M3207" i="18"/>
  <c r="D3207" i="18"/>
  <c r="M3206" i="18"/>
  <c r="D3206" i="18"/>
  <c r="M3205" i="18"/>
  <c r="D3205" i="18"/>
  <c r="D3200" i="18"/>
  <c r="G3200" i="18"/>
  <c r="L3198" i="18"/>
  <c r="K3198" i="18"/>
  <c r="J3198" i="18"/>
  <c r="I3198" i="18"/>
  <c r="H3198" i="18"/>
  <c r="D3198" i="18"/>
  <c r="M3197" i="18"/>
  <c r="D3197" i="18"/>
  <c r="M3196" i="18"/>
  <c r="D3196" i="18"/>
  <c r="M3195" i="18"/>
  <c r="D3195" i="18"/>
  <c r="M3194" i="18"/>
  <c r="D3194" i="18"/>
  <c r="M3193" i="18"/>
  <c r="D3193" i="18"/>
  <c r="D3188" i="18"/>
  <c r="G3188" i="18"/>
  <c r="C3187" i="18"/>
  <c r="G3187" i="18"/>
  <c r="L3185" i="18"/>
  <c r="K3185" i="18"/>
  <c r="J3185" i="18"/>
  <c r="I3185" i="18"/>
  <c r="H3185" i="18"/>
  <c r="N3175" i="18"/>
  <c r="D3185" i="18"/>
  <c r="M3184" i="18"/>
  <c r="D3184" i="18"/>
  <c r="M3183" i="18"/>
  <c r="D3183" i="18"/>
  <c r="M3182" i="18"/>
  <c r="D3182" i="18"/>
  <c r="M3181" i="18"/>
  <c r="D3181" i="18"/>
  <c r="M3180" i="18"/>
  <c r="M3185" i="18" s="1"/>
  <c r="K3175" i="18" s="1"/>
  <c r="D3180" i="18"/>
  <c r="D3175" i="18"/>
  <c r="G3175" i="18"/>
  <c r="C3174" i="18"/>
  <c r="G3174" i="18"/>
  <c r="H3172" i="18"/>
  <c r="D3172" i="18"/>
  <c r="D3171" i="18"/>
  <c r="D3170" i="18"/>
  <c r="D3169" i="18"/>
  <c r="D3168" i="18"/>
  <c r="D3167" i="18"/>
  <c r="D3166" i="18"/>
  <c r="D3165" i="18"/>
  <c r="D3162" i="18"/>
  <c r="G3162" i="18"/>
  <c r="D3134" i="18"/>
  <c r="D3133" i="18"/>
  <c r="D3132" i="18"/>
  <c r="D3131" i="18"/>
  <c r="D3130" i="18"/>
  <c r="D3129" i="18"/>
  <c r="Q3126" i="18"/>
  <c r="D3126" i="18"/>
  <c r="G3126" i="18"/>
  <c r="H3124" i="18"/>
  <c r="K3113" i="18"/>
  <c r="D3124" i="18"/>
  <c r="D3123" i="18"/>
  <c r="D3122" i="18"/>
  <c r="D3121" i="18"/>
  <c r="D3120" i="18"/>
  <c r="D3119" i="18"/>
  <c r="D3118" i="18"/>
  <c r="D3117" i="18"/>
  <c r="D3116" i="18"/>
  <c r="D3113" i="18"/>
  <c r="G3113" i="18"/>
  <c r="P3063" i="18"/>
  <c r="P3060" i="18"/>
  <c r="P3059" i="18"/>
  <c r="P3058" i="18"/>
  <c r="P3057" i="18"/>
  <c r="P3056" i="18"/>
  <c r="P3055" i="18"/>
  <c r="P3054" i="18"/>
  <c r="P3053" i="18"/>
  <c r="P3052" i="18"/>
  <c r="P3061" i="18" s="1"/>
  <c r="P3051" i="18"/>
  <c r="P3050" i="18"/>
  <c r="P3049" i="18"/>
  <c r="D3043" i="18"/>
  <c r="G3043" i="18"/>
  <c r="C3042" i="18"/>
  <c r="G3042" i="18"/>
  <c r="N3006" i="18"/>
  <c r="K3006" i="18"/>
  <c r="D3040" i="18"/>
  <c r="D3035" i="18"/>
  <c r="D3032" i="18"/>
  <c r="D3026" i="18"/>
  <c r="D3023" i="18"/>
  <c r="D3017" i="18"/>
  <c r="D3014" i="18"/>
  <c r="D3006" i="18"/>
  <c r="G3006" i="18"/>
  <c r="C3005" i="18"/>
  <c r="G3005" i="18"/>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c r="O2937" i="18"/>
  <c r="O2936" i="18"/>
  <c r="O2934" i="18"/>
  <c r="O2933" i="18"/>
  <c r="O2931" i="18"/>
  <c r="O2930" i="18"/>
  <c r="O2928" i="18"/>
  <c r="O2927" i="18"/>
  <c r="D2920" i="18"/>
  <c r="G2920" i="18"/>
  <c r="C2919" i="18"/>
  <c r="G2919" i="18"/>
  <c r="L2917" i="18"/>
  <c r="K2917" i="18"/>
  <c r="I2917" i="18"/>
  <c r="H2917" i="18"/>
  <c r="D2917" i="18"/>
  <c r="D2916" i="18"/>
  <c r="D2915" i="18"/>
  <c r="D2914" i="18"/>
  <c r="D2913" i="18"/>
  <c r="D2908" i="18"/>
  <c r="G2908" i="18"/>
  <c r="C2907" i="18"/>
  <c r="G2907" i="18"/>
  <c r="H2905" i="18"/>
  <c r="K2897" i="18"/>
  <c r="D2905" i="18"/>
  <c r="D2904" i="18"/>
  <c r="D2903" i="18"/>
  <c r="D2902" i="18"/>
  <c r="D2901" i="18"/>
  <c r="D2900" i="18"/>
  <c r="D2897" i="18"/>
  <c r="G2897" i="18"/>
  <c r="J2888" i="18"/>
  <c r="H2888" i="18"/>
  <c r="D2888" i="18"/>
  <c r="D2887" i="18"/>
  <c r="D2886" i="18"/>
  <c r="D2885" i="18"/>
  <c r="D2884" i="18"/>
  <c r="D2883" i="18"/>
  <c r="D2882" i="18"/>
  <c r="D2881" i="18"/>
  <c r="D2880" i="18"/>
  <c r="D2877" i="18"/>
  <c r="G2877" i="18"/>
  <c r="Q2862" i="18"/>
  <c r="G2874" i="18"/>
  <c r="D2874" i="18"/>
  <c r="G2873" i="18"/>
  <c r="D2873" i="18"/>
  <c r="G2872" i="18"/>
  <c r="D2872" i="18"/>
  <c r="G2871" i="18"/>
  <c r="D2871" i="18"/>
  <c r="G2870" i="18"/>
  <c r="D2870" i="18"/>
  <c r="G2869" i="18"/>
  <c r="D2869" i="18"/>
  <c r="G2868" i="18"/>
  <c r="D2868" i="18"/>
  <c r="G2867" i="18"/>
  <c r="D2867" i="18"/>
  <c r="G2866" i="18"/>
  <c r="D2866" i="18"/>
  <c r="G2865" i="18"/>
  <c r="D2862" i="18"/>
  <c r="G2862" i="18"/>
  <c r="D2847" i="18"/>
  <c r="G2847" i="18"/>
  <c r="L2845" i="18"/>
  <c r="I2891" i="18"/>
  <c r="K2845" i="18"/>
  <c r="I2845" i="18"/>
  <c r="H2891" i="18"/>
  <c r="H2845" i="18"/>
  <c r="L2862" i="18"/>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c r="H2890" i="18"/>
  <c r="C2829" i="18"/>
  <c r="G2829" i="18"/>
  <c r="K2821" i="18"/>
  <c r="D2821" i="18"/>
  <c r="G2821" i="18"/>
  <c r="C2820" i="18"/>
  <c r="G2820" i="18"/>
  <c r="I2818" i="18"/>
  <c r="N2810" i="18"/>
  <c r="H2818" i="18"/>
  <c r="K2810" i="18"/>
  <c r="D2818" i="18"/>
  <c r="D2817" i="18"/>
  <c r="D2816" i="18"/>
  <c r="D2815" i="18"/>
  <c r="D2814" i="18"/>
  <c r="D2813" i="18"/>
  <c r="D2810" i="18"/>
  <c r="G2810" i="18"/>
  <c r="H2808" i="18"/>
  <c r="K2797" i="18"/>
  <c r="D2808" i="18"/>
  <c r="D2807" i="18"/>
  <c r="D2806" i="18"/>
  <c r="D2805" i="18"/>
  <c r="D2804" i="18"/>
  <c r="D2803" i="18"/>
  <c r="D2802" i="18"/>
  <c r="D2801" i="18"/>
  <c r="D2800" i="18"/>
  <c r="D2797" i="18"/>
  <c r="G2797" i="18"/>
  <c r="C2796" i="18"/>
  <c r="G2796" i="18"/>
  <c r="H2759" i="18"/>
  <c r="K2748" i="18"/>
  <c r="D2759" i="18"/>
  <c r="D2758" i="18"/>
  <c r="D2757" i="18"/>
  <c r="D2756" i="18"/>
  <c r="D2755" i="18"/>
  <c r="D2754" i="18"/>
  <c r="D2753" i="18"/>
  <c r="D2752" i="18"/>
  <c r="D2751" i="18"/>
  <c r="N2748" i="18"/>
  <c r="D2748" i="18"/>
  <c r="G2748" i="18"/>
  <c r="H2746" i="18"/>
  <c r="K2733" i="18"/>
  <c r="D2746" i="18"/>
  <c r="D2745" i="18"/>
  <c r="D2744" i="18"/>
  <c r="D2743" i="18"/>
  <c r="D2742" i="18"/>
  <c r="D2741" i="18"/>
  <c r="D2740" i="18"/>
  <c r="D2739" i="18"/>
  <c r="D2738" i="18"/>
  <c r="D2737" i="18"/>
  <c r="D2736" i="18"/>
  <c r="D2733" i="18"/>
  <c r="G2733" i="18"/>
  <c r="J2731" i="18"/>
  <c r="I2731" i="18"/>
  <c r="H2731" i="18"/>
  <c r="K2730" i="18"/>
  <c r="D2730" i="18"/>
  <c r="K2729" i="18"/>
  <c r="D2729" i="18"/>
  <c r="K2728" i="18"/>
  <c r="D2728" i="18"/>
  <c r="K2727" i="18"/>
  <c r="K2726" i="18"/>
  <c r="K2725" i="18"/>
  <c r="K2724" i="18"/>
  <c r="K2723" i="18"/>
  <c r="K2722" i="18"/>
  <c r="D2719" i="18"/>
  <c r="G2719" i="18"/>
  <c r="J2717" i="18"/>
  <c r="I2717" i="18"/>
  <c r="H2717" i="18"/>
  <c r="K2716" i="18"/>
  <c r="D2716" i="18"/>
  <c r="K2715" i="18"/>
  <c r="D2715" i="18"/>
  <c r="K2714" i="18"/>
  <c r="D2714" i="18"/>
  <c r="K2713" i="18"/>
  <c r="K2712" i="18"/>
  <c r="K2711" i="18"/>
  <c r="K2710" i="18"/>
  <c r="K2709" i="18"/>
  <c r="K2708" i="18"/>
  <c r="D2705" i="18"/>
  <c r="G2705" i="18"/>
  <c r="H2794" i="18"/>
  <c r="K2781" i="18"/>
  <c r="D2794" i="18"/>
  <c r="D2793" i="18"/>
  <c r="D2792" i="18"/>
  <c r="D2791" i="18"/>
  <c r="D2790" i="18"/>
  <c r="D2789" i="18"/>
  <c r="D2788" i="18"/>
  <c r="D2787" i="18"/>
  <c r="D2786" i="18"/>
  <c r="D2785" i="18"/>
  <c r="D2784" i="18"/>
  <c r="D2781" i="18"/>
  <c r="G2781" i="18"/>
  <c r="D2779" i="18"/>
  <c r="D2778" i="18"/>
  <c r="D2777" i="18"/>
  <c r="D2776" i="18"/>
  <c r="D2775" i="18"/>
  <c r="D2774" i="18"/>
  <c r="D2771" i="18"/>
  <c r="G2771" i="18"/>
  <c r="D2769" i="18"/>
  <c r="D2768" i="18"/>
  <c r="D2767" i="18"/>
  <c r="D2766" i="18"/>
  <c r="D2765" i="18"/>
  <c r="D2764" i="18"/>
  <c r="Q2761" i="18"/>
  <c r="D2761" i="18"/>
  <c r="G2761" i="18"/>
  <c r="D2648" i="18"/>
  <c r="G2648" i="18"/>
  <c r="C2647" i="18"/>
  <c r="G2647" i="18"/>
  <c r="K2639" i="18"/>
  <c r="D2639" i="18"/>
  <c r="G2639" i="18"/>
  <c r="C2638" i="18"/>
  <c r="G2638" i="18"/>
  <c r="D2636" i="18"/>
  <c r="D2635" i="18"/>
  <c r="D2634" i="18"/>
  <c r="D2633" i="18"/>
  <c r="D2632" i="18"/>
  <c r="D2631" i="18"/>
  <c r="D2628" i="18"/>
  <c r="G2628" i="18"/>
  <c r="H2626" i="18"/>
  <c r="Q2618" i="18"/>
  <c r="D2626" i="18"/>
  <c r="D2625" i="18"/>
  <c r="D2624" i="18"/>
  <c r="D2623" i="18"/>
  <c r="D2622" i="18"/>
  <c r="D2621" i="18"/>
  <c r="D2618" i="18"/>
  <c r="G2618" i="18"/>
  <c r="D2599" i="18"/>
  <c r="G2599" i="18"/>
  <c r="N2557" i="18"/>
  <c r="D2557" i="18"/>
  <c r="G2557" i="18"/>
  <c r="C2556" i="18"/>
  <c r="G2556" i="18"/>
  <c r="H2528" i="18"/>
  <c r="K2520" i="18"/>
  <c r="D2528" i="18"/>
  <c r="D2527" i="18"/>
  <c r="D2526" i="18"/>
  <c r="D2525" i="18"/>
  <c r="D2524" i="18"/>
  <c r="D2523" i="18"/>
  <c r="D2520" i="18"/>
  <c r="G2520" i="18"/>
  <c r="C2519" i="18"/>
  <c r="G2519" i="18"/>
  <c r="K2517" i="18"/>
  <c r="J2517" i="18"/>
  <c r="I2517" i="18"/>
  <c r="H2517" i="18"/>
  <c r="K2506" i="18"/>
  <c r="D2517" i="18"/>
  <c r="D2516" i="18"/>
  <c r="D2515" i="18"/>
  <c r="D2514" i="18"/>
  <c r="D2513" i="18"/>
  <c r="D2512" i="18"/>
  <c r="D2511" i="18"/>
  <c r="D2510" i="18"/>
  <c r="D2509" i="18"/>
  <c r="D2506" i="18"/>
  <c r="G2506" i="18"/>
  <c r="H2504" i="18"/>
  <c r="K2497" i="18"/>
  <c r="D2504" i="18"/>
  <c r="D2503" i="18"/>
  <c r="D2502" i="18"/>
  <c r="D2501" i="18"/>
  <c r="D2500" i="18"/>
  <c r="D2497" i="18"/>
  <c r="G2497" i="18"/>
  <c r="C2496" i="18"/>
  <c r="G2496" i="18"/>
  <c r="D2463" i="18"/>
  <c r="G2463" i="18"/>
  <c r="H2424" i="18"/>
  <c r="C2411" i="18"/>
  <c r="G2411" i="18"/>
  <c r="J2409" i="18"/>
  <c r="Q2401" i="18"/>
  <c r="D2409" i="18"/>
  <c r="D2408" i="18"/>
  <c r="D2407" i="18"/>
  <c r="D2406" i="18"/>
  <c r="D2405" i="18"/>
  <c r="D2404" i="18"/>
  <c r="D2401" i="18"/>
  <c r="G2401" i="18"/>
  <c r="J2376" i="18"/>
  <c r="I2376" i="18"/>
  <c r="K2368" i="18"/>
  <c r="D2376" i="18"/>
  <c r="D2375" i="18"/>
  <c r="D2374" i="18"/>
  <c r="D2373" i="18"/>
  <c r="D2372" i="18"/>
  <c r="D2371" i="18"/>
  <c r="D2368" i="18"/>
  <c r="G2368" i="18"/>
  <c r="I2399" i="18"/>
  <c r="N2391" i="18"/>
  <c r="H2399" i="18"/>
  <c r="K2391" i="18"/>
  <c r="D2399" i="18"/>
  <c r="D2398" i="18"/>
  <c r="D2397" i="18"/>
  <c r="D2396" i="18"/>
  <c r="D2395" i="18"/>
  <c r="D2394" i="18"/>
  <c r="D2391" i="18"/>
  <c r="G2391" i="18"/>
  <c r="J2389" i="18"/>
  <c r="I2389" i="18"/>
  <c r="D2389" i="18"/>
  <c r="D2388" i="18"/>
  <c r="D2387" i="18"/>
  <c r="D2386" i="18"/>
  <c r="D2385" i="18"/>
  <c r="D2384" i="18"/>
  <c r="D2383" i="18"/>
  <c r="D2382" i="18"/>
  <c r="D2381" i="18"/>
  <c r="K2378" i="18"/>
  <c r="D2378" i="18"/>
  <c r="G2378" i="18"/>
  <c r="M2340" i="18"/>
  <c r="L2340" i="18"/>
  <c r="K2340" i="18"/>
  <c r="I2340" i="18"/>
  <c r="H2340" i="18"/>
  <c r="D2340" i="18"/>
  <c r="D2339" i="18"/>
  <c r="D2338" i="18"/>
  <c r="D2337" i="18"/>
  <c r="D2336" i="18"/>
  <c r="D2335" i="18"/>
  <c r="D2330" i="18"/>
  <c r="G2330" i="18"/>
  <c r="J2366" i="18"/>
  <c r="I2366" i="18"/>
  <c r="H2366" i="18"/>
  <c r="D2365" i="18"/>
  <c r="D2349" i="18"/>
  <c r="G2349" i="18"/>
  <c r="I2306" i="18"/>
  <c r="I2310" i="18"/>
  <c r="H2306" i="18"/>
  <c r="H2310" i="18"/>
  <c r="D2306" i="18"/>
  <c r="D2305" i="18"/>
  <c r="D2304" i="18"/>
  <c r="D2303" i="18"/>
  <c r="D2302" i="18"/>
  <c r="D2301" i="18"/>
  <c r="D2300" i="18"/>
  <c r="D2299" i="18"/>
  <c r="D2298" i="18"/>
  <c r="D2293" i="18"/>
  <c r="G2293" i="18"/>
  <c r="J2284" i="18"/>
  <c r="J2288" i="18"/>
  <c r="I2284" i="18"/>
  <c r="H2284" i="18"/>
  <c r="D2284" i="18"/>
  <c r="D2283" i="18"/>
  <c r="D2282" i="18"/>
  <c r="D2281" i="18"/>
  <c r="D2280" i="18"/>
  <c r="D2279" i="18"/>
  <c r="D2278" i="18"/>
  <c r="D2273" i="18"/>
  <c r="G2273" i="18"/>
  <c r="H2308" i="18"/>
  <c r="I2328" i="18"/>
  <c r="H2328" i="18"/>
  <c r="K2315" i="18"/>
  <c r="D2315" i="18"/>
  <c r="G2315" i="18"/>
  <c r="J2271" i="18"/>
  <c r="H2271" i="18"/>
  <c r="D2271" i="18"/>
  <c r="D2270" i="18"/>
  <c r="D2269" i="18"/>
  <c r="D2268" i="18"/>
  <c r="D2267" i="18"/>
  <c r="D2266" i="18"/>
  <c r="D2265" i="18"/>
  <c r="D2264" i="18"/>
  <c r="D2263" i="18"/>
  <c r="D2260" i="18"/>
  <c r="G2260" i="18"/>
  <c r="J2258" i="18"/>
  <c r="H2258" i="18"/>
  <c r="D2258" i="18"/>
  <c r="D2257" i="18"/>
  <c r="D2256" i="18"/>
  <c r="D2255" i="18"/>
  <c r="D2254" i="18"/>
  <c r="D2253" i="18"/>
  <c r="D2252" i="18"/>
  <c r="D2251" i="18"/>
  <c r="D2250" i="18"/>
  <c r="D2247" i="18"/>
  <c r="G2247" i="18"/>
  <c r="J2245" i="18"/>
  <c r="H2245" i="18"/>
  <c r="D2245" i="18"/>
  <c r="D2244" i="18"/>
  <c r="D2243" i="18"/>
  <c r="D2242" i="18"/>
  <c r="D2241" i="18"/>
  <c r="D2240" i="18"/>
  <c r="D2239" i="18"/>
  <c r="D2238" i="18"/>
  <c r="D2237" i="18"/>
  <c r="D2234" i="18"/>
  <c r="G2234" i="18"/>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c r="H2342" i="18"/>
  <c r="C2201" i="18"/>
  <c r="G2201" i="18"/>
  <c r="H2189" i="18"/>
  <c r="Q2181" i="18"/>
  <c r="D2189" i="18"/>
  <c r="D2188" i="18"/>
  <c r="D2187" i="18"/>
  <c r="D2186" i="18"/>
  <c r="D2185" i="18"/>
  <c r="D2184" i="18"/>
  <c r="D2181" i="18"/>
  <c r="G2181" i="18"/>
  <c r="H2179" i="18"/>
  <c r="Q2171" i="18"/>
  <c r="D2179" i="18"/>
  <c r="D2178" i="18"/>
  <c r="D2177" i="18"/>
  <c r="D2176" i="18"/>
  <c r="D2175" i="18"/>
  <c r="D2174" i="18"/>
  <c r="D2171" i="18"/>
  <c r="G2171" i="18"/>
  <c r="L2169" i="18"/>
  <c r="K2169" i="18"/>
  <c r="I2169" i="18"/>
  <c r="H2169" i="18"/>
  <c r="D2169" i="18"/>
  <c r="M2168" i="18"/>
  <c r="D2168" i="18"/>
  <c r="M2167" i="18"/>
  <c r="D2167" i="18"/>
  <c r="M2166" i="18"/>
  <c r="D2166" i="18"/>
  <c r="M2165" i="18"/>
  <c r="D2165" i="18"/>
  <c r="M2164" i="18"/>
  <c r="D2164" i="18"/>
  <c r="M2163" i="18"/>
  <c r="D2163" i="18"/>
  <c r="M2162" i="18"/>
  <c r="D2162" i="18"/>
  <c r="D2157" i="18"/>
  <c r="G2157" i="18"/>
  <c r="C2156" i="18"/>
  <c r="G2156" i="18"/>
  <c r="D2118" i="18"/>
  <c r="G2118" i="18"/>
  <c r="D2116" i="18"/>
  <c r="D2115" i="18"/>
  <c r="D2114" i="18"/>
  <c r="D2113" i="18"/>
  <c r="D2112" i="18"/>
  <c r="D2111" i="18"/>
  <c r="D2110" i="18"/>
  <c r="D2109" i="18"/>
  <c r="D2108" i="18"/>
  <c r="D2105" i="18"/>
  <c r="G2105" i="18"/>
  <c r="D2103" i="18"/>
  <c r="D2102" i="18"/>
  <c r="D2101" i="18"/>
  <c r="D2100" i="18"/>
  <c r="D2099" i="18"/>
  <c r="D2098" i="18"/>
  <c r="D2097" i="18"/>
  <c r="D2096" i="18"/>
  <c r="D2095" i="18"/>
  <c r="D2092" i="18"/>
  <c r="G2092" i="18"/>
  <c r="D2090" i="18"/>
  <c r="D2089" i="18"/>
  <c r="D2088" i="18"/>
  <c r="D2087" i="18"/>
  <c r="D2086" i="18"/>
  <c r="D2085" i="18"/>
  <c r="D2084" i="18"/>
  <c r="D2083" i="18"/>
  <c r="D2082" i="18"/>
  <c r="D2079" i="18"/>
  <c r="G2079" i="18"/>
  <c r="J2154" i="18"/>
  <c r="I2154" i="18"/>
  <c r="H2154" i="18"/>
  <c r="K2137" i="18"/>
  <c r="D2153" i="18"/>
  <c r="D2137" i="18"/>
  <c r="G2137" i="18"/>
  <c r="D2063" i="18"/>
  <c r="G2063" i="18"/>
  <c r="H2130" i="18"/>
  <c r="H2061" i="18"/>
  <c r="K2048" i="18"/>
  <c r="D2061" i="18"/>
  <c r="D2060" i="18"/>
  <c r="D2059" i="18"/>
  <c r="D2058" i="18"/>
  <c r="D2057" i="18"/>
  <c r="D2056" i="18"/>
  <c r="D2055" i="18"/>
  <c r="D2054" i="18"/>
  <c r="D2053" i="18"/>
  <c r="N2048" i="18"/>
  <c r="D2048" i="18"/>
  <c r="G2048" i="18"/>
  <c r="D2046" i="18"/>
  <c r="D2045" i="18"/>
  <c r="P2044" i="18"/>
  <c r="P2046" i="18"/>
  <c r="O2044" i="18"/>
  <c r="O2046" i="18"/>
  <c r="N2044" i="18"/>
  <c r="N2046" i="18"/>
  <c r="M2044" i="18"/>
  <c r="M2046" i="18"/>
  <c r="K2032" i="18"/>
  <c r="L2044" i="18"/>
  <c r="L2046" i="18"/>
  <c r="K2044" i="18"/>
  <c r="K2046" i="18"/>
  <c r="J2044" i="18"/>
  <c r="J2046" i="18"/>
  <c r="I2044" i="18"/>
  <c r="I2046" i="18"/>
  <c r="N2032" i="18"/>
  <c r="D2044" i="18"/>
  <c r="D2043" i="18"/>
  <c r="D2042" i="18"/>
  <c r="D2041" i="18"/>
  <c r="D2040" i="18"/>
  <c r="D2039" i="18"/>
  <c r="D2038" i="18"/>
  <c r="D2037" i="18"/>
  <c r="D2036" i="18"/>
  <c r="D2035" i="18"/>
  <c r="D2032" i="18"/>
  <c r="G2032" i="18"/>
  <c r="H2072" i="18"/>
  <c r="C2031" i="18"/>
  <c r="G2031" i="18"/>
  <c r="M2029" i="18"/>
  <c r="L2029" i="18"/>
  <c r="H2029" i="18"/>
  <c r="D2029" i="18"/>
  <c r="D2028" i="18"/>
  <c r="D2027" i="18"/>
  <c r="D2026" i="18"/>
  <c r="D2025" i="18"/>
  <c r="D2024" i="18"/>
  <c r="D2021" i="18"/>
  <c r="G2021" i="18"/>
  <c r="L2019" i="18"/>
  <c r="K2019" i="18"/>
  <c r="J2019" i="18"/>
  <c r="I2019" i="18"/>
  <c r="H2019" i="18"/>
  <c r="D2019" i="18"/>
  <c r="M2018" i="18"/>
  <c r="D2018" i="18"/>
  <c r="M2017" i="18"/>
  <c r="D2017" i="18"/>
  <c r="M2016" i="18"/>
  <c r="D2016" i="18"/>
  <c r="D2013" i="18"/>
  <c r="G2013" i="18"/>
  <c r="D2001" i="18"/>
  <c r="G2001" i="18"/>
  <c r="M1999" i="18"/>
  <c r="J1999" i="18"/>
  <c r="I1999" i="18"/>
  <c r="H1999" i="18"/>
  <c r="D1999" i="18"/>
  <c r="D1998" i="18"/>
  <c r="D1997" i="18"/>
  <c r="D1996" i="18"/>
  <c r="D1995" i="18"/>
  <c r="D1994" i="18"/>
  <c r="D1993" i="18"/>
  <c r="D1992" i="18"/>
  <c r="D1991" i="18"/>
  <c r="D1986" i="18"/>
  <c r="G1986" i="18"/>
  <c r="D1984" i="18"/>
  <c r="D1983" i="18"/>
  <c r="D1982" i="18"/>
  <c r="D1981" i="18"/>
  <c r="D1980" i="18"/>
  <c r="D1979" i="18"/>
  <c r="D1978" i="18"/>
  <c r="D1977" i="18"/>
  <c r="D1976" i="18"/>
  <c r="D1971" i="18"/>
  <c r="G1971" i="18"/>
  <c r="K1969" i="18"/>
  <c r="J1969" i="18"/>
  <c r="I1969" i="18"/>
  <c r="H1969" i="18"/>
  <c r="D1969" i="18"/>
  <c r="L1968" i="18"/>
  <c r="D1968" i="18"/>
  <c r="L1967" i="18"/>
  <c r="D1967" i="18"/>
  <c r="L1966" i="18"/>
  <c r="D1966" i="18"/>
  <c r="D1961" i="18"/>
  <c r="G1961" i="18"/>
  <c r="L1959" i="18"/>
  <c r="K1959" i="18"/>
  <c r="I1959" i="18"/>
  <c r="H1959" i="18"/>
  <c r="D1959" i="18"/>
  <c r="D1958" i="18"/>
  <c r="D1957" i="18"/>
  <c r="D1956" i="18"/>
  <c r="D1955" i="18"/>
  <c r="D1954" i="18"/>
  <c r="D1953" i="18"/>
  <c r="M1952" i="18"/>
  <c r="D1952" i="18"/>
  <c r="D1947" i="18"/>
  <c r="G1947" i="18"/>
  <c r="C1946" i="18"/>
  <c r="G1946" i="18"/>
  <c r="N1908" i="18"/>
  <c r="D1908" i="18"/>
  <c r="G1908" i="18"/>
  <c r="J1906" i="18"/>
  <c r="H1906" i="18"/>
  <c r="D1906" i="18"/>
  <c r="D1905" i="18"/>
  <c r="D1904" i="18"/>
  <c r="D1903" i="18"/>
  <c r="D1902" i="18"/>
  <c r="D1901" i="18"/>
  <c r="D1900" i="18"/>
  <c r="D1899" i="18"/>
  <c r="D1898" i="18"/>
  <c r="D1895" i="18"/>
  <c r="G1895" i="18"/>
  <c r="J1893" i="18"/>
  <c r="H1893" i="18"/>
  <c r="D1893" i="18"/>
  <c r="D1892" i="18"/>
  <c r="D1891" i="18"/>
  <c r="D1890" i="18"/>
  <c r="D1889" i="18"/>
  <c r="D1888" i="18"/>
  <c r="D1887" i="18"/>
  <c r="D1886" i="18"/>
  <c r="D1885" i="18"/>
  <c r="D1882" i="18"/>
  <c r="G1882" i="18"/>
  <c r="J1880" i="18"/>
  <c r="H1880" i="18"/>
  <c r="D1880" i="18"/>
  <c r="D1879" i="18"/>
  <c r="D1878" i="18"/>
  <c r="D1877" i="18"/>
  <c r="D1876" i="18"/>
  <c r="D1875" i="18"/>
  <c r="D1874" i="18"/>
  <c r="D1873" i="18"/>
  <c r="D1872" i="18"/>
  <c r="D1869" i="18"/>
  <c r="G1869" i="18"/>
  <c r="J1944" i="18"/>
  <c r="I1944" i="18"/>
  <c r="H1944" i="18"/>
  <c r="K1927" i="18"/>
  <c r="D1927" i="18"/>
  <c r="G1927" i="18"/>
  <c r="N1853" i="18"/>
  <c r="D1853" i="18"/>
  <c r="G1853" i="18"/>
  <c r="N1838" i="18"/>
  <c r="H1851" i="18"/>
  <c r="K1838" i="18"/>
  <c r="D1851" i="18"/>
  <c r="D1850" i="18"/>
  <c r="D1849" i="18"/>
  <c r="D1848" i="18"/>
  <c r="D1847" i="18"/>
  <c r="D1846" i="18"/>
  <c r="D1845" i="18"/>
  <c r="D1844" i="18"/>
  <c r="D1843" i="18"/>
  <c r="D1838" i="18"/>
  <c r="G1838" i="18"/>
  <c r="D1836" i="18"/>
  <c r="D1835" i="18"/>
  <c r="I1834" i="18"/>
  <c r="I1836" i="18"/>
  <c r="H1834" i="18"/>
  <c r="H1836" i="18"/>
  <c r="D1834" i="18"/>
  <c r="D1833" i="18"/>
  <c r="D1832" i="18"/>
  <c r="D1831" i="18"/>
  <c r="D1830" i="18"/>
  <c r="D1829" i="18"/>
  <c r="D1828" i="18"/>
  <c r="D1823" i="18"/>
  <c r="G1823" i="18"/>
  <c r="C1822" i="18"/>
  <c r="G1822" i="18"/>
  <c r="H1820" i="18"/>
  <c r="K1812" i="18"/>
  <c r="D1820" i="18"/>
  <c r="D1819" i="18"/>
  <c r="D1818" i="18"/>
  <c r="D1817" i="18"/>
  <c r="D1816" i="18"/>
  <c r="D1815" i="18"/>
  <c r="D1812" i="18"/>
  <c r="G1812" i="18"/>
  <c r="C1811" i="18"/>
  <c r="G1811" i="18"/>
  <c r="D1809" i="18"/>
  <c r="D1808" i="18"/>
  <c r="D1807" i="18"/>
  <c r="D1806" i="18"/>
  <c r="D1805" i="18"/>
  <c r="D1804" i="18"/>
  <c r="D1799" i="18"/>
  <c r="G1799" i="18"/>
  <c r="H1797" i="18"/>
  <c r="K1790" i="18"/>
  <c r="D1797" i="18"/>
  <c r="D1796" i="18"/>
  <c r="D1795" i="18"/>
  <c r="D1794" i="18"/>
  <c r="D1793" i="18"/>
  <c r="D1790" i="18"/>
  <c r="G1790" i="18"/>
  <c r="C1789" i="18"/>
  <c r="G1789" i="18"/>
  <c r="K1787" i="18"/>
  <c r="J1787" i="18"/>
  <c r="I1787" i="18"/>
  <c r="H1787" i="18"/>
  <c r="N1774" i="18"/>
  <c r="D1787" i="18"/>
  <c r="L1786" i="18"/>
  <c r="D1786" i="18"/>
  <c r="L1785" i="18"/>
  <c r="D1785" i="18"/>
  <c r="L1784" i="18"/>
  <c r="D1784" i="18"/>
  <c r="L1783" i="18"/>
  <c r="D1783" i="18"/>
  <c r="L1782" i="18"/>
  <c r="D1782" i="18"/>
  <c r="L1781" i="18"/>
  <c r="D1781" i="18"/>
  <c r="L1780" i="18"/>
  <c r="D1780" i="18"/>
  <c r="L1779" i="18"/>
  <c r="D1779" i="18"/>
  <c r="D1774" i="18"/>
  <c r="G1774" i="18"/>
  <c r="J1772" i="18"/>
  <c r="I1772" i="18"/>
  <c r="H1772" i="18"/>
  <c r="K1764" i="18"/>
  <c r="D1772" i="18"/>
  <c r="D1771" i="18"/>
  <c r="D1770" i="18"/>
  <c r="D1769" i="18"/>
  <c r="D1768" i="18"/>
  <c r="D1767" i="18"/>
  <c r="D1764" i="18"/>
  <c r="G1764" i="18"/>
  <c r="C1763" i="18"/>
  <c r="G1763" i="18"/>
  <c r="N1761" i="18"/>
  <c r="M1761" i="18"/>
  <c r="L1761" i="18"/>
  <c r="K1761" i="18"/>
  <c r="J1761" i="18"/>
  <c r="I1761" i="18"/>
  <c r="H1761" i="18"/>
  <c r="D1761" i="18"/>
  <c r="D1760" i="18"/>
  <c r="D1759" i="18"/>
  <c r="D1758" i="18"/>
  <c r="D1757" i="18"/>
  <c r="D1756" i="18"/>
  <c r="D1753" i="18"/>
  <c r="G1753" i="18"/>
  <c r="I1734" i="18"/>
  <c r="H1734" i="18"/>
  <c r="D1734" i="18"/>
  <c r="D1733" i="18"/>
  <c r="D1732" i="18"/>
  <c r="D1731" i="18"/>
  <c r="D1730" i="18"/>
  <c r="D1729" i="18"/>
  <c r="D1726" i="18"/>
  <c r="G1726" i="18"/>
  <c r="H1673" i="18"/>
  <c r="D1673" i="18"/>
  <c r="D1672" i="18"/>
  <c r="D1671" i="18"/>
  <c r="D1670" i="18"/>
  <c r="D1669" i="18"/>
  <c r="D1668" i="18"/>
  <c r="D1665" i="18"/>
  <c r="G1665" i="18"/>
  <c r="J1724" i="18"/>
  <c r="I1724" i="18"/>
  <c r="H1724" i="18"/>
  <c r="D1724" i="18"/>
  <c r="K1723" i="18"/>
  <c r="D1723" i="18"/>
  <c r="K1722" i="18"/>
  <c r="D1722" i="18"/>
  <c r="K1721" i="18"/>
  <c r="D1721" i="18"/>
  <c r="K1720" i="18"/>
  <c r="D1720" i="18"/>
  <c r="K1719" i="18"/>
  <c r="D1719" i="18"/>
  <c r="D1716" i="18"/>
  <c r="G1716" i="18"/>
  <c r="M1707" i="18"/>
  <c r="M1711" i="18"/>
  <c r="K1707" i="18"/>
  <c r="J1707" i="18"/>
  <c r="I1707" i="18"/>
  <c r="I1711" i="18"/>
  <c r="D1707" i="18"/>
  <c r="L1706" i="18"/>
  <c r="D1706" i="18"/>
  <c r="L1705" i="18"/>
  <c r="D1705" i="18"/>
  <c r="L1704" i="18"/>
  <c r="D1704" i="18"/>
  <c r="L1703" i="18"/>
  <c r="D1703" i="18"/>
  <c r="L1702" i="18"/>
  <c r="D1702" i="18"/>
  <c r="D1699" i="18"/>
  <c r="G1699" i="18"/>
  <c r="M1690" i="18"/>
  <c r="M1694" i="18"/>
  <c r="L1690" i="18"/>
  <c r="L1694" i="18"/>
  <c r="K1690" i="18"/>
  <c r="K1694" i="18"/>
  <c r="J1690" i="18"/>
  <c r="D1690" i="18"/>
  <c r="D1689" i="18"/>
  <c r="D1688" i="18"/>
  <c r="D1687" i="18"/>
  <c r="D1686" i="18"/>
  <c r="D1685" i="18"/>
  <c r="D1682" i="18"/>
  <c r="G1682" i="18"/>
  <c r="H1663" i="18"/>
  <c r="Q1655" i="18"/>
  <c r="D1663" i="18"/>
  <c r="D1662" i="18"/>
  <c r="D1661" i="18"/>
  <c r="D1660" i="18"/>
  <c r="D1659" i="18"/>
  <c r="D1658" i="18"/>
  <c r="D1655" i="18"/>
  <c r="G1655" i="18"/>
  <c r="K1751" i="18"/>
  <c r="J1751" i="18"/>
  <c r="D1751" i="18"/>
  <c r="D1750" i="18"/>
  <c r="D1749" i="18"/>
  <c r="D1748" i="18"/>
  <c r="D1747" i="18"/>
  <c r="D1746" i="18"/>
  <c r="D1745" i="18"/>
  <c r="D1744" i="18"/>
  <c r="D1743" i="18"/>
  <c r="D1742" i="18"/>
  <c r="D1741" i="18"/>
  <c r="D1740" i="18"/>
  <c r="D1739" i="18"/>
  <c r="Q1736" i="18"/>
  <c r="D1736" i="18"/>
  <c r="G1736" i="18"/>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c r="L1634" i="18"/>
  <c r="K1634" i="18"/>
  <c r="I1634" i="18"/>
  <c r="H1634" i="18"/>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c r="H1709" i="18"/>
  <c r="C1616" i="18"/>
  <c r="G1616" i="18"/>
  <c r="K1605" i="18"/>
  <c r="J1605" i="18"/>
  <c r="I1605" i="18"/>
  <c r="H1605" i="18"/>
  <c r="D1605" i="18"/>
  <c r="D1604" i="18"/>
  <c r="D1603" i="18"/>
  <c r="D1602" i="18"/>
  <c r="D1601" i="18"/>
  <c r="D1600" i="18"/>
  <c r="D1597" i="18"/>
  <c r="G1597" i="18"/>
  <c r="J1595" i="18"/>
  <c r="K1587" i="18"/>
  <c r="D1595" i="18"/>
  <c r="D1594" i="18"/>
  <c r="D1593" i="18"/>
  <c r="D1592" i="18"/>
  <c r="D1591" i="18"/>
  <c r="D1590" i="18"/>
  <c r="D1587" i="18"/>
  <c r="G1587" i="18"/>
  <c r="J1585" i="18"/>
  <c r="I1585" i="18"/>
  <c r="Q1577" i="18"/>
  <c r="D1585" i="18"/>
  <c r="D1584" i="18"/>
  <c r="D1583" i="18"/>
  <c r="D1582" i="18"/>
  <c r="D1581" i="18"/>
  <c r="D1580" i="18"/>
  <c r="K1577" i="18"/>
  <c r="D1577" i="18"/>
  <c r="G1577" i="18"/>
  <c r="J1575" i="18"/>
  <c r="I1575" i="18"/>
  <c r="K1567" i="18"/>
  <c r="D1575" i="18"/>
  <c r="D1574" i="18"/>
  <c r="D1573" i="18"/>
  <c r="D1572" i="18"/>
  <c r="D1571" i="18"/>
  <c r="D1570" i="18"/>
  <c r="O1567" i="18"/>
  <c r="D1567" i="18"/>
  <c r="G1567" i="18"/>
  <c r="I1565" i="18"/>
  <c r="K1557" i="18"/>
  <c r="D1565" i="18"/>
  <c r="D1564" i="18"/>
  <c r="D1563" i="18"/>
  <c r="D1562" i="18"/>
  <c r="D1561" i="18"/>
  <c r="D1560" i="18"/>
  <c r="O1557" i="18"/>
  <c r="D1557" i="18"/>
  <c r="G1557" i="18"/>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c r="I1535" i="18"/>
  <c r="Q1527" i="18"/>
  <c r="D1535" i="18"/>
  <c r="D1534" i="18"/>
  <c r="D1533" i="18"/>
  <c r="D1532" i="18"/>
  <c r="D1531" i="18"/>
  <c r="D1530" i="18"/>
  <c r="O1527" i="18"/>
  <c r="D1527" i="18"/>
  <c r="G1527" i="18"/>
  <c r="H1525" i="18"/>
  <c r="K1520" i="18"/>
  <c r="D1525" i="18"/>
  <c r="D1524" i="18"/>
  <c r="D1523" i="18"/>
  <c r="N1520" i="18"/>
  <c r="D1520" i="18"/>
  <c r="G1520" i="18"/>
  <c r="H1518" i="18"/>
  <c r="Q1510" i="18"/>
  <c r="D1518" i="18"/>
  <c r="D1517" i="18"/>
  <c r="D1516" i="18"/>
  <c r="D1515" i="18"/>
  <c r="D1514" i="18"/>
  <c r="D1513" i="18"/>
  <c r="D1510" i="18"/>
  <c r="G1510" i="18"/>
  <c r="M1614" i="18"/>
  <c r="K1607" i="18"/>
  <c r="L1614" i="18"/>
  <c r="K1614" i="18"/>
  <c r="J1614" i="18"/>
  <c r="I1614" i="18"/>
  <c r="H1614" i="18"/>
  <c r="N1607" i="18"/>
  <c r="D1614" i="18"/>
  <c r="N1613" i="18"/>
  <c r="D1613" i="18"/>
  <c r="N1612" i="18"/>
  <c r="D1612" i="18"/>
  <c r="D1607" i="18"/>
  <c r="G1607" i="18"/>
  <c r="I1467" i="18"/>
  <c r="H1467" i="18"/>
  <c r="D1467" i="18"/>
  <c r="K1466" i="18"/>
  <c r="J1466" i="18"/>
  <c r="D1466" i="18"/>
  <c r="K1465" i="18"/>
  <c r="J1465" i="18"/>
  <c r="D1465" i="18"/>
  <c r="K1464" i="18"/>
  <c r="J1464" i="18"/>
  <c r="D1464" i="18"/>
  <c r="K1463" i="18"/>
  <c r="J1463" i="18"/>
  <c r="D1463" i="18"/>
  <c r="K1462" i="18"/>
  <c r="J1462" i="18"/>
  <c r="D1462" i="18"/>
  <c r="D1459" i="18"/>
  <c r="G1459" i="18"/>
  <c r="I1457" i="18"/>
  <c r="H1457" i="18"/>
  <c r="D1457" i="18"/>
  <c r="K1456" i="18"/>
  <c r="J1456" i="18"/>
  <c r="D1456" i="18"/>
  <c r="K1455" i="18"/>
  <c r="J1455" i="18"/>
  <c r="D1455" i="18"/>
  <c r="K1454" i="18"/>
  <c r="J1454" i="18"/>
  <c r="D1454" i="18"/>
  <c r="K1453" i="18"/>
  <c r="J1453" i="18"/>
  <c r="D1453" i="18"/>
  <c r="K1452" i="18"/>
  <c r="J1452" i="18"/>
  <c r="D1452" i="18"/>
  <c r="O1449" i="18"/>
  <c r="D1449" i="18"/>
  <c r="G1449" i="18"/>
  <c r="J1440" i="18"/>
  <c r="J1444" i="18"/>
  <c r="H1440" i="18"/>
  <c r="L1439" i="18"/>
  <c r="K1439" i="18"/>
  <c r="L1438" i="18"/>
  <c r="K1438" i="18"/>
  <c r="L1437" i="18"/>
  <c r="K1437" i="18"/>
  <c r="L1436" i="18"/>
  <c r="K1436" i="18"/>
  <c r="L1435" i="18"/>
  <c r="K1435" i="18"/>
  <c r="L1434" i="18"/>
  <c r="K1434" i="18"/>
  <c r="L1433" i="18"/>
  <c r="K1433" i="18"/>
  <c r="D1428" i="18"/>
  <c r="G1428" i="18"/>
  <c r="N1469" i="18"/>
  <c r="D1482" i="18"/>
  <c r="D1481" i="18"/>
  <c r="D1480" i="18"/>
  <c r="D1479" i="18"/>
  <c r="D1478" i="18"/>
  <c r="D1477" i="18"/>
  <c r="D1476" i="18"/>
  <c r="D1475" i="18"/>
  <c r="D1474" i="18"/>
  <c r="D1469" i="18"/>
  <c r="G1469" i="18"/>
  <c r="I1356" i="18"/>
  <c r="I1363" i="18"/>
  <c r="H1356" i="18"/>
  <c r="H1363" i="18"/>
  <c r="D1348" i="18"/>
  <c r="G1348" i="18"/>
  <c r="I1339" i="18"/>
  <c r="I1343" i="18"/>
  <c r="H1339" i="18"/>
  <c r="H1343" i="18"/>
  <c r="D1339" i="18"/>
  <c r="D1338" i="18"/>
  <c r="D1337" i="18"/>
  <c r="D1336" i="18"/>
  <c r="D1335" i="18"/>
  <c r="D1334" i="18"/>
  <c r="D1333" i="18"/>
  <c r="D1332" i="18"/>
  <c r="D1331" i="18"/>
  <c r="D1326" i="18"/>
  <c r="G1326" i="18"/>
  <c r="K1116" i="18"/>
  <c r="D1116" i="18"/>
  <c r="G1116" i="18"/>
  <c r="I1419" i="18"/>
  <c r="I1423" i="18"/>
  <c r="H1419" i="18"/>
  <c r="H1423" i="18"/>
  <c r="D1419" i="18"/>
  <c r="J1418" i="18"/>
  <c r="D1418" i="18"/>
  <c r="J1417" i="18"/>
  <c r="D1417" i="18"/>
  <c r="J1416" i="18"/>
  <c r="D1416" i="18"/>
  <c r="J1415" i="18"/>
  <c r="D1415" i="18"/>
  <c r="J1414" i="18"/>
  <c r="D1414" i="18"/>
  <c r="D1409" i="18"/>
  <c r="G1409" i="18"/>
  <c r="J1317" i="18"/>
  <c r="J1321" i="18"/>
  <c r="I1317" i="18"/>
  <c r="H1317" i="18"/>
  <c r="H1321" i="18"/>
  <c r="D1317" i="18"/>
  <c r="D1316" i="18"/>
  <c r="D1315" i="18"/>
  <c r="D1314" i="18"/>
  <c r="D1313" i="18"/>
  <c r="D1312" i="18"/>
  <c r="D1307" i="18"/>
  <c r="G1307" i="18"/>
  <c r="H1341" i="18"/>
  <c r="I1231" i="18"/>
  <c r="D1219" i="18"/>
  <c r="G1219" i="18"/>
  <c r="D1043" i="18"/>
  <c r="G1043" i="18"/>
  <c r="D1400" i="18"/>
  <c r="L1399" i="18"/>
  <c r="K1399" i="18"/>
  <c r="D1399" i="18"/>
  <c r="L1398" i="18"/>
  <c r="K1398" i="18"/>
  <c r="D1398" i="18"/>
  <c r="J1397" i="18"/>
  <c r="J1400" i="18"/>
  <c r="J1404" i="18"/>
  <c r="H1397" i="18"/>
  <c r="H1400" i="18"/>
  <c r="H1404" i="18"/>
  <c r="D1397" i="18"/>
  <c r="L1396" i="18"/>
  <c r="K1396" i="18"/>
  <c r="D1396" i="18"/>
  <c r="L1395" i="18"/>
  <c r="K1395" i="18"/>
  <c r="D1395" i="18"/>
  <c r="L1394" i="18"/>
  <c r="K1394" i="18"/>
  <c r="D1394" i="18"/>
  <c r="D1393" i="18"/>
  <c r="L1392" i="18"/>
  <c r="K1392" i="18"/>
  <c r="D1392" i="18"/>
  <c r="D1387" i="18"/>
  <c r="G1387" i="18"/>
  <c r="D1378" i="18"/>
  <c r="L1377" i="18"/>
  <c r="K1377" i="18"/>
  <c r="D1377" i="18"/>
  <c r="L1376" i="18"/>
  <c r="K1376" i="18"/>
  <c r="D1376" i="18"/>
  <c r="J1375" i="18"/>
  <c r="J1378" i="18"/>
  <c r="J1382" i="18"/>
  <c r="H1375" i="18"/>
  <c r="H1378" i="18"/>
  <c r="H1382" i="18"/>
  <c r="D1375" i="18"/>
  <c r="L1374" i="18"/>
  <c r="K1374" i="18"/>
  <c r="D1374" i="18"/>
  <c r="L1373" i="18"/>
  <c r="K1373" i="18"/>
  <c r="D1373" i="18"/>
  <c r="L1372" i="18"/>
  <c r="K1372" i="18"/>
  <c r="D1372" i="18"/>
  <c r="D1371" i="18"/>
  <c r="L1370" i="18"/>
  <c r="K1370" i="18"/>
  <c r="D1370" i="18"/>
  <c r="D1365" i="18"/>
  <c r="G1365" i="18"/>
  <c r="I1023" i="18"/>
  <c r="H1023" i="18"/>
  <c r="H1025" i="18"/>
  <c r="D1013" i="18"/>
  <c r="G1013" i="18"/>
  <c r="H1006" i="18"/>
  <c r="I995" i="18"/>
  <c r="H995" i="18"/>
  <c r="D988" i="18"/>
  <c r="G988" i="18"/>
  <c r="H1484" i="18"/>
  <c r="C987" i="18"/>
  <c r="G987" i="18"/>
  <c r="H985" i="18"/>
  <c r="K977" i="18"/>
  <c r="D977" i="18"/>
  <c r="G977" i="18"/>
  <c r="D975" i="18"/>
  <c r="D974" i="18"/>
  <c r="I973" i="18"/>
  <c r="H973" i="18"/>
  <c r="H975" i="18"/>
  <c r="D973" i="18"/>
  <c r="D972" i="18"/>
  <c r="D971" i="18"/>
  <c r="D970" i="18"/>
  <c r="D967" i="18"/>
  <c r="G967" i="18"/>
  <c r="C966" i="18"/>
  <c r="G966" i="18"/>
  <c r="H964" i="18"/>
  <c r="K956" i="18"/>
  <c r="D964" i="18"/>
  <c r="D963" i="18"/>
  <c r="D962" i="18"/>
  <c r="D961" i="18"/>
  <c r="D960" i="18"/>
  <c r="D959" i="18"/>
  <c r="D956" i="18"/>
  <c r="G956" i="18"/>
  <c r="D954" i="18"/>
  <c r="D953" i="18"/>
  <c r="I952" i="18"/>
  <c r="H952" i="18"/>
  <c r="H954" i="18"/>
  <c r="D952" i="18"/>
  <c r="D951" i="18"/>
  <c r="D950" i="18"/>
  <c r="D949" i="18"/>
  <c r="D948" i="18"/>
  <c r="D947" i="18"/>
  <c r="D944" i="18"/>
  <c r="G944" i="18"/>
  <c r="C943" i="18"/>
  <c r="G943" i="18"/>
  <c r="K934" i="18"/>
  <c r="D934" i="18"/>
  <c r="G934" i="18"/>
  <c r="C933" i="18"/>
  <c r="G933" i="18"/>
  <c r="I908" i="18"/>
  <c r="N900" i="18"/>
  <c r="H908" i="18"/>
  <c r="K900" i="18"/>
  <c r="D908" i="18"/>
  <c r="D907" i="18"/>
  <c r="D906" i="18"/>
  <c r="D905" i="18"/>
  <c r="D904" i="18"/>
  <c r="D903" i="18"/>
  <c r="D900" i="18"/>
  <c r="G900" i="18"/>
  <c r="I918" i="18"/>
  <c r="N910" i="18"/>
  <c r="H918" i="18"/>
  <c r="K910" i="18"/>
  <c r="D918" i="18"/>
  <c r="D917" i="18"/>
  <c r="D916" i="18"/>
  <c r="D915" i="18"/>
  <c r="D914" i="18"/>
  <c r="D913" i="18"/>
  <c r="D910" i="18"/>
  <c r="G910" i="18"/>
  <c r="D888" i="18"/>
  <c r="H887" i="18"/>
  <c r="D887" i="18"/>
  <c r="D886" i="18"/>
  <c r="D885" i="18"/>
  <c r="D884" i="18"/>
  <c r="D883" i="18"/>
  <c r="D882" i="18"/>
  <c r="D881" i="18"/>
  <c r="H880" i="18"/>
  <c r="D880" i="18"/>
  <c r="D879" i="18"/>
  <c r="D878" i="18"/>
  <c r="D877" i="18"/>
  <c r="D876" i="18"/>
  <c r="D875" i="18"/>
  <c r="D874" i="18"/>
  <c r="D871" i="18"/>
  <c r="G871" i="18"/>
  <c r="H898" i="18"/>
  <c r="K890" i="18"/>
  <c r="D898" i="18"/>
  <c r="D897" i="18"/>
  <c r="D896" i="18"/>
  <c r="D895" i="18"/>
  <c r="D894" i="18"/>
  <c r="D893" i="18"/>
  <c r="D890" i="18"/>
  <c r="G890" i="18"/>
  <c r="J869" i="18"/>
  <c r="K866" i="18"/>
  <c r="H869" i="18"/>
  <c r="I867" i="18"/>
  <c r="D869" i="18"/>
  <c r="D868" i="18"/>
  <c r="D867" i="18"/>
  <c r="D866" i="18"/>
  <c r="D865" i="18"/>
  <c r="D864" i="18"/>
  <c r="D859" i="18"/>
  <c r="G859" i="18"/>
  <c r="C858" i="18"/>
  <c r="G858" i="18"/>
  <c r="M856" i="18"/>
  <c r="L856" i="18"/>
  <c r="K856" i="18"/>
  <c r="I856" i="18"/>
  <c r="D856" i="18"/>
  <c r="D855" i="18"/>
  <c r="D854" i="18"/>
  <c r="D853" i="18"/>
  <c r="D848" i="18"/>
  <c r="G848" i="18"/>
  <c r="D753" i="18"/>
  <c r="D752" i="18"/>
  <c r="D751" i="18"/>
  <c r="D750" i="18"/>
  <c r="D749" i="18"/>
  <c r="D748" i="18"/>
  <c r="D747" i="18"/>
  <c r="D746" i="18"/>
  <c r="D745" i="18"/>
  <c r="D740" i="18"/>
  <c r="G740" i="18"/>
  <c r="D731" i="18"/>
  <c r="D730" i="18"/>
  <c r="D729" i="18"/>
  <c r="D728" i="18"/>
  <c r="D727" i="18"/>
  <c r="D726" i="18"/>
  <c r="D721" i="18"/>
  <c r="G721" i="18"/>
  <c r="D719" i="18"/>
  <c r="D718" i="18"/>
  <c r="D717" i="18"/>
  <c r="D716" i="18"/>
  <c r="D715" i="18"/>
  <c r="D714" i="18"/>
  <c r="D713" i="18"/>
  <c r="D712" i="18"/>
  <c r="D711" i="18"/>
  <c r="D706" i="18"/>
  <c r="G706" i="18"/>
  <c r="H704" i="18"/>
  <c r="K698" i="18"/>
  <c r="D704" i="18"/>
  <c r="D703" i="18"/>
  <c r="D702" i="18"/>
  <c r="D701" i="18"/>
  <c r="D698" i="18"/>
  <c r="G698" i="18"/>
  <c r="C697" i="18"/>
  <c r="G697" i="18"/>
  <c r="K686" i="18"/>
  <c r="J686" i="18"/>
  <c r="I686" i="18"/>
  <c r="H686" i="18"/>
  <c r="D686" i="18"/>
  <c r="D685" i="18"/>
  <c r="D684" i="18"/>
  <c r="D683" i="18"/>
  <c r="D682" i="18"/>
  <c r="D681" i="18"/>
  <c r="D678" i="18"/>
  <c r="G678" i="18"/>
  <c r="J676" i="18"/>
  <c r="K668" i="18"/>
  <c r="D676" i="18"/>
  <c r="D675" i="18"/>
  <c r="D674" i="18"/>
  <c r="D673" i="18"/>
  <c r="D672" i="18"/>
  <c r="D671" i="18"/>
  <c r="D668" i="18"/>
  <c r="G668" i="18"/>
  <c r="D666" i="18"/>
  <c r="D665" i="18"/>
  <c r="D664" i="18"/>
  <c r="D663" i="18"/>
  <c r="D662" i="18"/>
  <c r="D661" i="18"/>
  <c r="D658" i="18"/>
  <c r="G658" i="18"/>
  <c r="J656" i="18"/>
  <c r="I656" i="18"/>
  <c r="K648" i="18"/>
  <c r="D656" i="18"/>
  <c r="D655" i="18"/>
  <c r="D654" i="18"/>
  <c r="D653" i="18"/>
  <c r="D652" i="18"/>
  <c r="D651" i="18"/>
  <c r="O648" i="18"/>
  <c r="D648" i="18"/>
  <c r="G648" i="18"/>
  <c r="J645" i="18"/>
  <c r="H645" i="18"/>
  <c r="J638" i="18"/>
  <c r="H638" i="18"/>
  <c r="O629" i="18"/>
  <c r="D629" i="18"/>
  <c r="G629" i="18"/>
  <c r="I626" i="18"/>
  <c r="K618" i="18"/>
  <c r="D626" i="18"/>
  <c r="D625" i="18"/>
  <c r="D624" i="18"/>
  <c r="D623" i="18"/>
  <c r="D622" i="18"/>
  <c r="D621" i="18"/>
  <c r="O618" i="18"/>
  <c r="D618" i="18"/>
  <c r="G618" i="18"/>
  <c r="D611" i="18"/>
  <c r="G611" i="18"/>
  <c r="H609" i="18"/>
  <c r="Q601" i="18"/>
  <c r="D609" i="18"/>
  <c r="D608" i="18"/>
  <c r="D607" i="18"/>
  <c r="D606" i="18"/>
  <c r="D605" i="18"/>
  <c r="D604" i="18"/>
  <c r="D601" i="18"/>
  <c r="G601" i="18"/>
  <c r="M592" i="18"/>
  <c r="L592" i="18"/>
  <c r="K592" i="18"/>
  <c r="I592" i="18"/>
  <c r="H592" i="18"/>
  <c r="D592" i="18"/>
  <c r="D591" i="18"/>
  <c r="D590" i="18"/>
  <c r="D589" i="18"/>
  <c r="D588" i="18"/>
  <c r="D587" i="18"/>
  <c r="D586" i="18"/>
  <c r="D585" i="18"/>
  <c r="D584" i="18"/>
  <c r="D579" i="18"/>
  <c r="G579" i="18"/>
  <c r="M695" i="18"/>
  <c r="L695" i="18"/>
  <c r="K695" i="18"/>
  <c r="J695" i="18"/>
  <c r="I695" i="18"/>
  <c r="H695" i="18"/>
  <c r="N688" i="18"/>
  <c r="D695" i="18"/>
  <c r="N694" i="18"/>
  <c r="D694" i="18"/>
  <c r="N693" i="18"/>
  <c r="D693" i="18"/>
  <c r="D688" i="18"/>
  <c r="G688" i="18"/>
  <c r="I577" i="18"/>
  <c r="H577" i="18"/>
  <c r="D577" i="18"/>
  <c r="K576" i="18"/>
  <c r="J576" i="18"/>
  <c r="D576" i="18"/>
  <c r="K575" i="18"/>
  <c r="J575" i="18"/>
  <c r="D575" i="18"/>
  <c r="K574" i="18"/>
  <c r="J574" i="18"/>
  <c r="D574" i="18"/>
  <c r="K573" i="18"/>
  <c r="J573" i="18"/>
  <c r="D573" i="18"/>
  <c r="K572" i="18"/>
  <c r="J572" i="18"/>
  <c r="D572" i="18"/>
  <c r="D569" i="18"/>
  <c r="G569" i="18"/>
  <c r="I567" i="18"/>
  <c r="H567" i="18"/>
  <c r="D567" i="18"/>
  <c r="K566" i="18"/>
  <c r="J566" i="18"/>
  <c r="D566" i="18"/>
  <c r="K565" i="18"/>
  <c r="J565" i="18"/>
  <c r="D565" i="18"/>
  <c r="K564" i="18"/>
  <c r="J564" i="18"/>
  <c r="D564" i="18"/>
  <c r="K563" i="18"/>
  <c r="J563" i="18"/>
  <c r="D563" i="18"/>
  <c r="K562" i="18"/>
  <c r="J562" i="18"/>
  <c r="D562" i="18"/>
  <c r="O559" i="18"/>
  <c r="D559" i="18"/>
  <c r="G559" i="18"/>
  <c r="I543" i="18"/>
  <c r="I550" i="18"/>
  <c r="I554" i="18"/>
  <c r="H543" i="18"/>
  <c r="H550" i="18"/>
  <c r="H554" i="18"/>
  <c r="N535" i="18"/>
  <c r="D535" i="18"/>
  <c r="G535" i="18"/>
  <c r="I526" i="18"/>
  <c r="I530" i="18"/>
  <c r="H526" i="18"/>
  <c r="D526" i="18"/>
  <c r="J525" i="18"/>
  <c r="D525" i="18"/>
  <c r="J524" i="18"/>
  <c r="D524" i="18"/>
  <c r="J523" i="18"/>
  <c r="D523" i="18"/>
  <c r="J522" i="18"/>
  <c r="D522" i="18"/>
  <c r="J521" i="18"/>
  <c r="D521" i="18"/>
  <c r="J520" i="18"/>
  <c r="D520" i="18"/>
  <c r="D515" i="18"/>
  <c r="G515" i="18"/>
  <c r="D513" i="18"/>
  <c r="L512" i="18"/>
  <c r="K512" i="18"/>
  <c r="D512" i="18"/>
  <c r="L511" i="18"/>
  <c r="K511" i="18"/>
  <c r="D511" i="18"/>
  <c r="J510" i="18"/>
  <c r="J513" i="18"/>
  <c r="H510" i="18"/>
  <c r="H513" i="18"/>
  <c r="D510" i="18"/>
  <c r="L509" i="18"/>
  <c r="K509" i="18"/>
  <c r="D509" i="18"/>
  <c r="L508" i="18"/>
  <c r="K508" i="18"/>
  <c r="D508" i="18"/>
  <c r="L507" i="18"/>
  <c r="K507" i="18"/>
  <c r="D507" i="18"/>
  <c r="D506" i="18"/>
  <c r="L505" i="18"/>
  <c r="K505" i="18"/>
  <c r="D505" i="18"/>
  <c r="D500" i="18"/>
  <c r="G500" i="18"/>
  <c r="D498" i="18"/>
  <c r="L497" i="18"/>
  <c r="K497" i="18"/>
  <c r="D497" i="18"/>
  <c r="L496" i="18"/>
  <c r="K496" i="18"/>
  <c r="D496" i="18"/>
  <c r="J495" i="18"/>
  <c r="J498" i="18"/>
  <c r="H495" i="18"/>
  <c r="H498" i="18"/>
  <c r="D495" i="18"/>
  <c r="L494" i="18"/>
  <c r="K494" i="18"/>
  <c r="D494" i="18"/>
  <c r="L493" i="18"/>
  <c r="K493" i="18"/>
  <c r="D493" i="18"/>
  <c r="L492" i="18"/>
  <c r="D492" i="18"/>
  <c r="D491" i="18"/>
  <c r="L490" i="18"/>
  <c r="K490" i="18"/>
  <c r="D490" i="18"/>
  <c r="D485" i="18"/>
  <c r="G485" i="18"/>
  <c r="I413" i="18"/>
  <c r="H413" i="18"/>
  <c r="K400" i="18"/>
  <c r="D413" i="18"/>
  <c r="D412" i="18"/>
  <c r="D411" i="18"/>
  <c r="D410" i="18"/>
  <c r="D409" i="18"/>
  <c r="D408" i="18"/>
  <c r="D407" i="18"/>
  <c r="D406" i="18"/>
  <c r="D405" i="18"/>
  <c r="D400" i="18"/>
  <c r="G400" i="18"/>
  <c r="I391" i="18"/>
  <c r="I395" i="18"/>
  <c r="H391" i="18"/>
  <c r="D391" i="18"/>
  <c r="D390" i="18"/>
  <c r="D389" i="18"/>
  <c r="D388" i="18"/>
  <c r="D387" i="18"/>
  <c r="D386" i="18"/>
  <c r="D385" i="18"/>
  <c r="D384" i="18"/>
  <c r="D383" i="18"/>
  <c r="D378" i="18"/>
  <c r="G378" i="18"/>
  <c r="I369" i="18"/>
  <c r="I373" i="18"/>
  <c r="H369" i="18"/>
  <c r="D369" i="18"/>
  <c r="D368" i="18"/>
  <c r="D367" i="18"/>
  <c r="D366" i="18"/>
  <c r="D365" i="18"/>
  <c r="D364" i="18"/>
  <c r="D363" i="18"/>
  <c r="D362" i="18"/>
  <c r="D361" i="18"/>
  <c r="D356" i="18"/>
  <c r="G356" i="18"/>
  <c r="J439" i="18"/>
  <c r="J443" i="18"/>
  <c r="H439" i="18"/>
  <c r="H443" i="18"/>
  <c r="D439" i="18"/>
  <c r="D438" i="18"/>
  <c r="D437" i="18"/>
  <c r="D436" i="18"/>
  <c r="D435" i="18"/>
  <c r="D430" i="18"/>
  <c r="G430" i="18"/>
  <c r="H461" i="18"/>
  <c r="J347" i="18"/>
  <c r="J351" i="18"/>
  <c r="H347" i="18"/>
  <c r="H351" i="18"/>
  <c r="D347" i="18"/>
  <c r="D346" i="18"/>
  <c r="D345" i="18"/>
  <c r="D344" i="18"/>
  <c r="D343" i="18"/>
  <c r="D342" i="18"/>
  <c r="D341" i="18"/>
  <c r="D340" i="18"/>
  <c r="D339" i="18"/>
  <c r="D334" i="18"/>
  <c r="G334" i="18"/>
  <c r="I323" i="18"/>
  <c r="H323" i="18"/>
  <c r="D317" i="18"/>
  <c r="G317" i="18"/>
  <c r="H594" i="18"/>
  <c r="C316" i="18"/>
  <c r="G316" i="18"/>
  <c r="I304" i="18"/>
  <c r="K293" i="18"/>
  <c r="D304" i="18"/>
  <c r="D303" i="18"/>
  <c r="D302" i="18"/>
  <c r="D301" i="18"/>
  <c r="D300" i="18"/>
  <c r="D299" i="18"/>
  <c r="D298" i="18"/>
  <c r="D297" i="18"/>
  <c r="D296" i="18"/>
  <c r="D293" i="18"/>
  <c r="G293" i="18"/>
  <c r="H291" i="18"/>
  <c r="K286" i="18"/>
  <c r="D291" i="18"/>
  <c r="D290" i="18"/>
  <c r="D289" i="18"/>
  <c r="D286" i="18"/>
  <c r="G286" i="18"/>
  <c r="H284" i="18"/>
  <c r="K273" i="18"/>
  <c r="D284" i="18"/>
  <c r="D283" i="18"/>
  <c r="D282" i="18"/>
  <c r="D281" i="18"/>
  <c r="D280" i="18"/>
  <c r="D279" i="18"/>
  <c r="D278" i="18"/>
  <c r="D277" i="18"/>
  <c r="D276" i="18"/>
  <c r="D273" i="18"/>
  <c r="G273" i="18"/>
  <c r="M264" i="18"/>
  <c r="L264" i="18"/>
  <c r="K251" i="18"/>
  <c r="K264" i="18"/>
  <c r="I264" i="18"/>
  <c r="H264" i="18"/>
  <c r="D264" i="18"/>
  <c r="D263" i="18"/>
  <c r="D262" i="18"/>
  <c r="D261" i="18"/>
  <c r="D260" i="18"/>
  <c r="D259" i="18"/>
  <c r="D258" i="18"/>
  <c r="D257" i="18"/>
  <c r="D256" i="18"/>
  <c r="D251" i="18"/>
  <c r="G251" i="18"/>
  <c r="I227" i="18"/>
  <c r="I231" i="18"/>
  <c r="H227" i="18"/>
  <c r="D227" i="18"/>
  <c r="D226" i="18"/>
  <c r="D225" i="18"/>
  <c r="D224" i="18"/>
  <c r="D223" i="18"/>
  <c r="D222" i="18"/>
  <c r="D221" i="18"/>
  <c r="D220" i="18"/>
  <c r="D219" i="18"/>
  <c r="D214" i="18"/>
  <c r="G214" i="18"/>
  <c r="I205" i="18"/>
  <c r="I209" i="18"/>
  <c r="H205" i="18"/>
  <c r="D205" i="18"/>
  <c r="D204" i="18"/>
  <c r="D203" i="18"/>
  <c r="D202" i="18"/>
  <c r="D201" i="18"/>
  <c r="D200" i="18"/>
  <c r="D199" i="18"/>
  <c r="D198" i="18"/>
  <c r="D197" i="18"/>
  <c r="D192" i="18"/>
  <c r="G192" i="18"/>
  <c r="I183" i="18"/>
  <c r="D170" i="18"/>
  <c r="G170" i="18"/>
  <c r="H168" i="18"/>
  <c r="Q160" i="18"/>
  <c r="D168" i="18"/>
  <c r="D167" i="18"/>
  <c r="D166" i="18"/>
  <c r="D165" i="18"/>
  <c r="D164" i="18"/>
  <c r="D163" i="18"/>
  <c r="D160" i="18"/>
  <c r="G160" i="18"/>
  <c r="I157" i="18"/>
  <c r="I158" i="18"/>
  <c r="H157" i="18"/>
  <c r="H158" i="18"/>
  <c r="D146" i="18"/>
  <c r="G146" i="18"/>
  <c r="H144" i="18"/>
  <c r="K138" i="18"/>
  <c r="D144" i="18"/>
  <c r="D143" i="18"/>
  <c r="D142" i="18"/>
  <c r="D141" i="18"/>
  <c r="D138" i="18"/>
  <c r="G138" i="18"/>
  <c r="H136" i="18"/>
  <c r="K130" i="18"/>
  <c r="D136" i="18"/>
  <c r="D135" i="18"/>
  <c r="D134" i="18"/>
  <c r="D133" i="18"/>
  <c r="D130" i="18"/>
  <c r="G130" i="18"/>
  <c r="D120" i="18"/>
  <c r="G120" i="18"/>
  <c r="C119" i="18"/>
  <c r="G119" i="18"/>
  <c r="H117" i="18"/>
  <c r="K109" i="18"/>
  <c r="D117" i="18"/>
  <c r="D116" i="18"/>
  <c r="D115" i="18"/>
  <c r="D114" i="18"/>
  <c r="D113" i="18"/>
  <c r="D112" i="18"/>
  <c r="D109" i="18"/>
  <c r="G109" i="18"/>
  <c r="C108" i="18"/>
  <c r="G108" i="18"/>
  <c r="I105" i="18"/>
  <c r="I99" i="18"/>
  <c r="D90" i="18"/>
  <c r="G90" i="18"/>
  <c r="G89" i="18"/>
  <c r="D71" i="18"/>
  <c r="G71" i="18"/>
  <c r="C70" i="18"/>
  <c r="G70" i="18"/>
  <c r="D67" i="18"/>
  <c r="D66" i="18"/>
  <c r="D65" i="18"/>
  <c r="D64" i="18"/>
  <c r="D63" i="18"/>
  <c r="D62" i="18"/>
  <c r="D59" i="18"/>
  <c r="G59" i="18"/>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c r="D10" i="18"/>
  <c r="G10" i="18"/>
  <c r="C9" i="18"/>
  <c r="G9" i="18"/>
  <c r="N4" i="18"/>
  <c r="L4" i="18"/>
  <c r="H4" i="18"/>
  <c r="N3" i="18"/>
  <c r="L3" i="18"/>
  <c r="H2" i="18"/>
  <c r="P40" i="12"/>
  <c r="O40" i="12"/>
  <c r="AD38" i="12"/>
  <c r="AC38" i="12"/>
  <c r="J38" i="12"/>
  <c r="D38" i="12"/>
  <c r="G38" i="12"/>
  <c r="E38" i="12"/>
  <c r="C38" i="12"/>
  <c r="AD37" i="12"/>
  <c r="AC37" i="12"/>
  <c r="J37" i="12"/>
  <c r="G37" i="12"/>
  <c r="E37" i="12"/>
  <c r="D37" i="12"/>
  <c r="C37" i="12"/>
  <c r="AD36" i="12"/>
  <c r="AC36" i="12"/>
  <c r="J36" i="12"/>
  <c r="G36" i="12"/>
  <c r="E36" i="12"/>
  <c r="C36" i="12"/>
  <c r="Q36" i="12"/>
  <c r="AD35" i="12"/>
  <c r="AC35" i="12"/>
  <c r="J35" i="12"/>
  <c r="G35" i="12"/>
  <c r="E35" i="12"/>
  <c r="D35" i="12"/>
  <c r="C35" i="12"/>
  <c r="R35" i="12"/>
  <c r="AD34" i="12"/>
  <c r="AC34" i="12"/>
  <c r="J34" i="12"/>
  <c r="G34" i="12"/>
  <c r="E34" i="12"/>
  <c r="C34" i="12"/>
  <c r="Q34" i="12"/>
  <c r="AD33" i="12"/>
  <c r="AC33" i="12"/>
  <c r="J33" i="12"/>
  <c r="G33" i="12"/>
  <c r="E33" i="12"/>
  <c r="C33" i="12"/>
  <c r="AD32" i="12"/>
  <c r="AC32" i="12"/>
  <c r="J32" i="12"/>
  <c r="D32" i="12"/>
  <c r="E32" i="12"/>
  <c r="C32" i="12"/>
  <c r="R32" i="12"/>
  <c r="AD31" i="12"/>
  <c r="AC31" i="12"/>
  <c r="J31" i="12"/>
  <c r="G31" i="12"/>
  <c r="E31" i="12"/>
  <c r="C31" i="12"/>
  <c r="R31" i="12"/>
  <c r="AD30" i="12"/>
  <c r="AC30" i="12"/>
  <c r="J30" i="12"/>
  <c r="D30" i="12"/>
  <c r="E30" i="12"/>
  <c r="C30" i="12"/>
  <c r="Q30" i="12"/>
  <c r="AD29" i="12"/>
  <c r="AC29" i="12"/>
  <c r="J29" i="12"/>
  <c r="G29" i="12"/>
  <c r="E29" i="12"/>
  <c r="C29" i="12"/>
  <c r="AD28" i="12"/>
  <c r="AC28" i="12"/>
  <c r="J28" i="12"/>
  <c r="D28" i="12"/>
  <c r="G28" i="12"/>
  <c r="E28" i="12"/>
  <c r="C28" i="12"/>
  <c r="Q28" i="12"/>
  <c r="AD27" i="12"/>
  <c r="AC27" i="12"/>
  <c r="J27" i="12"/>
  <c r="G27" i="12"/>
  <c r="E27" i="12"/>
  <c r="C27" i="12"/>
  <c r="R27" i="12"/>
  <c r="AD26" i="12"/>
  <c r="AC26" i="12"/>
  <c r="J26" i="12"/>
  <c r="D26" i="12"/>
  <c r="G26" i="12"/>
  <c r="E26" i="12"/>
  <c r="C26" i="12"/>
  <c r="Q26" i="12"/>
  <c r="AE26" i="12"/>
  <c r="AD25" i="12"/>
  <c r="AC25" i="12"/>
  <c r="J25" i="12"/>
  <c r="G25" i="12"/>
  <c r="E25" i="12"/>
  <c r="C25" i="12"/>
  <c r="AD24" i="12"/>
  <c r="AC24" i="12"/>
  <c r="J24" i="12"/>
  <c r="G24" i="12"/>
  <c r="E24" i="12"/>
  <c r="D24" i="12"/>
  <c r="C24" i="12"/>
  <c r="R24" i="12"/>
  <c r="AD23" i="12"/>
  <c r="AC23" i="12"/>
  <c r="J23" i="12"/>
  <c r="E23" i="12"/>
  <c r="C23" i="12"/>
  <c r="R23" i="12"/>
  <c r="AD22" i="12"/>
  <c r="AC22" i="12"/>
  <c r="J22" i="12"/>
  <c r="D22" i="12"/>
  <c r="G22" i="12"/>
  <c r="E22" i="12"/>
  <c r="C22" i="12"/>
  <c r="Q22" i="12"/>
  <c r="AE22" i="12"/>
  <c r="AD21" i="12"/>
  <c r="AC21" i="12"/>
  <c r="J21" i="12"/>
  <c r="G21" i="12"/>
  <c r="E21" i="12"/>
  <c r="D21" i="12"/>
  <c r="C21" i="12"/>
  <c r="AD20" i="12"/>
  <c r="AC20" i="12"/>
  <c r="J20" i="12"/>
  <c r="G20" i="12"/>
  <c r="E20" i="12"/>
  <c r="C20" i="12"/>
  <c r="Q20" i="12"/>
  <c r="AD19" i="12"/>
  <c r="AC19" i="12"/>
  <c r="J19" i="12"/>
  <c r="G19" i="12"/>
  <c r="E19" i="12"/>
  <c r="D19" i="12"/>
  <c r="C19" i="12"/>
  <c r="R19" i="12"/>
  <c r="AD18" i="12"/>
  <c r="AC18" i="12"/>
  <c r="J18" i="12"/>
  <c r="G18" i="12"/>
  <c r="E18" i="12"/>
  <c r="C18" i="12"/>
  <c r="Q18" i="12"/>
  <c r="AD17" i="12"/>
  <c r="AC17" i="12"/>
  <c r="J17" i="12"/>
  <c r="G17" i="12"/>
  <c r="E17" i="12"/>
  <c r="C17" i="12"/>
  <c r="AD16" i="12"/>
  <c r="AC16" i="12"/>
  <c r="J16" i="12"/>
  <c r="D16" i="12"/>
  <c r="E16" i="12"/>
  <c r="C16" i="12"/>
  <c r="R16" i="12"/>
  <c r="AD15" i="12"/>
  <c r="AC15" i="12"/>
  <c r="J15" i="12"/>
  <c r="G15" i="12"/>
  <c r="E15" i="12"/>
  <c r="C15" i="12"/>
  <c r="R15" i="12"/>
  <c r="AD14" i="12"/>
  <c r="AC14" i="12"/>
  <c r="J14" i="12"/>
  <c r="D14" i="12"/>
  <c r="E14" i="12"/>
  <c r="C14" i="12"/>
  <c r="Q14" i="12"/>
  <c r="AD13" i="12"/>
  <c r="AC13" i="12"/>
  <c r="J13" i="12"/>
  <c r="G13" i="12"/>
  <c r="E13" i="12"/>
  <c r="C13" i="12"/>
  <c r="AD12" i="12"/>
  <c r="AC12" i="12"/>
  <c r="J12" i="12"/>
  <c r="D12" i="12"/>
  <c r="G12" i="12"/>
  <c r="E12" i="12"/>
  <c r="C12" i="12"/>
  <c r="Q12" i="12"/>
  <c r="AD11" i="12"/>
  <c r="AC11" i="12"/>
  <c r="J11" i="12"/>
  <c r="G11" i="12"/>
  <c r="E11" i="12"/>
  <c r="C11" i="12"/>
  <c r="R11" i="12"/>
  <c r="AD10" i="12"/>
  <c r="AC10" i="12"/>
  <c r="J10" i="12"/>
  <c r="D10" i="12"/>
  <c r="G10" i="12"/>
  <c r="E10" i="12"/>
  <c r="C10" i="12"/>
  <c r="AD9" i="12"/>
  <c r="AC9" i="12"/>
  <c r="G9" i="12"/>
  <c r="E9" i="12"/>
  <c r="F9" i="12"/>
  <c r="D9" i="12"/>
  <c r="C9" i="12"/>
  <c r="R9" i="12"/>
  <c r="O6" i="12"/>
  <c r="M6" i="12"/>
  <c r="J6" i="12"/>
  <c r="O5" i="12"/>
  <c r="M5" i="12"/>
  <c r="J4" i="12"/>
  <c r="F4" i="12"/>
  <c r="AD3" i="12"/>
  <c r="AC3" i="12"/>
  <c r="J3" i="12"/>
  <c r="E3" i="12"/>
  <c r="F3" i="12"/>
  <c r="C3" i="12"/>
  <c r="B3" i="12"/>
  <c r="P40" i="11"/>
  <c r="O40" i="11"/>
  <c r="AD38" i="11"/>
  <c r="AC38" i="11"/>
  <c r="J38" i="11"/>
  <c r="G38" i="11"/>
  <c r="E38" i="11"/>
  <c r="C38" i="11"/>
  <c r="B38" i="11"/>
  <c r="AD37" i="11"/>
  <c r="AC37" i="11"/>
  <c r="J37" i="11"/>
  <c r="D37" i="11"/>
  <c r="G37" i="11"/>
  <c r="E37" i="11"/>
  <c r="C37" i="11"/>
  <c r="Q37" i="11"/>
  <c r="AD36" i="11"/>
  <c r="AC36" i="11"/>
  <c r="J36" i="11"/>
  <c r="E36" i="11"/>
  <c r="C36" i="11"/>
  <c r="R36" i="11"/>
  <c r="AD35" i="11"/>
  <c r="AC35" i="11"/>
  <c r="J35" i="11"/>
  <c r="D35" i="11"/>
  <c r="G35" i="11"/>
  <c r="E35" i="11"/>
  <c r="C35" i="11"/>
  <c r="Q35" i="11"/>
  <c r="AE35" i="11"/>
  <c r="AD34" i="11"/>
  <c r="AC34" i="11"/>
  <c r="J34" i="11"/>
  <c r="G34" i="11"/>
  <c r="E34" i="11"/>
  <c r="D34" i="11"/>
  <c r="C34" i="11"/>
  <c r="AD33" i="11"/>
  <c r="AC33" i="11"/>
  <c r="J33" i="11"/>
  <c r="D33" i="11"/>
  <c r="G33" i="11"/>
  <c r="E33" i="11"/>
  <c r="C33" i="11"/>
  <c r="R33" i="11"/>
  <c r="AD32" i="11"/>
  <c r="AC32" i="11"/>
  <c r="J32" i="11"/>
  <c r="G32" i="11"/>
  <c r="E32" i="11"/>
  <c r="D32" i="11"/>
  <c r="C32" i="11"/>
  <c r="R32" i="11"/>
  <c r="AD31" i="11"/>
  <c r="AC31" i="11"/>
  <c r="J31" i="11"/>
  <c r="E31" i="11"/>
  <c r="C31" i="11"/>
  <c r="Q31" i="11"/>
  <c r="AD30" i="11"/>
  <c r="AC30" i="11"/>
  <c r="J30" i="11"/>
  <c r="G30" i="11"/>
  <c r="E30" i="11"/>
  <c r="D30" i="11"/>
  <c r="C30" i="11"/>
  <c r="AD29" i="11"/>
  <c r="AC29" i="11"/>
  <c r="J29" i="11"/>
  <c r="E29" i="11"/>
  <c r="C29" i="11"/>
  <c r="R29" i="11"/>
  <c r="AD28" i="11"/>
  <c r="AC28" i="11"/>
  <c r="J28" i="11"/>
  <c r="G28" i="11"/>
  <c r="E28" i="11"/>
  <c r="C28" i="11"/>
  <c r="R28" i="11"/>
  <c r="AD27" i="11"/>
  <c r="AC27" i="11"/>
  <c r="J27" i="11"/>
  <c r="D27" i="11"/>
  <c r="E27" i="11"/>
  <c r="C27" i="11"/>
  <c r="Q27" i="11"/>
  <c r="AD26" i="11"/>
  <c r="AC26" i="11"/>
  <c r="J26" i="11"/>
  <c r="G26" i="11"/>
  <c r="E26" i="11"/>
  <c r="C26" i="11"/>
  <c r="AD25" i="11"/>
  <c r="AC25" i="11"/>
  <c r="J25" i="11"/>
  <c r="D25" i="11"/>
  <c r="E25" i="11"/>
  <c r="C25" i="11"/>
  <c r="Q25" i="11"/>
  <c r="AE25" i="11"/>
  <c r="AD24" i="11"/>
  <c r="AC24" i="11"/>
  <c r="J24" i="11"/>
  <c r="G24" i="11"/>
  <c r="E24" i="11"/>
  <c r="C24" i="11"/>
  <c r="R24" i="11"/>
  <c r="AD23" i="11"/>
  <c r="AC23" i="11"/>
  <c r="J23" i="11"/>
  <c r="D23" i="11"/>
  <c r="G23" i="11"/>
  <c r="E23" i="11"/>
  <c r="C23" i="11"/>
  <c r="Q23" i="11"/>
  <c r="AD22" i="11"/>
  <c r="AC22" i="11"/>
  <c r="J22" i="11"/>
  <c r="G22" i="11"/>
  <c r="E22" i="11"/>
  <c r="C22" i="11"/>
  <c r="AD21" i="11"/>
  <c r="AC21" i="11"/>
  <c r="J21" i="11"/>
  <c r="D21" i="11"/>
  <c r="G21" i="11"/>
  <c r="E21" i="11"/>
  <c r="C21" i="11"/>
  <c r="R21" i="11"/>
  <c r="AD20" i="11"/>
  <c r="AC20" i="11"/>
  <c r="J20" i="11"/>
  <c r="E20" i="11"/>
  <c r="C20" i="11"/>
  <c r="R20" i="11"/>
  <c r="AD19" i="11"/>
  <c r="AC19" i="11"/>
  <c r="J19" i="11"/>
  <c r="D19" i="11"/>
  <c r="G19" i="11"/>
  <c r="E19" i="11"/>
  <c r="C19" i="11"/>
  <c r="Q19" i="11"/>
  <c r="AE19" i="11"/>
  <c r="AD18" i="11"/>
  <c r="AC18" i="11"/>
  <c r="J18" i="11"/>
  <c r="G18" i="11"/>
  <c r="E18" i="11"/>
  <c r="D18" i="11"/>
  <c r="C18" i="11"/>
  <c r="AD17" i="11"/>
  <c r="AC17" i="11"/>
  <c r="J17" i="11"/>
  <c r="D17" i="11"/>
  <c r="G17" i="11"/>
  <c r="E17" i="11"/>
  <c r="C17" i="11"/>
  <c r="Q17" i="11"/>
  <c r="AE17" i="11"/>
  <c r="AD16" i="11"/>
  <c r="AC16" i="11"/>
  <c r="J16" i="11"/>
  <c r="G16" i="11"/>
  <c r="E16" i="11"/>
  <c r="D16" i="11"/>
  <c r="C16" i="11"/>
  <c r="R16" i="11"/>
  <c r="AD15" i="11"/>
  <c r="AC15" i="11"/>
  <c r="J15" i="11"/>
  <c r="E15" i="11"/>
  <c r="C15" i="11"/>
  <c r="Q15" i="11"/>
  <c r="AD14" i="11"/>
  <c r="AC14" i="11"/>
  <c r="J14" i="11"/>
  <c r="G14" i="11"/>
  <c r="E14" i="11"/>
  <c r="D14" i="11"/>
  <c r="C14" i="11"/>
  <c r="AD13" i="11"/>
  <c r="AC13" i="11"/>
  <c r="J13" i="11"/>
  <c r="E13" i="11"/>
  <c r="C13" i="11"/>
  <c r="R13" i="11"/>
  <c r="AD12" i="11"/>
  <c r="AC12" i="11"/>
  <c r="J12" i="11"/>
  <c r="G12" i="11"/>
  <c r="E12" i="11"/>
  <c r="C12" i="11"/>
  <c r="R12" i="11"/>
  <c r="AD11" i="11"/>
  <c r="AC11" i="11"/>
  <c r="J11" i="11"/>
  <c r="D11" i="11"/>
  <c r="E11" i="11"/>
  <c r="C11" i="11"/>
  <c r="Q11" i="11"/>
  <c r="AD10" i="11"/>
  <c r="AC10" i="11"/>
  <c r="J10" i="11"/>
  <c r="G10" i="11"/>
  <c r="E10" i="11"/>
  <c r="C10" i="11"/>
  <c r="B10" i="11"/>
  <c r="AD9" i="11"/>
  <c r="AC9" i="11"/>
  <c r="G9" i="11"/>
  <c r="E9" i="11"/>
  <c r="F9" i="11"/>
  <c r="D9" i="11"/>
  <c r="C9" i="11"/>
  <c r="Q9" i="11"/>
  <c r="AE9" i="11"/>
  <c r="B9" i="11"/>
  <c r="O6" i="11"/>
  <c r="M6" i="11"/>
  <c r="J6" i="11"/>
  <c r="O5" i="11"/>
  <c r="M5" i="11"/>
  <c r="J4" i="11"/>
  <c r="F4" i="11"/>
  <c r="AD3" i="11"/>
  <c r="AC3" i="11"/>
  <c r="J3" i="11"/>
  <c r="G3" i="11"/>
  <c r="E3" i="11"/>
  <c r="F3" i="11"/>
  <c r="C3" i="11"/>
  <c r="B3" i="11"/>
  <c r="Q38" i="13"/>
  <c r="J38" i="13"/>
  <c r="E38" i="13"/>
  <c r="C38" i="13"/>
  <c r="B38" i="13"/>
  <c r="Q37" i="13"/>
  <c r="N37" i="13"/>
  <c r="J37" i="13"/>
  <c r="G37" i="13"/>
  <c r="E37" i="13"/>
  <c r="D37" i="13"/>
  <c r="C37" i="13"/>
  <c r="Q36" i="13"/>
  <c r="N36" i="13"/>
  <c r="T36" i="13"/>
  <c r="J36" i="13"/>
  <c r="E36" i="13"/>
  <c r="C36" i="13"/>
  <c r="Q35" i="13"/>
  <c r="N35" i="13"/>
  <c r="J35" i="13"/>
  <c r="G35" i="13"/>
  <c r="E35" i="13"/>
  <c r="C35" i="13"/>
  <c r="Q34" i="13"/>
  <c r="N34" i="13"/>
  <c r="T34" i="13"/>
  <c r="J34" i="13"/>
  <c r="G34" i="13"/>
  <c r="E34" i="13"/>
  <c r="D34" i="13"/>
  <c r="C34" i="13"/>
  <c r="Q33" i="13"/>
  <c r="N33" i="13"/>
  <c r="J33" i="13"/>
  <c r="E33" i="13"/>
  <c r="C33" i="13"/>
  <c r="Q32" i="13"/>
  <c r="N32" i="13"/>
  <c r="T32" i="13"/>
  <c r="J32" i="13"/>
  <c r="G32" i="13"/>
  <c r="E32" i="13"/>
  <c r="D32" i="13"/>
  <c r="C32" i="13"/>
  <c r="Q31" i="13"/>
  <c r="N31" i="13"/>
  <c r="J31" i="13"/>
  <c r="E31" i="13"/>
  <c r="C31" i="13"/>
  <c r="Q30" i="13"/>
  <c r="N30" i="13"/>
  <c r="T30" i="13"/>
  <c r="J30" i="13"/>
  <c r="G30" i="13"/>
  <c r="E30" i="13"/>
  <c r="D30" i="13"/>
  <c r="C30" i="13"/>
  <c r="Q29" i="13"/>
  <c r="N29" i="13"/>
  <c r="J29" i="13"/>
  <c r="G29" i="13"/>
  <c r="E29" i="13"/>
  <c r="C29" i="13"/>
  <c r="Q28" i="13"/>
  <c r="N28" i="13"/>
  <c r="T28" i="13"/>
  <c r="J28" i="13"/>
  <c r="D28" i="13"/>
  <c r="E28" i="13"/>
  <c r="C28" i="13"/>
  <c r="Q27" i="13"/>
  <c r="N27" i="13"/>
  <c r="J27" i="13"/>
  <c r="G27" i="13"/>
  <c r="E27" i="13"/>
  <c r="C27" i="13"/>
  <c r="Q26" i="13"/>
  <c r="N26" i="13"/>
  <c r="T26" i="13"/>
  <c r="J26" i="13"/>
  <c r="D26" i="13"/>
  <c r="E26" i="13"/>
  <c r="C26" i="13"/>
  <c r="Q25" i="13"/>
  <c r="N25" i="13"/>
  <c r="J25" i="13"/>
  <c r="G25" i="13"/>
  <c r="E25" i="13"/>
  <c r="C25" i="13"/>
  <c r="Q24" i="13"/>
  <c r="N24" i="13"/>
  <c r="T24" i="13"/>
  <c r="J24" i="13"/>
  <c r="D24" i="13"/>
  <c r="G24" i="13"/>
  <c r="E24" i="13"/>
  <c r="C24" i="13"/>
  <c r="Q23" i="13"/>
  <c r="N23" i="13"/>
  <c r="J23" i="13"/>
  <c r="G23" i="13"/>
  <c r="E23" i="13"/>
  <c r="C23" i="13"/>
  <c r="Q22" i="13"/>
  <c r="N22" i="13"/>
  <c r="T22" i="13"/>
  <c r="J22" i="13"/>
  <c r="E22" i="13"/>
  <c r="C22" i="13"/>
  <c r="Q21" i="13"/>
  <c r="N21" i="13"/>
  <c r="J21" i="13"/>
  <c r="G21" i="13"/>
  <c r="E21" i="13"/>
  <c r="D21" i="13"/>
  <c r="C21" i="13"/>
  <c r="Q20" i="13"/>
  <c r="N20" i="13"/>
  <c r="T20" i="13"/>
  <c r="J20" i="13"/>
  <c r="E20" i="13"/>
  <c r="C20" i="13"/>
  <c r="Q19" i="13"/>
  <c r="N19" i="13"/>
  <c r="J19" i="13"/>
  <c r="G19" i="13"/>
  <c r="E19" i="13"/>
  <c r="C19" i="13"/>
  <c r="Q18" i="13"/>
  <c r="N18" i="13"/>
  <c r="T18" i="13"/>
  <c r="J18" i="13"/>
  <c r="G18" i="13"/>
  <c r="E18" i="13"/>
  <c r="D18" i="13"/>
  <c r="C18" i="13"/>
  <c r="Q17" i="13"/>
  <c r="N17" i="13"/>
  <c r="J17" i="13"/>
  <c r="E17" i="13"/>
  <c r="C17" i="13"/>
  <c r="Q16" i="13"/>
  <c r="N16" i="13"/>
  <c r="T16" i="13"/>
  <c r="J16" i="13"/>
  <c r="G16" i="13"/>
  <c r="E16" i="13"/>
  <c r="D16" i="13"/>
  <c r="C16" i="13"/>
  <c r="Q15" i="13"/>
  <c r="N15" i="13"/>
  <c r="J15" i="13"/>
  <c r="E15" i="13"/>
  <c r="C15" i="13"/>
  <c r="Q14" i="13"/>
  <c r="N14" i="13"/>
  <c r="T14" i="13"/>
  <c r="J14" i="13"/>
  <c r="G14" i="13"/>
  <c r="E14" i="13"/>
  <c r="D14" i="13"/>
  <c r="C14" i="13"/>
  <c r="Q13" i="13"/>
  <c r="N13" i="13"/>
  <c r="J13" i="13"/>
  <c r="G13" i="13"/>
  <c r="E13" i="13"/>
  <c r="C13" i="13"/>
  <c r="Q12" i="13"/>
  <c r="J12" i="13"/>
  <c r="D12" i="13"/>
  <c r="E12" i="13"/>
  <c r="C12" i="13"/>
  <c r="N12" i="13"/>
  <c r="T12" i="13"/>
  <c r="Q11" i="13"/>
  <c r="N11" i="13"/>
  <c r="J11" i="13"/>
  <c r="G11" i="13"/>
  <c r="E11" i="13"/>
  <c r="C11" i="13"/>
  <c r="Q10" i="13"/>
  <c r="J10" i="13"/>
  <c r="D10" i="13"/>
  <c r="E10" i="13"/>
  <c r="C10" i="13"/>
  <c r="B10" i="13"/>
  <c r="Q9" i="13"/>
  <c r="G9" i="13"/>
  <c r="E9" i="13"/>
  <c r="F9" i="13"/>
  <c r="D9" i="13"/>
  <c r="C9" i="13"/>
  <c r="N9" i="13"/>
  <c r="O6" i="13"/>
  <c r="M6" i="13"/>
  <c r="J6" i="13"/>
  <c r="O5" i="13"/>
  <c r="M5" i="13"/>
  <c r="J4" i="13"/>
  <c r="F4" i="13"/>
  <c r="Q3" i="13"/>
  <c r="N3" i="13"/>
  <c r="T3" i="13"/>
  <c r="J3" i="13"/>
  <c r="D3" i="13"/>
  <c r="G3" i="13"/>
  <c r="E3" i="13"/>
  <c r="F3" i="13"/>
  <c r="C3" i="13"/>
  <c r="B3" i="13"/>
  <c r="P40" i="6"/>
  <c r="O40" i="6"/>
  <c r="AD38" i="6"/>
  <c r="AC38" i="6"/>
  <c r="J38" i="6"/>
  <c r="G38" i="6"/>
  <c r="E38" i="6"/>
  <c r="C38" i="6"/>
  <c r="AD37" i="6"/>
  <c r="AC37" i="6"/>
  <c r="D37" i="6"/>
  <c r="E37" i="6"/>
  <c r="C37" i="6"/>
  <c r="R37" i="6" s="1"/>
  <c r="AD36" i="6"/>
  <c r="AC36" i="6"/>
  <c r="G36" i="6"/>
  <c r="E36" i="6"/>
  <c r="C36" i="6"/>
  <c r="R36" i="6" s="1"/>
  <c r="AD35" i="6"/>
  <c r="AC35" i="6"/>
  <c r="D35" i="6"/>
  <c r="G35" i="6"/>
  <c r="E35" i="6"/>
  <c r="C35" i="6"/>
  <c r="Q35" i="6" s="1"/>
  <c r="AE35" i="6" s="1"/>
  <c r="AD34" i="6"/>
  <c r="AC34" i="6"/>
  <c r="G34" i="6"/>
  <c r="E34" i="6"/>
  <c r="C34" i="6"/>
  <c r="Q34" i="6" s="1"/>
  <c r="AE34" i="6" s="1"/>
  <c r="AD33" i="6"/>
  <c r="AC33" i="6"/>
  <c r="D33" i="6"/>
  <c r="G33" i="6"/>
  <c r="E33" i="6"/>
  <c r="C33" i="6"/>
  <c r="R33" i="6" s="1"/>
  <c r="AD32" i="6"/>
  <c r="AC32" i="6"/>
  <c r="E32" i="6"/>
  <c r="C32" i="6"/>
  <c r="Q32" i="6" s="1"/>
  <c r="AE32" i="6" s="1"/>
  <c r="AD31" i="6"/>
  <c r="AC31" i="6"/>
  <c r="G31" i="6"/>
  <c r="C31" i="6"/>
  <c r="Q31" i="6" s="1"/>
  <c r="AE31" i="6" s="1"/>
  <c r="AD30" i="6"/>
  <c r="AC30" i="6"/>
  <c r="G30" i="6"/>
  <c r="C30" i="6"/>
  <c r="Q30" i="6" s="1"/>
  <c r="AE30" i="6" s="1"/>
  <c r="AD29" i="6"/>
  <c r="AC29" i="6"/>
  <c r="D29" i="6"/>
  <c r="D30" i="6" s="1"/>
  <c r="D31" i="6" s="1"/>
  <c r="G29" i="6"/>
  <c r="E29" i="6"/>
  <c r="E30" i="6" s="1"/>
  <c r="E31" i="6" s="1"/>
  <c r="C29" i="6"/>
  <c r="R29" i="6" s="1"/>
  <c r="AD28" i="6"/>
  <c r="AC28" i="6"/>
  <c r="G28" i="6"/>
  <c r="E28" i="6"/>
  <c r="D28" i="6"/>
  <c r="C28" i="6"/>
  <c r="Q28" i="6" s="1"/>
  <c r="AE28" i="6" s="1"/>
  <c r="AD27" i="6"/>
  <c r="AC27" i="6"/>
  <c r="C27" i="6"/>
  <c r="B27" i="6" s="1"/>
  <c r="AD26" i="6"/>
  <c r="AC26" i="6"/>
  <c r="G26" i="6"/>
  <c r="E26" i="6"/>
  <c r="E27" i="6" s="1"/>
  <c r="C26" i="6"/>
  <c r="R26" i="6" s="1"/>
  <c r="AD25" i="6"/>
  <c r="AC25" i="6"/>
  <c r="E25" i="6"/>
  <c r="C25" i="6"/>
  <c r="R25" i="6" s="1"/>
  <c r="AD24" i="6"/>
  <c r="AC24" i="6"/>
  <c r="G24" i="6"/>
  <c r="E24" i="6"/>
  <c r="C24" i="6"/>
  <c r="R24" i="6" s="1"/>
  <c r="AD23" i="6"/>
  <c r="AC23" i="6"/>
  <c r="C23" i="6"/>
  <c r="B23" i="6" s="1"/>
  <c r="AD22" i="6"/>
  <c r="AC22" i="6"/>
  <c r="G22" i="6"/>
  <c r="C22" i="6"/>
  <c r="R22" i="6" s="1"/>
  <c r="AD21" i="6"/>
  <c r="AC21" i="6"/>
  <c r="D21" i="6"/>
  <c r="D22" i="6" s="1"/>
  <c r="D23" i="6" s="1"/>
  <c r="E21" i="6"/>
  <c r="E22" i="6" s="1"/>
  <c r="E23" i="6" s="1"/>
  <c r="C21" i="6"/>
  <c r="R21" i="6" s="1"/>
  <c r="AD20" i="6"/>
  <c r="AC20" i="6"/>
  <c r="G20" i="6"/>
  <c r="E20" i="6"/>
  <c r="C20" i="6"/>
  <c r="Q20" i="6" s="1"/>
  <c r="AE20" i="6" s="1"/>
  <c r="AD19" i="6"/>
  <c r="AC19" i="6"/>
  <c r="G19" i="6"/>
  <c r="C19" i="6"/>
  <c r="R19" i="6" s="1"/>
  <c r="AD18" i="6"/>
  <c r="AC18" i="6"/>
  <c r="G18" i="6"/>
  <c r="E18" i="6"/>
  <c r="E19" i="6" s="1"/>
  <c r="C18" i="6"/>
  <c r="Q18" i="6" s="1"/>
  <c r="AD17" i="6"/>
  <c r="AC17" i="6"/>
  <c r="D17" i="6"/>
  <c r="D18" i="6" s="1"/>
  <c r="D19" i="6" s="1"/>
  <c r="G17" i="6"/>
  <c r="E17" i="6"/>
  <c r="C17" i="6"/>
  <c r="R17" i="6" s="1"/>
  <c r="AD16" i="6"/>
  <c r="AC16" i="6"/>
  <c r="E16" i="6"/>
  <c r="C16" i="6"/>
  <c r="R16" i="6" s="1"/>
  <c r="AD15" i="6"/>
  <c r="AC15" i="6"/>
  <c r="G15" i="6"/>
  <c r="C15" i="6"/>
  <c r="R15" i="6" s="1"/>
  <c r="AD14" i="6"/>
  <c r="AC14" i="6"/>
  <c r="G14" i="6"/>
  <c r="C14" i="6"/>
  <c r="B14" i="6" s="1"/>
  <c r="AD13" i="6"/>
  <c r="AC13" i="6"/>
  <c r="G13" i="6"/>
  <c r="C13" i="6"/>
  <c r="Q13" i="6" s="1"/>
  <c r="AD12" i="6"/>
  <c r="AC12" i="6"/>
  <c r="G12" i="6"/>
  <c r="E12" i="6"/>
  <c r="E13" i="6" s="1"/>
  <c r="D12" i="6"/>
  <c r="D13" i="6" s="1"/>
  <c r="D14" i="6" s="1"/>
  <c r="D15" i="6" s="1"/>
  <c r="C12" i="6"/>
  <c r="R12" i="6"/>
  <c r="AD11" i="6"/>
  <c r="AC11" i="6"/>
  <c r="G11" i="6"/>
  <c r="AD10" i="6"/>
  <c r="AC10" i="6"/>
  <c r="D9" i="6"/>
  <c r="AD9" i="6"/>
  <c r="AC9" i="6"/>
  <c r="G9" i="6"/>
  <c r="E9" i="6"/>
  <c r="E10" i="6" s="1"/>
  <c r="E11" i="6" s="1"/>
  <c r="C9" i="6"/>
  <c r="R9" i="6" s="1"/>
  <c r="B9" i="6"/>
  <c r="O6" i="6"/>
  <c r="M6" i="6"/>
  <c r="J6" i="6"/>
  <c r="O5" i="6"/>
  <c r="M5" i="6"/>
  <c r="J4" i="6"/>
  <c r="F4" i="6"/>
  <c r="AD3" i="6"/>
  <c r="AC3" i="6"/>
  <c r="J3" i="6"/>
  <c r="G3" i="6"/>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c r="C764" i="5"/>
  <c r="B764" i="5"/>
  <c r="A764" i="5"/>
  <c r="E763" i="5"/>
  <c r="C763" i="5"/>
  <c r="B763" i="5"/>
  <c r="A763" i="5"/>
  <c r="E762" i="5"/>
  <c r="C762" i="5"/>
  <c r="B762" i="5"/>
  <c r="A762" i="5"/>
  <c r="E761" i="5"/>
  <c r="C761" i="5"/>
  <c r="B761" i="5"/>
  <c r="A761" i="5"/>
  <c r="E760" i="5"/>
  <c r="C760" i="5"/>
  <c r="B760" i="5"/>
  <c r="A760" i="5"/>
  <c r="E759" i="5"/>
  <c r="C759" i="5"/>
  <c r="B759" i="5"/>
  <c r="A759" i="5"/>
  <c r="J758" i="5"/>
  <c r="M758" i="5" s="1"/>
  <c r="F758" i="5"/>
  <c r="I758" i="5" s="1"/>
  <c r="E89" i="70" s="1"/>
  <c r="E758" i="5"/>
  <c r="C758" i="5"/>
  <c r="B758" i="5"/>
  <c r="A758" i="5"/>
  <c r="J757" i="5"/>
  <c r="M757" i="5" s="1"/>
  <c r="F757" i="5"/>
  <c r="I757" i="5" s="1"/>
  <c r="E757" i="5"/>
  <c r="C757" i="5"/>
  <c r="B757" i="5"/>
  <c r="A757" i="5"/>
  <c r="J756" i="5"/>
  <c r="M756" i="5" s="1"/>
  <c r="F756" i="5"/>
  <c r="I756" i="5" s="1"/>
  <c r="E756" i="5"/>
  <c r="C756" i="5"/>
  <c r="B756" i="5"/>
  <c r="A756" i="5"/>
  <c r="E755" i="5"/>
  <c r="C755" i="5"/>
  <c r="B755" i="5"/>
  <c r="A755" i="5"/>
  <c r="L754" i="5"/>
  <c r="K754" i="5"/>
  <c r="H754" i="5"/>
  <c r="G754" i="5"/>
  <c r="E754" i="5"/>
  <c r="E826" i="5"/>
  <c r="C754" i="5"/>
  <c r="B754" i="5"/>
  <c r="A754" i="5"/>
  <c r="E753" i="5"/>
  <c r="C753" i="5"/>
  <c r="B753" i="5"/>
  <c r="A753" i="5"/>
  <c r="E752" i="5"/>
  <c r="C752" i="5"/>
  <c r="B752" i="5"/>
  <c r="A752" i="5"/>
  <c r="E751" i="5"/>
  <c r="C751" i="5"/>
  <c r="B751" i="5"/>
  <c r="A751" i="5"/>
  <c r="E750" i="5"/>
  <c r="C750" i="5"/>
  <c r="B750" i="5"/>
  <c r="A750" i="5"/>
  <c r="E749" i="5"/>
  <c r="C749" i="5"/>
  <c r="B749" i="5"/>
  <c r="A749" i="5"/>
  <c r="E748" i="5"/>
  <c r="C748" i="5"/>
  <c r="B748" i="5"/>
  <c r="A748" i="5"/>
  <c r="E747" i="5"/>
  <c r="C747" i="5"/>
  <c r="B747" i="5"/>
  <c r="A747" i="5"/>
  <c r="E746" i="5"/>
  <c r="C746" i="5"/>
  <c r="B746" i="5"/>
  <c r="A746" i="5"/>
  <c r="E745" i="5"/>
  <c r="C745" i="5"/>
  <c r="B745" i="5"/>
  <c r="A745" i="5"/>
  <c r="E744" i="5"/>
  <c r="C744" i="5"/>
  <c r="B744" i="5"/>
  <c r="A744" i="5"/>
  <c r="E743" i="5"/>
  <c r="C743" i="5"/>
  <c r="B743" i="5"/>
  <c r="A743" i="5"/>
  <c r="E742" i="5"/>
  <c r="C742" i="5"/>
  <c r="B742" i="5"/>
  <c r="A742" i="5"/>
  <c r="E741" i="5"/>
  <c r="C741" i="5"/>
  <c r="B741" i="5"/>
  <c r="A741" i="5"/>
  <c r="E740" i="5"/>
  <c r="C740" i="5"/>
  <c r="B740" i="5"/>
  <c r="A740" i="5"/>
  <c r="E739" i="5"/>
  <c r="C739" i="5"/>
  <c r="B739" i="5"/>
  <c r="A739" i="5"/>
  <c r="E738" i="5"/>
  <c r="C738" i="5"/>
  <c r="B738" i="5"/>
  <c r="A738" i="5"/>
  <c r="E737" i="5"/>
  <c r="E822" i="5"/>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c r="E721" i="5"/>
  <c r="C721" i="5"/>
  <c r="B721" i="5"/>
  <c r="A721" i="5"/>
  <c r="J720" i="5"/>
  <c r="F720" i="5"/>
  <c r="E720" i="5"/>
  <c r="C720" i="5"/>
  <c r="B720" i="5"/>
  <c r="A720" i="5"/>
  <c r="J719" i="5"/>
  <c r="F719" i="5"/>
  <c r="E719" i="5"/>
  <c r="C719" i="5"/>
  <c r="B719" i="5"/>
  <c r="A719" i="5"/>
  <c r="J718" i="5"/>
  <c r="F718" i="5"/>
  <c r="F45" i="52"/>
  <c r="E718" i="5"/>
  <c r="C718" i="5"/>
  <c r="B718" i="5"/>
  <c r="A718" i="5"/>
  <c r="E717" i="5"/>
  <c r="C717" i="5"/>
  <c r="B717" i="5"/>
  <c r="A717" i="5"/>
  <c r="E713" i="5"/>
  <c r="C713" i="5"/>
  <c r="B713" i="5"/>
  <c r="A713" i="5"/>
  <c r="E712" i="5"/>
  <c r="C712" i="5"/>
  <c r="B712" i="5"/>
  <c r="A712" i="5"/>
  <c r="E711" i="5"/>
  <c r="E829" i="5"/>
  <c r="C711" i="5"/>
  <c r="B711" i="5"/>
  <c r="A711" i="5"/>
  <c r="E710" i="5"/>
  <c r="C710" i="5"/>
  <c r="B710" i="5"/>
  <c r="A710" i="5"/>
  <c r="E709" i="5"/>
  <c r="C709" i="5"/>
  <c r="B709" i="5"/>
  <c r="A709" i="5"/>
  <c r="L708" i="5"/>
  <c r="K708" i="5"/>
  <c r="E708" i="5"/>
  <c r="C708" i="5"/>
  <c r="B708" i="5"/>
  <c r="A708" i="5"/>
  <c r="E716" i="5"/>
  <c r="C716" i="5"/>
  <c r="B716" i="5"/>
  <c r="A716" i="5"/>
  <c r="E707" i="5"/>
  <c r="C707" i="5"/>
  <c r="B707" i="5"/>
  <c r="A707" i="5"/>
  <c r="J706" i="5"/>
  <c r="M706" i="5" s="1"/>
  <c r="F706" i="5"/>
  <c r="E706" i="5"/>
  <c r="C706" i="5"/>
  <c r="B706" i="5"/>
  <c r="A706" i="5"/>
  <c r="E705" i="5"/>
  <c r="C705" i="5"/>
  <c r="B705" i="5"/>
  <c r="A705" i="5"/>
  <c r="E704" i="5"/>
  <c r="C704" i="5"/>
  <c r="B704" i="5"/>
  <c r="A704" i="5"/>
  <c r="L703" i="5"/>
  <c r="K703" i="5"/>
  <c r="E703" i="5"/>
  <c r="C703" i="5"/>
  <c r="B703" i="5"/>
  <c r="A703" i="5"/>
  <c r="E702" i="5"/>
  <c r="C702" i="5"/>
  <c r="B702" i="5"/>
  <c r="A702" i="5"/>
  <c r="E715" i="5"/>
  <c r="C715" i="5"/>
  <c r="B715" i="5"/>
  <c r="A715" i="5"/>
  <c r="E701" i="5"/>
  <c r="C701" i="5"/>
  <c r="B701" i="5"/>
  <c r="A701" i="5"/>
  <c r="J700" i="5"/>
  <c r="M700" i="5" s="1"/>
  <c r="F700" i="5"/>
  <c r="E700" i="5"/>
  <c r="C700" i="5"/>
  <c r="B700" i="5"/>
  <c r="A700" i="5"/>
  <c r="E699" i="5"/>
  <c r="C699" i="5"/>
  <c r="B699" i="5"/>
  <c r="A699" i="5"/>
  <c r="E698" i="5"/>
  <c r="C698" i="5"/>
  <c r="B698" i="5"/>
  <c r="A698" i="5"/>
  <c r="E697" i="5"/>
  <c r="C697" i="5"/>
  <c r="B697" i="5"/>
  <c r="A697" i="5"/>
  <c r="L696" i="5"/>
  <c r="K696" i="5"/>
  <c r="E696" i="5"/>
  <c r="C696" i="5"/>
  <c r="B696" i="5"/>
  <c r="A696" i="5"/>
  <c r="E695" i="5"/>
  <c r="C695" i="5"/>
  <c r="B695" i="5"/>
  <c r="A695" i="5"/>
  <c r="E694" i="5"/>
  <c r="C694" i="5"/>
  <c r="B694" i="5"/>
  <c r="A694" i="5"/>
  <c r="J693" i="5"/>
  <c r="M693" i="5" s="1"/>
  <c r="F693" i="5"/>
  <c r="E693" i="5"/>
  <c r="C693" i="5"/>
  <c r="B693" i="5"/>
  <c r="A693" i="5"/>
  <c r="E692" i="5"/>
  <c r="C692" i="5"/>
  <c r="B692" i="5"/>
  <c r="A692" i="5"/>
  <c r="E691" i="5"/>
  <c r="C691" i="5"/>
  <c r="B691" i="5"/>
  <c r="A691" i="5"/>
  <c r="L690" i="5"/>
  <c r="L697" i="5"/>
  <c r="K690" i="5"/>
  <c r="K697" i="5"/>
  <c r="E690" i="5"/>
  <c r="C690" i="5"/>
  <c r="B690" i="5"/>
  <c r="A690" i="5"/>
  <c r="E689" i="5"/>
  <c r="C689" i="5"/>
  <c r="B689" i="5"/>
  <c r="A689" i="5"/>
  <c r="E688" i="5"/>
  <c r="C688" i="5"/>
  <c r="B688" i="5"/>
  <c r="A688" i="5"/>
  <c r="E687" i="5"/>
  <c r="C687" i="5"/>
  <c r="B687" i="5"/>
  <c r="A687" i="5"/>
  <c r="E686" i="5"/>
  <c r="C686" i="5"/>
  <c r="B686" i="5"/>
  <c r="A686" i="5"/>
  <c r="E685" i="5"/>
  <c r="C685" i="5"/>
  <c r="B685" i="5"/>
  <c r="A685" i="5"/>
  <c r="E684" i="5"/>
  <c r="C684" i="5"/>
  <c r="B684" i="5"/>
  <c r="A684" i="5"/>
  <c r="E683" i="5"/>
  <c r="E825" i="5"/>
  <c r="C683" i="5"/>
  <c r="B683" i="5"/>
  <c r="A683" i="5"/>
  <c r="L682" i="5"/>
  <c r="K682" i="5"/>
  <c r="E682" i="5"/>
  <c r="C682" i="5"/>
  <c r="B682" i="5"/>
  <c r="A682" i="5"/>
  <c r="E681" i="5"/>
  <c r="C681" i="5"/>
  <c r="B681" i="5"/>
  <c r="A681" i="5"/>
  <c r="E680" i="5"/>
  <c r="C680" i="5"/>
  <c r="B680" i="5"/>
  <c r="A680" i="5"/>
  <c r="E679" i="5"/>
  <c r="C679" i="5"/>
  <c r="B679" i="5"/>
  <c r="A679" i="5"/>
  <c r="J678" i="5"/>
  <c r="M678" i="5" s="1"/>
  <c r="F678" i="5"/>
  <c r="E678" i="5"/>
  <c r="C678" i="5"/>
  <c r="B678" i="5"/>
  <c r="A678" i="5"/>
  <c r="J677" i="5"/>
  <c r="M677" i="5" s="1"/>
  <c r="F27" i="70" s="1"/>
  <c r="F677" i="5"/>
  <c r="E677" i="5"/>
  <c r="C677" i="5"/>
  <c r="B677" i="5"/>
  <c r="A677" i="5"/>
  <c r="J675" i="5"/>
  <c r="M675" i="5" s="1"/>
  <c r="F25" i="70" s="1"/>
  <c r="F675" i="5"/>
  <c r="E675" i="5"/>
  <c r="C675" i="5"/>
  <c r="B675" i="5"/>
  <c r="A675" i="5"/>
  <c r="J674" i="5"/>
  <c r="M674" i="5" s="1"/>
  <c r="F24" i="70" s="1"/>
  <c r="F674" i="5"/>
  <c r="E674" i="5"/>
  <c r="C674" i="5"/>
  <c r="B674" i="5"/>
  <c r="A674" i="5"/>
  <c r="J673" i="5"/>
  <c r="M673" i="5" s="1"/>
  <c r="F23" i="70" s="1"/>
  <c r="F673" i="5"/>
  <c r="E673" i="5"/>
  <c r="C673" i="5"/>
  <c r="B673" i="5"/>
  <c r="A673" i="5"/>
  <c r="E672" i="5"/>
  <c r="C672" i="5"/>
  <c r="B672" i="5"/>
  <c r="A672" i="5"/>
  <c r="L671" i="5"/>
  <c r="L683" i="5"/>
  <c r="K671" i="5"/>
  <c r="K683" i="5"/>
  <c r="E671" i="5"/>
  <c r="C671" i="5"/>
  <c r="B671" i="5"/>
  <c r="A671" i="5"/>
  <c r="E670" i="5"/>
  <c r="C670" i="5"/>
  <c r="B670" i="5"/>
  <c r="A670" i="5"/>
  <c r="E669" i="5"/>
  <c r="C669" i="5"/>
  <c r="B669" i="5"/>
  <c r="A669" i="5"/>
  <c r="J667" i="5"/>
  <c r="M667" i="5" s="1"/>
  <c r="F17" i="70" s="1"/>
  <c r="F667" i="5"/>
  <c r="E667" i="5"/>
  <c r="C667" i="5"/>
  <c r="B667" i="5"/>
  <c r="A667" i="5"/>
  <c r="J666" i="5"/>
  <c r="M666" i="5" s="1"/>
  <c r="F16" i="70" s="1"/>
  <c r="F666" i="5"/>
  <c r="E666" i="5"/>
  <c r="C666" i="5"/>
  <c r="B666" i="5"/>
  <c r="A666" i="5"/>
  <c r="J665" i="5"/>
  <c r="M665" i="5" s="1"/>
  <c r="F15" i="70" s="1"/>
  <c r="F665" i="5"/>
  <c r="E665" i="5"/>
  <c r="C665" i="5"/>
  <c r="B665" i="5"/>
  <c r="A665" i="5"/>
  <c r="E714" i="5"/>
  <c r="C714" i="5"/>
  <c r="B714" i="5"/>
  <c r="A714" i="5"/>
  <c r="J664" i="5"/>
  <c r="M664" i="5" s="1"/>
  <c r="F14" i="70" s="1"/>
  <c r="F664" i="5"/>
  <c r="E664" i="5"/>
  <c r="C664" i="5"/>
  <c r="B664" i="5"/>
  <c r="A664" i="5"/>
  <c r="J663" i="5"/>
  <c r="M663" i="5" s="1"/>
  <c r="F13" i="70" s="1"/>
  <c r="F663" i="5"/>
  <c r="E663" i="5"/>
  <c r="C663" i="5"/>
  <c r="B663" i="5"/>
  <c r="A663" i="5"/>
  <c r="J662" i="5"/>
  <c r="M662" i="5" s="1"/>
  <c r="F12" i="70" s="1"/>
  <c r="F662" i="5"/>
  <c r="E662" i="5"/>
  <c r="C662" i="5"/>
  <c r="B662" i="5"/>
  <c r="A662" i="5"/>
  <c r="J661" i="5"/>
  <c r="M661" i="5" s="1"/>
  <c r="F11" i="70" s="1"/>
  <c r="F661" i="5"/>
  <c r="E661" i="5"/>
  <c r="C661" i="5"/>
  <c r="B661" i="5"/>
  <c r="A661" i="5"/>
  <c r="J660" i="5"/>
  <c r="M660" i="5" s="1"/>
  <c r="F10" i="70" s="1"/>
  <c r="F660" i="5"/>
  <c r="E660" i="5"/>
  <c r="C660" i="5"/>
  <c r="B660" i="5"/>
  <c r="A660" i="5"/>
  <c r="J659" i="5"/>
  <c r="M659" i="5" s="1"/>
  <c r="F9" i="70" s="1"/>
  <c r="F659" i="5"/>
  <c r="E659" i="5"/>
  <c r="C659" i="5"/>
  <c r="B659" i="5"/>
  <c r="A659" i="5"/>
  <c r="E658" i="5"/>
  <c r="C658" i="5"/>
  <c r="B658" i="5"/>
  <c r="A658" i="5"/>
  <c r="E657" i="5"/>
  <c r="C657" i="5"/>
  <c r="B657" i="5"/>
  <c r="A657" i="5"/>
  <c r="E656" i="5"/>
  <c r="C656" i="5"/>
  <c r="B656" i="5"/>
  <c r="A656" i="5"/>
  <c r="E655" i="5"/>
  <c r="E874" i="5"/>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F633" i="5"/>
  <c r="E633" i="5"/>
  <c r="E818" i="5"/>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E621" i="5"/>
  <c r="C621" i="5"/>
  <c r="B621" i="5"/>
  <c r="A621" i="5"/>
  <c r="E620" i="5"/>
  <c r="C620" i="5"/>
  <c r="B620" i="5"/>
  <c r="A620" i="5"/>
  <c r="E619" i="5"/>
  <c r="C619" i="5"/>
  <c r="B619" i="5"/>
  <c r="A619" i="5"/>
  <c r="E618" i="5"/>
  <c r="C618" i="5"/>
  <c r="B618" i="5"/>
  <c r="A618" i="5"/>
  <c r="E617" i="5"/>
  <c r="C617" i="5"/>
  <c r="B617" i="5"/>
  <c r="A617" i="5"/>
  <c r="E616" i="5"/>
  <c r="C616" i="5"/>
  <c r="B616" i="5"/>
  <c r="A616" i="5"/>
  <c r="E615" i="5"/>
  <c r="C615" i="5"/>
  <c r="B615" i="5"/>
  <c r="A615" i="5"/>
  <c r="E614" i="5"/>
  <c r="C614" i="5"/>
  <c r="B614" i="5"/>
  <c r="A614" i="5"/>
  <c r="E613" i="5"/>
  <c r="C613" i="5"/>
  <c r="B613" i="5"/>
  <c r="A613" i="5"/>
  <c r="E612" i="5"/>
  <c r="C612" i="5"/>
  <c r="B612" i="5"/>
  <c r="A612" i="5"/>
  <c r="E611" i="5"/>
  <c r="C611" i="5"/>
  <c r="B611" i="5"/>
  <c r="A611" i="5"/>
  <c r="E610" i="5"/>
  <c r="C610" i="5"/>
  <c r="B610" i="5"/>
  <c r="A610" i="5"/>
  <c r="E609" i="5"/>
  <c r="C609" i="5"/>
  <c r="B609" i="5"/>
  <c r="A609" i="5"/>
  <c r="J608" i="5"/>
  <c r="F608" i="5"/>
  <c r="E608" i="5"/>
  <c r="C608" i="5"/>
  <c r="B608" i="5"/>
  <c r="A608" i="5"/>
  <c r="E607" i="5"/>
  <c r="C607" i="5"/>
  <c r="B607" i="5"/>
  <c r="A607" i="5"/>
  <c r="E606" i="5"/>
  <c r="C606" i="5"/>
  <c r="B606" i="5"/>
  <c r="A606" i="5"/>
  <c r="E605" i="5"/>
  <c r="C605" i="5"/>
  <c r="B605" i="5"/>
  <c r="A605" i="5"/>
  <c r="E604" i="5"/>
  <c r="C604" i="5"/>
  <c r="B604" i="5"/>
  <c r="A604" i="5"/>
  <c r="E603" i="5"/>
  <c r="C603" i="5"/>
  <c r="B603" i="5"/>
  <c r="A603" i="5"/>
  <c r="E602" i="5"/>
  <c r="C602" i="5"/>
  <c r="B602" i="5"/>
  <c r="A602" i="5"/>
  <c r="E601" i="5"/>
  <c r="C601" i="5"/>
  <c r="B601" i="5"/>
  <c r="A601" i="5"/>
  <c r="E600" i="5"/>
  <c r="C600" i="5"/>
  <c r="B600" i="5"/>
  <c r="A600" i="5"/>
  <c r="J599" i="5"/>
  <c r="F599" i="5"/>
  <c r="E599" i="5"/>
  <c r="C599" i="5"/>
  <c r="B599" i="5"/>
  <c r="A599" i="5"/>
  <c r="J598" i="5"/>
  <c r="F598" i="5"/>
  <c r="E598" i="5"/>
  <c r="C598" i="5"/>
  <c r="B598" i="5"/>
  <c r="A598" i="5"/>
  <c r="E597" i="5"/>
  <c r="C597" i="5"/>
  <c r="B597" i="5"/>
  <c r="A597" i="5"/>
  <c r="E596" i="5"/>
  <c r="C596" i="5"/>
  <c r="B596" i="5"/>
  <c r="A596" i="5"/>
  <c r="E595" i="5"/>
  <c r="C595" i="5"/>
  <c r="B595" i="5"/>
  <c r="A595" i="5"/>
  <c r="J594" i="5"/>
  <c r="F594" i="5"/>
  <c r="E594" i="5"/>
  <c r="C594" i="5"/>
  <c r="B594" i="5"/>
  <c r="A594" i="5"/>
  <c r="E593" i="5"/>
  <c r="C593" i="5"/>
  <c r="B593" i="5"/>
  <c r="A593" i="5"/>
  <c r="E592" i="5"/>
  <c r="C592" i="5"/>
  <c r="B592" i="5"/>
  <c r="A592" i="5"/>
  <c r="E591" i="5"/>
  <c r="C591" i="5"/>
  <c r="B591" i="5"/>
  <c r="A591" i="5"/>
  <c r="E590" i="5"/>
  <c r="C590" i="5"/>
  <c r="B590" i="5"/>
  <c r="A590" i="5"/>
  <c r="E589" i="5"/>
  <c r="E870" i="5"/>
  <c r="C589" i="5"/>
  <c r="B589" i="5"/>
  <c r="A589" i="5"/>
  <c r="E588" i="5"/>
  <c r="C588" i="5"/>
  <c r="B588" i="5"/>
  <c r="A588" i="5"/>
  <c r="E587" i="5"/>
  <c r="C587" i="5"/>
  <c r="B587" i="5"/>
  <c r="A587" i="5"/>
  <c r="E586" i="5"/>
  <c r="C586" i="5"/>
  <c r="B586" i="5"/>
  <c r="A586" i="5"/>
  <c r="E585" i="5"/>
  <c r="C585" i="5"/>
  <c r="B585" i="5"/>
  <c r="A585" i="5"/>
  <c r="E584" i="5"/>
  <c r="C584" i="5"/>
  <c r="B584" i="5"/>
  <c r="A584" i="5"/>
  <c r="E583" i="5"/>
  <c r="C583" i="5"/>
  <c r="B583" i="5"/>
  <c r="A583" i="5"/>
  <c r="E582" i="5"/>
  <c r="C582" i="5"/>
  <c r="B582" i="5"/>
  <c r="A582" i="5"/>
  <c r="E581" i="5"/>
  <c r="C581" i="5"/>
  <c r="B581" i="5"/>
  <c r="A581" i="5"/>
  <c r="E580" i="5"/>
  <c r="C580" i="5"/>
  <c r="B580" i="5"/>
  <c r="A580" i="5"/>
  <c r="E579" i="5"/>
  <c r="C579" i="5"/>
  <c r="B579" i="5"/>
  <c r="A579" i="5"/>
  <c r="E578" i="5"/>
  <c r="C578" i="5"/>
  <c r="B578" i="5"/>
  <c r="A578" i="5"/>
  <c r="E577" i="5"/>
  <c r="C577" i="5"/>
  <c r="B577" i="5"/>
  <c r="A577" i="5"/>
  <c r="E576" i="5"/>
  <c r="C576" i="5"/>
  <c r="B576" i="5"/>
  <c r="A576" i="5"/>
  <c r="J575" i="5"/>
  <c r="F575" i="5"/>
  <c r="E575" i="5"/>
  <c r="C575" i="5"/>
  <c r="B575" i="5"/>
  <c r="A575" i="5"/>
  <c r="E574" i="5"/>
  <c r="C574" i="5"/>
  <c r="B574" i="5"/>
  <c r="A574" i="5"/>
  <c r="E573" i="5"/>
  <c r="C573" i="5"/>
  <c r="B573" i="5"/>
  <c r="A573" i="5"/>
  <c r="E572" i="5"/>
  <c r="C572" i="5"/>
  <c r="B572" i="5"/>
  <c r="A572" i="5"/>
  <c r="E571" i="5"/>
  <c r="C571" i="5"/>
  <c r="B571" i="5"/>
  <c r="A571" i="5"/>
  <c r="E570" i="5"/>
  <c r="C570" i="5"/>
  <c r="B570" i="5"/>
  <c r="A570" i="5"/>
  <c r="E569" i="5"/>
  <c r="C569" i="5"/>
  <c r="B569" i="5"/>
  <c r="A569" i="5"/>
  <c r="E568" i="5"/>
  <c r="C568" i="5"/>
  <c r="B568" i="5"/>
  <c r="A568" i="5"/>
  <c r="E567" i="5"/>
  <c r="E806" i="5"/>
  <c r="C567" i="5"/>
  <c r="B567" i="5"/>
  <c r="A567" i="5"/>
  <c r="E566" i="5"/>
  <c r="C566" i="5"/>
  <c r="B566" i="5"/>
  <c r="A566" i="5"/>
  <c r="E565" i="5"/>
  <c r="C565" i="5"/>
  <c r="B565" i="5"/>
  <c r="A565" i="5"/>
  <c r="E564" i="5"/>
  <c r="C564" i="5"/>
  <c r="B564" i="5"/>
  <c r="A564" i="5"/>
  <c r="E563" i="5"/>
  <c r="C563" i="5"/>
  <c r="B563" i="5"/>
  <c r="A563" i="5"/>
  <c r="E562" i="5"/>
  <c r="C562" i="5"/>
  <c r="B562" i="5"/>
  <c r="A562" i="5"/>
  <c r="J561" i="5"/>
  <c r="F561" i="5"/>
  <c r="E561" i="5"/>
  <c r="C561" i="5"/>
  <c r="B561" i="5"/>
  <c r="A561" i="5"/>
  <c r="E560" i="5"/>
  <c r="C560" i="5"/>
  <c r="B560" i="5"/>
  <c r="A560" i="5"/>
  <c r="E559" i="5"/>
  <c r="C559" i="5"/>
  <c r="B559" i="5"/>
  <c r="A559" i="5"/>
  <c r="E558" i="5"/>
  <c r="C558" i="5"/>
  <c r="B558" i="5"/>
  <c r="A558" i="5"/>
  <c r="E557" i="5"/>
  <c r="C557" i="5"/>
  <c r="B557" i="5"/>
  <c r="A557" i="5"/>
  <c r="E556" i="5"/>
  <c r="E866" i="5"/>
  <c r="C556" i="5"/>
  <c r="B556" i="5"/>
  <c r="A556" i="5"/>
  <c r="J555" i="5"/>
  <c r="E555" i="5"/>
  <c r="C555" i="5"/>
  <c r="B555" i="5"/>
  <c r="A555" i="5"/>
  <c r="J554" i="5"/>
  <c r="E554" i="5"/>
  <c r="C554" i="5"/>
  <c r="B554" i="5"/>
  <c r="A554" i="5"/>
  <c r="J553" i="5"/>
  <c r="E553" i="5"/>
  <c r="C553" i="5"/>
  <c r="B553" i="5"/>
  <c r="A553" i="5"/>
  <c r="E552" i="5"/>
  <c r="C552" i="5"/>
  <c r="B552" i="5"/>
  <c r="A552" i="5"/>
  <c r="J551" i="5"/>
  <c r="E551" i="5"/>
  <c r="C551" i="5"/>
  <c r="B551" i="5"/>
  <c r="A551" i="5"/>
  <c r="J550" i="5"/>
  <c r="E550" i="5"/>
  <c r="C550" i="5"/>
  <c r="B550" i="5"/>
  <c r="A550" i="5"/>
  <c r="J549" i="5"/>
  <c r="E549" i="5"/>
  <c r="C549" i="5"/>
  <c r="B549" i="5"/>
  <c r="A549" i="5"/>
  <c r="J548" i="5"/>
  <c r="E548" i="5"/>
  <c r="C548" i="5"/>
  <c r="B548" i="5"/>
  <c r="A548" i="5"/>
  <c r="J547" i="5"/>
  <c r="E547" i="5"/>
  <c r="C547" i="5"/>
  <c r="B547" i="5"/>
  <c r="A547" i="5"/>
  <c r="J546" i="5"/>
  <c r="E546" i="5"/>
  <c r="C546" i="5"/>
  <c r="B546" i="5"/>
  <c r="A546" i="5"/>
  <c r="E545" i="5"/>
  <c r="C545" i="5"/>
  <c r="B545" i="5"/>
  <c r="A545" i="5"/>
  <c r="J544" i="5"/>
  <c r="E544" i="5"/>
  <c r="C544" i="5"/>
  <c r="B544" i="5"/>
  <c r="A544" i="5"/>
  <c r="J543" i="5"/>
  <c r="E543" i="5"/>
  <c r="C543" i="5"/>
  <c r="B543" i="5"/>
  <c r="A543" i="5"/>
  <c r="J542" i="5"/>
  <c r="F542" i="5"/>
  <c r="E542" i="5"/>
  <c r="C542" i="5"/>
  <c r="B542" i="5"/>
  <c r="A542" i="5"/>
  <c r="J541" i="5"/>
  <c r="E541" i="5"/>
  <c r="C541" i="5"/>
  <c r="B541" i="5"/>
  <c r="A541" i="5"/>
  <c r="E540" i="5"/>
  <c r="C540" i="5"/>
  <c r="B540" i="5"/>
  <c r="A540" i="5"/>
  <c r="J539" i="5"/>
  <c r="E539" i="5"/>
  <c r="C539" i="5"/>
  <c r="B539" i="5"/>
  <c r="A539" i="5"/>
  <c r="J538" i="5"/>
  <c r="E538" i="5"/>
  <c r="C538" i="5"/>
  <c r="B538" i="5"/>
  <c r="A538" i="5"/>
  <c r="J537" i="5"/>
  <c r="E537" i="5"/>
  <c r="C537" i="5"/>
  <c r="B537" i="5"/>
  <c r="A537" i="5"/>
  <c r="J536" i="5"/>
  <c r="E536" i="5"/>
  <c r="C536" i="5"/>
  <c r="B536" i="5"/>
  <c r="A536" i="5"/>
  <c r="E535" i="5"/>
  <c r="C535" i="5"/>
  <c r="B535" i="5"/>
  <c r="A535" i="5"/>
  <c r="J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E529" i="5"/>
  <c r="C529" i="5"/>
  <c r="B529" i="5"/>
  <c r="A529" i="5"/>
  <c r="J528" i="5"/>
  <c r="F528" i="5"/>
  <c r="E528" i="5"/>
  <c r="C528" i="5"/>
  <c r="B528" i="5"/>
  <c r="A528" i="5"/>
  <c r="J527" i="5"/>
  <c r="E527" i="5"/>
  <c r="C527" i="5"/>
  <c r="B527" i="5"/>
  <c r="A527" i="5"/>
  <c r="J526" i="5"/>
  <c r="E526" i="5"/>
  <c r="C526" i="5"/>
  <c r="B526" i="5"/>
  <c r="A526" i="5"/>
  <c r="J525" i="5"/>
  <c r="E525" i="5"/>
  <c r="C525" i="5"/>
  <c r="B525" i="5"/>
  <c r="A525" i="5"/>
  <c r="E524" i="5"/>
  <c r="C524" i="5"/>
  <c r="B524" i="5"/>
  <c r="A524" i="5"/>
  <c r="E523" i="5"/>
  <c r="E862" i="5"/>
  <c r="C523" i="5"/>
  <c r="B523" i="5"/>
  <c r="A523" i="5"/>
  <c r="E522" i="5"/>
  <c r="C522" i="5"/>
  <c r="B522" i="5"/>
  <c r="A522" i="5"/>
  <c r="E521" i="5"/>
  <c r="C521" i="5"/>
  <c r="B521" i="5"/>
  <c r="A521" i="5"/>
  <c r="E520" i="5"/>
  <c r="C520" i="5"/>
  <c r="B520" i="5"/>
  <c r="A520" i="5"/>
  <c r="E519" i="5"/>
  <c r="C519" i="5"/>
  <c r="B519" i="5"/>
  <c r="A519" i="5"/>
  <c r="E518" i="5"/>
  <c r="C518" i="5"/>
  <c r="B518" i="5"/>
  <c r="A518" i="5"/>
  <c r="E517" i="5"/>
  <c r="C517" i="5"/>
  <c r="B517" i="5"/>
  <c r="A517" i="5"/>
  <c r="E516" i="5"/>
  <c r="C516" i="5"/>
  <c r="B516" i="5"/>
  <c r="A516" i="5"/>
  <c r="E515" i="5"/>
  <c r="C515" i="5"/>
  <c r="B515" i="5"/>
  <c r="A515" i="5"/>
  <c r="E514" i="5"/>
  <c r="C514" i="5"/>
  <c r="B514" i="5"/>
  <c r="A514" i="5"/>
  <c r="E513" i="5"/>
  <c r="C513" i="5"/>
  <c r="B513" i="5"/>
  <c r="A513" i="5"/>
  <c r="E512" i="5"/>
  <c r="C512" i="5"/>
  <c r="B512" i="5"/>
  <c r="A512" i="5"/>
  <c r="E511" i="5"/>
  <c r="C511" i="5"/>
  <c r="B511" i="5"/>
  <c r="A511" i="5"/>
  <c r="E510" i="5"/>
  <c r="C510" i="5"/>
  <c r="B510" i="5"/>
  <c r="A510" i="5"/>
  <c r="J509" i="5"/>
  <c r="F509" i="5"/>
  <c r="E509" i="5"/>
  <c r="C509" i="5"/>
  <c r="B509" i="5"/>
  <c r="A509" i="5"/>
  <c r="E508" i="5"/>
  <c r="C508" i="5"/>
  <c r="B508" i="5"/>
  <c r="A508" i="5"/>
  <c r="E507" i="5"/>
  <c r="C507" i="5"/>
  <c r="B507" i="5"/>
  <c r="A507" i="5"/>
  <c r="E506" i="5"/>
  <c r="C506" i="5"/>
  <c r="B506" i="5"/>
  <c r="A506" i="5"/>
  <c r="E505" i="5"/>
  <c r="C505" i="5"/>
  <c r="B505" i="5"/>
  <c r="A505" i="5"/>
  <c r="E504" i="5"/>
  <c r="C504" i="5"/>
  <c r="B504" i="5"/>
  <c r="A504" i="5"/>
  <c r="E503" i="5"/>
  <c r="C503" i="5"/>
  <c r="B503" i="5"/>
  <c r="A503" i="5"/>
  <c r="E502" i="5"/>
  <c r="C502" i="5"/>
  <c r="B502" i="5"/>
  <c r="A502" i="5"/>
  <c r="E501" i="5"/>
  <c r="C501" i="5"/>
  <c r="B501" i="5"/>
  <c r="A501" i="5"/>
  <c r="J500" i="5"/>
  <c r="F500" i="5"/>
  <c r="E500" i="5"/>
  <c r="C500" i="5"/>
  <c r="B500" i="5"/>
  <c r="A500" i="5"/>
  <c r="J499" i="5"/>
  <c r="F499" i="5"/>
  <c r="E499" i="5"/>
  <c r="C499" i="5"/>
  <c r="B499" i="5"/>
  <c r="A499" i="5"/>
  <c r="E498" i="5"/>
  <c r="C498" i="5"/>
  <c r="B498" i="5"/>
  <c r="A498" i="5"/>
  <c r="E497" i="5"/>
  <c r="C497" i="5"/>
  <c r="B497" i="5"/>
  <c r="A497" i="5"/>
  <c r="E496" i="5"/>
  <c r="C496" i="5"/>
  <c r="B496" i="5"/>
  <c r="A496" i="5"/>
  <c r="J495" i="5"/>
  <c r="F495" i="5"/>
  <c r="E495" i="5"/>
  <c r="C495" i="5"/>
  <c r="B495" i="5"/>
  <c r="A495" i="5"/>
  <c r="E494" i="5"/>
  <c r="C494" i="5"/>
  <c r="B494" i="5"/>
  <c r="A494" i="5"/>
  <c r="E493" i="5"/>
  <c r="C493" i="5"/>
  <c r="B493" i="5"/>
  <c r="A493" i="5"/>
  <c r="E492" i="5"/>
  <c r="C492" i="5"/>
  <c r="B492" i="5"/>
  <c r="A492" i="5"/>
  <c r="E491" i="5"/>
  <c r="C491" i="5"/>
  <c r="B491" i="5"/>
  <c r="A491" i="5"/>
  <c r="E490" i="5"/>
  <c r="E858" i="5"/>
  <c r="C490" i="5"/>
  <c r="B490" i="5"/>
  <c r="A490" i="5"/>
  <c r="E489" i="5"/>
  <c r="C489" i="5"/>
  <c r="B489" i="5"/>
  <c r="A489" i="5"/>
  <c r="E488" i="5"/>
  <c r="C488" i="5"/>
  <c r="B488" i="5"/>
  <c r="A488" i="5"/>
  <c r="E487" i="5"/>
  <c r="C487" i="5"/>
  <c r="B487" i="5"/>
  <c r="A487" i="5"/>
  <c r="E486" i="5"/>
  <c r="C486" i="5"/>
  <c r="B486" i="5"/>
  <c r="A486" i="5"/>
  <c r="E485" i="5"/>
  <c r="C485" i="5"/>
  <c r="B485" i="5"/>
  <c r="A485" i="5"/>
  <c r="E484" i="5"/>
  <c r="C484" i="5"/>
  <c r="B484" i="5"/>
  <c r="A484" i="5"/>
  <c r="E483" i="5"/>
  <c r="C483" i="5"/>
  <c r="B483" i="5"/>
  <c r="A483" i="5"/>
  <c r="E482" i="5"/>
  <c r="C482" i="5"/>
  <c r="B482" i="5"/>
  <c r="A482" i="5"/>
  <c r="E481" i="5"/>
  <c r="C481" i="5"/>
  <c r="B481" i="5"/>
  <c r="A481" i="5"/>
  <c r="E480" i="5"/>
  <c r="C480" i="5"/>
  <c r="B480" i="5"/>
  <c r="A480" i="5"/>
  <c r="E479" i="5"/>
  <c r="C479" i="5"/>
  <c r="B479" i="5"/>
  <c r="A479" i="5"/>
  <c r="E478" i="5"/>
  <c r="C478" i="5"/>
  <c r="B478" i="5"/>
  <c r="A478" i="5"/>
  <c r="E477" i="5"/>
  <c r="C477" i="5"/>
  <c r="B477" i="5"/>
  <c r="A477" i="5"/>
  <c r="J476" i="5"/>
  <c r="F476" i="5"/>
  <c r="E476" i="5"/>
  <c r="C476" i="5"/>
  <c r="B476" i="5"/>
  <c r="A476" i="5"/>
  <c r="E475" i="5"/>
  <c r="C475" i="5"/>
  <c r="B475" i="5"/>
  <c r="A475" i="5"/>
  <c r="E474" i="5"/>
  <c r="C474" i="5"/>
  <c r="B474" i="5"/>
  <c r="A474" i="5"/>
  <c r="E473" i="5"/>
  <c r="C473" i="5"/>
  <c r="B473" i="5"/>
  <c r="A473" i="5"/>
  <c r="E472" i="5"/>
  <c r="C472" i="5"/>
  <c r="B472" i="5"/>
  <c r="A472" i="5"/>
  <c r="E471" i="5"/>
  <c r="C471" i="5"/>
  <c r="B471" i="5"/>
  <c r="A471" i="5"/>
  <c r="E470" i="5"/>
  <c r="C470" i="5"/>
  <c r="B470" i="5"/>
  <c r="A470" i="5"/>
  <c r="E469" i="5"/>
  <c r="C469" i="5"/>
  <c r="B469" i="5"/>
  <c r="A469" i="5"/>
  <c r="E468" i="5"/>
  <c r="C468" i="5"/>
  <c r="B468" i="5"/>
  <c r="A468" i="5"/>
  <c r="J467" i="5"/>
  <c r="F467" i="5"/>
  <c r="E467" i="5"/>
  <c r="C467" i="5"/>
  <c r="B467" i="5"/>
  <c r="A467" i="5"/>
  <c r="J466" i="5"/>
  <c r="F466" i="5"/>
  <c r="E466" i="5"/>
  <c r="C466" i="5"/>
  <c r="B466" i="5"/>
  <c r="A466" i="5"/>
  <c r="E465" i="5"/>
  <c r="C465" i="5"/>
  <c r="B465" i="5"/>
  <c r="A465" i="5"/>
  <c r="E464" i="5"/>
  <c r="C464" i="5"/>
  <c r="B464" i="5"/>
  <c r="A464" i="5"/>
  <c r="E463" i="5"/>
  <c r="C463" i="5"/>
  <c r="B463" i="5"/>
  <c r="A463" i="5"/>
  <c r="J462" i="5"/>
  <c r="F462" i="5"/>
  <c r="E462" i="5"/>
  <c r="C462" i="5"/>
  <c r="B462" i="5"/>
  <c r="A462" i="5"/>
  <c r="E461" i="5"/>
  <c r="C461" i="5"/>
  <c r="B461" i="5"/>
  <c r="A461" i="5"/>
  <c r="E460" i="5"/>
  <c r="C460" i="5"/>
  <c r="B460" i="5"/>
  <c r="A460" i="5"/>
  <c r="E459" i="5"/>
  <c r="C459" i="5"/>
  <c r="B459" i="5"/>
  <c r="A459" i="5"/>
  <c r="E458" i="5"/>
  <c r="C458" i="5"/>
  <c r="B458" i="5"/>
  <c r="A458" i="5"/>
  <c r="E457" i="5"/>
  <c r="E854" i="5"/>
  <c r="C457" i="5"/>
  <c r="B457" i="5"/>
  <c r="A457" i="5"/>
  <c r="E456" i="5"/>
  <c r="C456" i="5"/>
  <c r="B456" i="5"/>
  <c r="A456" i="5"/>
  <c r="E455" i="5"/>
  <c r="C455" i="5"/>
  <c r="B455" i="5"/>
  <c r="A455" i="5"/>
  <c r="E454" i="5"/>
  <c r="C454" i="5"/>
  <c r="B454" i="5"/>
  <c r="A454" i="5"/>
  <c r="E453" i="5"/>
  <c r="C453" i="5"/>
  <c r="B453" i="5"/>
  <c r="A453" i="5"/>
  <c r="E452" i="5"/>
  <c r="C452" i="5"/>
  <c r="B452" i="5"/>
  <c r="A452" i="5"/>
  <c r="E451" i="5"/>
  <c r="C451" i="5"/>
  <c r="B451" i="5"/>
  <c r="A451" i="5"/>
  <c r="E450" i="5"/>
  <c r="C450" i="5"/>
  <c r="B450" i="5"/>
  <c r="A450" i="5"/>
  <c r="E449" i="5"/>
  <c r="C449" i="5"/>
  <c r="B449" i="5"/>
  <c r="A449" i="5"/>
  <c r="E448" i="5"/>
  <c r="C448" i="5"/>
  <c r="B448" i="5"/>
  <c r="A448" i="5"/>
  <c r="E447" i="5"/>
  <c r="C447" i="5"/>
  <c r="B447" i="5"/>
  <c r="A447" i="5"/>
  <c r="E446" i="5"/>
  <c r="C446" i="5"/>
  <c r="B446" i="5"/>
  <c r="A446" i="5"/>
  <c r="E445" i="5"/>
  <c r="C445" i="5"/>
  <c r="B445" i="5"/>
  <c r="A445" i="5"/>
  <c r="E444" i="5"/>
  <c r="C444" i="5"/>
  <c r="B444" i="5"/>
  <c r="A444" i="5"/>
  <c r="J443" i="5"/>
  <c r="F443" i="5"/>
  <c r="E443" i="5"/>
  <c r="C443" i="5"/>
  <c r="B443" i="5"/>
  <c r="A443" i="5"/>
  <c r="E442" i="5"/>
  <c r="C442" i="5"/>
  <c r="B442" i="5"/>
  <c r="A442" i="5"/>
  <c r="E441" i="5"/>
  <c r="C441" i="5"/>
  <c r="B441" i="5"/>
  <c r="A441" i="5"/>
  <c r="E440" i="5"/>
  <c r="C440" i="5"/>
  <c r="B440" i="5"/>
  <c r="A440" i="5"/>
  <c r="E439" i="5"/>
  <c r="C439" i="5"/>
  <c r="B439" i="5"/>
  <c r="A439" i="5"/>
  <c r="E438" i="5"/>
  <c r="C438" i="5"/>
  <c r="B438" i="5"/>
  <c r="A438" i="5"/>
  <c r="E437" i="5"/>
  <c r="C437" i="5"/>
  <c r="B437" i="5"/>
  <c r="A437" i="5"/>
  <c r="E436" i="5"/>
  <c r="C436" i="5"/>
  <c r="B436" i="5"/>
  <c r="A436" i="5"/>
  <c r="E435" i="5"/>
  <c r="E810" i="5"/>
  <c r="C435" i="5"/>
  <c r="B435" i="5"/>
  <c r="A435" i="5"/>
  <c r="E434" i="5"/>
  <c r="C434" i="5"/>
  <c r="B434" i="5"/>
  <c r="A434" i="5"/>
  <c r="E433" i="5"/>
  <c r="C433" i="5"/>
  <c r="B433" i="5"/>
  <c r="A433" i="5"/>
  <c r="E432" i="5"/>
  <c r="C432" i="5"/>
  <c r="B432" i="5"/>
  <c r="A432" i="5"/>
  <c r="J431" i="5"/>
  <c r="F431" i="5"/>
  <c r="E431" i="5"/>
  <c r="C431" i="5"/>
  <c r="B431" i="5"/>
  <c r="A431" i="5"/>
  <c r="E430" i="5"/>
  <c r="C430" i="5"/>
  <c r="B430" i="5"/>
  <c r="A430" i="5"/>
  <c r="E429" i="5"/>
  <c r="C429" i="5"/>
  <c r="B429" i="5"/>
  <c r="A429" i="5"/>
  <c r="E428" i="5"/>
  <c r="C428" i="5"/>
  <c r="B428" i="5"/>
  <c r="A428" i="5"/>
  <c r="E427" i="5"/>
  <c r="C427" i="5"/>
  <c r="B427" i="5"/>
  <c r="A427" i="5"/>
  <c r="E426" i="5"/>
  <c r="E850" i="5"/>
  <c r="C426" i="5"/>
  <c r="B426" i="5"/>
  <c r="A426" i="5"/>
  <c r="E425" i="5"/>
  <c r="C425" i="5"/>
  <c r="B425" i="5"/>
  <c r="A425" i="5"/>
  <c r="E424" i="5"/>
  <c r="C424" i="5"/>
  <c r="B424" i="5"/>
  <c r="A424" i="5"/>
  <c r="E423" i="5"/>
  <c r="C423" i="5"/>
  <c r="B423" i="5"/>
  <c r="A423" i="5"/>
  <c r="E422" i="5"/>
  <c r="C422" i="5"/>
  <c r="B422" i="5"/>
  <c r="A422" i="5"/>
  <c r="E421" i="5"/>
  <c r="C421" i="5"/>
  <c r="B421" i="5"/>
  <c r="A421" i="5"/>
  <c r="E420" i="5"/>
  <c r="C420" i="5"/>
  <c r="B420" i="5"/>
  <c r="A420" i="5"/>
  <c r="E419" i="5"/>
  <c r="C419" i="5"/>
  <c r="B419" i="5"/>
  <c r="A419" i="5"/>
  <c r="E418" i="5"/>
  <c r="C418" i="5"/>
  <c r="B418" i="5"/>
  <c r="A418" i="5"/>
  <c r="E417" i="5"/>
  <c r="C417" i="5"/>
  <c r="B417" i="5"/>
  <c r="A417" i="5"/>
  <c r="E416" i="5"/>
  <c r="C416" i="5"/>
  <c r="B416" i="5"/>
  <c r="A416" i="5"/>
  <c r="E415" i="5"/>
  <c r="C415" i="5"/>
  <c r="B415" i="5"/>
  <c r="A415" i="5"/>
  <c r="E414" i="5"/>
  <c r="C414" i="5"/>
  <c r="B414" i="5"/>
  <c r="A414" i="5"/>
  <c r="E413" i="5"/>
  <c r="C413" i="5"/>
  <c r="B413" i="5"/>
  <c r="A413" i="5"/>
  <c r="J412" i="5"/>
  <c r="F412" i="5"/>
  <c r="E412" i="5"/>
  <c r="C412" i="5"/>
  <c r="B412" i="5"/>
  <c r="A412" i="5"/>
  <c r="E411" i="5"/>
  <c r="C411" i="5"/>
  <c r="B411" i="5"/>
  <c r="A411" i="5"/>
  <c r="E410" i="5"/>
  <c r="C410" i="5"/>
  <c r="B410" i="5"/>
  <c r="A410" i="5"/>
  <c r="E409" i="5"/>
  <c r="C409" i="5"/>
  <c r="B409" i="5"/>
  <c r="A409" i="5"/>
  <c r="E408" i="5"/>
  <c r="C408" i="5"/>
  <c r="B408" i="5"/>
  <c r="A408" i="5"/>
  <c r="E407" i="5"/>
  <c r="C407" i="5"/>
  <c r="B407" i="5"/>
  <c r="A407" i="5"/>
  <c r="E406" i="5"/>
  <c r="C406" i="5"/>
  <c r="B406" i="5"/>
  <c r="A406" i="5"/>
  <c r="E405" i="5"/>
  <c r="C405" i="5"/>
  <c r="B405" i="5"/>
  <c r="A405" i="5"/>
  <c r="E404" i="5"/>
  <c r="C404" i="5"/>
  <c r="B404" i="5"/>
  <c r="A404" i="5"/>
  <c r="J403" i="5"/>
  <c r="F403" i="5"/>
  <c r="E403" i="5"/>
  <c r="C403" i="5"/>
  <c r="B403" i="5"/>
  <c r="A403" i="5"/>
  <c r="J402" i="5"/>
  <c r="F402" i="5"/>
  <c r="E402" i="5"/>
  <c r="C402" i="5"/>
  <c r="B402" i="5"/>
  <c r="A402" i="5"/>
  <c r="E401" i="5"/>
  <c r="C401" i="5"/>
  <c r="B401" i="5"/>
  <c r="A401" i="5"/>
  <c r="E400" i="5"/>
  <c r="C400" i="5"/>
  <c r="B400" i="5"/>
  <c r="A400" i="5"/>
  <c r="E399" i="5"/>
  <c r="C399" i="5"/>
  <c r="B399" i="5"/>
  <c r="A399" i="5"/>
  <c r="J398" i="5"/>
  <c r="F398" i="5"/>
  <c r="E398" i="5"/>
  <c r="C398" i="5"/>
  <c r="B398" i="5"/>
  <c r="A398" i="5"/>
  <c r="E397" i="5"/>
  <c r="C397" i="5"/>
  <c r="B397" i="5"/>
  <c r="A397" i="5"/>
  <c r="E396" i="5"/>
  <c r="C396" i="5"/>
  <c r="B396" i="5"/>
  <c r="A396" i="5"/>
  <c r="E395" i="5"/>
  <c r="C395" i="5"/>
  <c r="B395" i="5"/>
  <c r="A395" i="5"/>
  <c r="E394" i="5"/>
  <c r="C394" i="5"/>
  <c r="B394" i="5"/>
  <c r="A394" i="5"/>
  <c r="E393" i="5"/>
  <c r="E846" i="5"/>
  <c r="C393" i="5"/>
  <c r="B393" i="5"/>
  <c r="A393" i="5"/>
  <c r="E392" i="5"/>
  <c r="C392" i="5"/>
  <c r="B392" i="5"/>
  <c r="A392" i="5"/>
  <c r="E391" i="5"/>
  <c r="C391" i="5"/>
  <c r="B391" i="5"/>
  <c r="A391" i="5"/>
  <c r="E390" i="5"/>
  <c r="C390" i="5"/>
  <c r="B390" i="5"/>
  <c r="A390" i="5"/>
  <c r="E389" i="5"/>
  <c r="C389" i="5"/>
  <c r="B389" i="5"/>
  <c r="A389" i="5"/>
  <c r="E388" i="5"/>
  <c r="C388" i="5"/>
  <c r="B388" i="5"/>
  <c r="A388" i="5"/>
  <c r="E387" i="5"/>
  <c r="C387" i="5"/>
  <c r="B387" i="5"/>
  <c r="A387" i="5"/>
  <c r="E386" i="5"/>
  <c r="C386" i="5"/>
  <c r="B386" i="5"/>
  <c r="A386" i="5"/>
  <c r="E385" i="5"/>
  <c r="C385" i="5"/>
  <c r="B385" i="5"/>
  <c r="A385" i="5"/>
  <c r="E384" i="5"/>
  <c r="C384" i="5"/>
  <c r="B384" i="5"/>
  <c r="A384" i="5"/>
  <c r="E383" i="5"/>
  <c r="C383" i="5"/>
  <c r="B383" i="5"/>
  <c r="A383" i="5"/>
  <c r="E382" i="5"/>
  <c r="C382" i="5"/>
  <c r="B382" i="5"/>
  <c r="A382" i="5"/>
  <c r="E381" i="5"/>
  <c r="C381" i="5"/>
  <c r="B381" i="5"/>
  <c r="A381" i="5"/>
  <c r="E380" i="5"/>
  <c r="C380" i="5"/>
  <c r="B380" i="5"/>
  <c r="A380" i="5"/>
  <c r="J379" i="5"/>
  <c r="F379" i="5"/>
  <c r="E379" i="5"/>
  <c r="C379" i="5"/>
  <c r="B379" i="5"/>
  <c r="A379" i="5"/>
  <c r="E378" i="5"/>
  <c r="C378" i="5"/>
  <c r="B378" i="5"/>
  <c r="A378" i="5"/>
  <c r="E377" i="5"/>
  <c r="C377" i="5"/>
  <c r="B377" i="5"/>
  <c r="A377" i="5"/>
  <c r="E376" i="5"/>
  <c r="C376" i="5"/>
  <c r="B376" i="5"/>
  <c r="A376" i="5"/>
  <c r="E375" i="5"/>
  <c r="C375" i="5"/>
  <c r="B375" i="5"/>
  <c r="A375" i="5"/>
  <c r="E374" i="5"/>
  <c r="C374" i="5"/>
  <c r="B374" i="5"/>
  <c r="A374" i="5"/>
  <c r="E373" i="5"/>
  <c r="C373" i="5"/>
  <c r="B373" i="5"/>
  <c r="A373" i="5"/>
  <c r="E372" i="5"/>
  <c r="C372" i="5"/>
  <c r="B372" i="5"/>
  <c r="A372" i="5"/>
  <c r="E371" i="5"/>
  <c r="C371" i="5"/>
  <c r="B371" i="5"/>
  <c r="A371" i="5"/>
  <c r="J370" i="5"/>
  <c r="F370" i="5"/>
  <c r="E370" i="5"/>
  <c r="C370" i="5"/>
  <c r="B370" i="5"/>
  <c r="A370" i="5"/>
  <c r="J369" i="5"/>
  <c r="F369" i="5"/>
  <c r="E369" i="5"/>
  <c r="C369" i="5"/>
  <c r="B369" i="5"/>
  <c r="A369" i="5"/>
  <c r="E368" i="5"/>
  <c r="C368" i="5"/>
  <c r="B368" i="5"/>
  <c r="A368" i="5"/>
  <c r="E367" i="5"/>
  <c r="C367" i="5"/>
  <c r="B367" i="5"/>
  <c r="A367" i="5"/>
  <c r="E366" i="5"/>
  <c r="C366" i="5"/>
  <c r="B366" i="5"/>
  <c r="A366" i="5"/>
  <c r="J365" i="5"/>
  <c r="F365" i="5"/>
  <c r="E365" i="5"/>
  <c r="C365" i="5"/>
  <c r="B365" i="5"/>
  <c r="A365" i="5"/>
  <c r="E364" i="5"/>
  <c r="C364" i="5"/>
  <c r="B364" i="5"/>
  <c r="A364" i="5"/>
  <c r="E363" i="5"/>
  <c r="C363" i="5"/>
  <c r="B363" i="5"/>
  <c r="A363" i="5"/>
  <c r="E362" i="5"/>
  <c r="C362" i="5"/>
  <c r="B362" i="5"/>
  <c r="A362" i="5"/>
  <c r="E361" i="5"/>
  <c r="C361" i="5"/>
  <c r="B361" i="5"/>
  <c r="A361" i="5"/>
  <c r="E360" i="5"/>
  <c r="C360" i="5"/>
  <c r="B360" i="5"/>
  <c r="A360" i="5"/>
  <c r="E359" i="5"/>
  <c r="C359" i="5"/>
  <c r="B359" i="5"/>
  <c r="A359" i="5"/>
  <c r="E358" i="5"/>
  <c r="C358" i="5"/>
  <c r="B358" i="5"/>
  <c r="A358" i="5"/>
  <c r="E357" i="5"/>
  <c r="C357" i="5"/>
  <c r="B357" i="5"/>
  <c r="A357" i="5"/>
  <c r="E356" i="5"/>
  <c r="C356" i="5"/>
  <c r="B356" i="5"/>
  <c r="A356" i="5"/>
  <c r="E355" i="5"/>
  <c r="C355" i="5"/>
  <c r="B355" i="5"/>
  <c r="A355" i="5"/>
  <c r="E354" i="5"/>
  <c r="C354" i="5"/>
  <c r="B354" i="5"/>
  <c r="A354" i="5"/>
  <c r="E353" i="5"/>
  <c r="C353" i="5"/>
  <c r="B353" i="5"/>
  <c r="A353" i="5"/>
  <c r="E352" i="5"/>
  <c r="C352" i="5"/>
  <c r="B352" i="5"/>
  <c r="A352" i="5"/>
  <c r="E351" i="5"/>
  <c r="C351" i="5"/>
  <c r="B351" i="5"/>
  <c r="A351" i="5"/>
  <c r="E350" i="5"/>
  <c r="C350" i="5"/>
  <c r="B350" i="5"/>
  <c r="A350" i="5"/>
  <c r="E349" i="5"/>
  <c r="C349" i="5"/>
  <c r="B349" i="5"/>
  <c r="A349" i="5"/>
  <c r="E348" i="5"/>
  <c r="C348" i="5"/>
  <c r="B348" i="5"/>
  <c r="A348" i="5"/>
  <c r="E347" i="5"/>
  <c r="C347" i="5"/>
  <c r="B347" i="5"/>
  <c r="A347" i="5"/>
  <c r="J346" i="5"/>
  <c r="F346" i="5"/>
  <c r="E346" i="5"/>
  <c r="C346" i="5"/>
  <c r="B346" i="5"/>
  <c r="A346" i="5"/>
  <c r="E345" i="5"/>
  <c r="C345" i="5"/>
  <c r="B345" i="5"/>
  <c r="A345" i="5"/>
  <c r="E344" i="5"/>
  <c r="C344" i="5"/>
  <c r="B344" i="5"/>
  <c r="A344" i="5"/>
  <c r="E343" i="5"/>
  <c r="C343" i="5"/>
  <c r="B343" i="5"/>
  <c r="A343" i="5"/>
  <c r="E342" i="5"/>
  <c r="C342" i="5"/>
  <c r="B342" i="5"/>
  <c r="A342" i="5"/>
  <c r="E341" i="5"/>
  <c r="C341" i="5"/>
  <c r="B341" i="5"/>
  <c r="A341" i="5"/>
  <c r="E340" i="5"/>
  <c r="C340" i="5"/>
  <c r="B340" i="5"/>
  <c r="A340" i="5"/>
  <c r="E339" i="5"/>
  <c r="C339" i="5"/>
  <c r="B339" i="5"/>
  <c r="A339" i="5"/>
  <c r="E338" i="5"/>
  <c r="C338" i="5"/>
  <c r="B338" i="5"/>
  <c r="A338" i="5"/>
  <c r="E337" i="5"/>
  <c r="C337" i="5"/>
  <c r="B337" i="5"/>
  <c r="A337" i="5"/>
  <c r="E336" i="5"/>
  <c r="C336" i="5"/>
  <c r="B336" i="5"/>
  <c r="A336" i="5"/>
  <c r="E335" i="5"/>
  <c r="C335" i="5"/>
  <c r="B335" i="5"/>
  <c r="A335" i="5"/>
  <c r="J334" i="5"/>
  <c r="F334" i="5"/>
  <c r="E334" i="5"/>
  <c r="C334" i="5"/>
  <c r="B334" i="5"/>
  <c r="A334" i="5"/>
  <c r="E333" i="5"/>
  <c r="C333" i="5"/>
  <c r="B333" i="5"/>
  <c r="A333" i="5"/>
  <c r="E332" i="5"/>
  <c r="C332" i="5"/>
  <c r="B332" i="5"/>
  <c r="A332" i="5"/>
  <c r="E331" i="5"/>
  <c r="C331" i="5"/>
  <c r="B331" i="5"/>
  <c r="A331" i="5"/>
  <c r="E330" i="5"/>
  <c r="C330" i="5"/>
  <c r="B330" i="5"/>
  <c r="A330" i="5"/>
  <c r="E329" i="5"/>
  <c r="E842" i="5"/>
  <c r="C329" i="5"/>
  <c r="B329" i="5"/>
  <c r="A329" i="5"/>
  <c r="E328" i="5"/>
  <c r="C328" i="5"/>
  <c r="B328" i="5"/>
  <c r="A328" i="5"/>
  <c r="E327" i="5"/>
  <c r="C327" i="5"/>
  <c r="B327" i="5"/>
  <c r="A327" i="5"/>
  <c r="E326" i="5"/>
  <c r="C326" i="5"/>
  <c r="B326" i="5"/>
  <c r="A326" i="5"/>
  <c r="E325" i="5"/>
  <c r="C325" i="5"/>
  <c r="B325" i="5"/>
  <c r="A325" i="5"/>
  <c r="E324" i="5"/>
  <c r="C324" i="5"/>
  <c r="B324" i="5"/>
  <c r="A324" i="5"/>
  <c r="E323" i="5"/>
  <c r="C323" i="5"/>
  <c r="B323" i="5"/>
  <c r="A323" i="5"/>
  <c r="E322" i="5"/>
  <c r="C322" i="5"/>
  <c r="B322" i="5"/>
  <c r="A322" i="5"/>
  <c r="E321" i="5"/>
  <c r="C321" i="5"/>
  <c r="B321" i="5"/>
  <c r="A321" i="5"/>
  <c r="E320" i="5"/>
  <c r="C320" i="5"/>
  <c r="B320" i="5"/>
  <c r="A320" i="5"/>
  <c r="E319" i="5"/>
  <c r="C319" i="5"/>
  <c r="B319" i="5"/>
  <c r="A319" i="5"/>
  <c r="E318" i="5"/>
  <c r="C318" i="5"/>
  <c r="B318" i="5"/>
  <c r="A318" i="5"/>
  <c r="E317" i="5"/>
  <c r="C317" i="5"/>
  <c r="B317" i="5"/>
  <c r="A317" i="5"/>
  <c r="E316" i="5"/>
  <c r="C316" i="5"/>
  <c r="B316" i="5"/>
  <c r="A316" i="5"/>
  <c r="J315" i="5"/>
  <c r="F315" i="5"/>
  <c r="E315" i="5"/>
  <c r="C315" i="5"/>
  <c r="B315" i="5"/>
  <c r="A315" i="5"/>
  <c r="E314" i="5"/>
  <c r="C314" i="5"/>
  <c r="B314" i="5"/>
  <c r="A314" i="5"/>
  <c r="E313" i="5"/>
  <c r="C313" i="5"/>
  <c r="B313" i="5"/>
  <c r="A313" i="5"/>
  <c r="E312" i="5"/>
  <c r="C312" i="5"/>
  <c r="B312" i="5"/>
  <c r="A312" i="5"/>
  <c r="E311" i="5"/>
  <c r="C311" i="5"/>
  <c r="B311" i="5"/>
  <c r="A311" i="5"/>
  <c r="E310" i="5"/>
  <c r="C310" i="5"/>
  <c r="B310" i="5"/>
  <c r="A310" i="5"/>
  <c r="E309" i="5"/>
  <c r="C309" i="5"/>
  <c r="B309" i="5"/>
  <c r="A309" i="5"/>
  <c r="E308" i="5"/>
  <c r="C308" i="5"/>
  <c r="B308" i="5"/>
  <c r="A308" i="5"/>
  <c r="E307" i="5"/>
  <c r="C307" i="5"/>
  <c r="B307" i="5"/>
  <c r="A307" i="5"/>
  <c r="E306" i="5"/>
  <c r="C306" i="5"/>
  <c r="B306" i="5"/>
  <c r="A306" i="5"/>
  <c r="E305" i="5"/>
  <c r="C305" i="5"/>
  <c r="B305" i="5"/>
  <c r="A305" i="5"/>
  <c r="E304" i="5"/>
  <c r="C304" i="5"/>
  <c r="B304" i="5"/>
  <c r="A304" i="5"/>
  <c r="J303" i="5"/>
  <c r="F303" i="5"/>
  <c r="E303" i="5"/>
  <c r="C303" i="5"/>
  <c r="B303" i="5"/>
  <c r="A303" i="5"/>
  <c r="E302" i="5"/>
  <c r="C302" i="5"/>
  <c r="B302" i="5"/>
  <c r="A302" i="5"/>
  <c r="E301" i="5"/>
  <c r="C301" i="5"/>
  <c r="B301" i="5"/>
  <c r="A301" i="5"/>
  <c r="E300" i="5"/>
  <c r="C300" i="5"/>
  <c r="B300" i="5"/>
  <c r="A300" i="5"/>
  <c r="E299" i="5"/>
  <c r="C299" i="5"/>
  <c r="B299" i="5"/>
  <c r="A299" i="5"/>
  <c r="E298" i="5"/>
  <c r="E838" i="5"/>
  <c r="C298" i="5"/>
  <c r="B298" i="5"/>
  <c r="A298" i="5"/>
  <c r="E297" i="5"/>
  <c r="C297" i="5"/>
  <c r="B297" i="5"/>
  <c r="A297" i="5"/>
  <c r="E296" i="5"/>
  <c r="C296" i="5"/>
  <c r="B296" i="5"/>
  <c r="A296" i="5"/>
  <c r="E295" i="5"/>
  <c r="C295" i="5"/>
  <c r="B295" i="5"/>
  <c r="A295" i="5"/>
  <c r="E294" i="5"/>
  <c r="C294" i="5"/>
  <c r="B294" i="5"/>
  <c r="A294" i="5"/>
  <c r="E293" i="5"/>
  <c r="C293" i="5"/>
  <c r="B293" i="5"/>
  <c r="A293" i="5"/>
  <c r="E292" i="5"/>
  <c r="C292" i="5"/>
  <c r="B292" i="5"/>
  <c r="A292" i="5"/>
  <c r="E291" i="5"/>
  <c r="C291" i="5"/>
  <c r="B291" i="5"/>
  <c r="A291" i="5"/>
  <c r="E290" i="5"/>
  <c r="C290" i="5"/>
  <c r="B290" i="5"/>
  <c r="A290" i="5"/>
  <c r="E289" i="5"/>
  <c r="C289" i="5"/>
  <c r="B289" i="5"/>
  <c r="A289" i="5"/>
  <c r="E288" i="5"/>
  <c r="C288" i="5"/>
  <c r="B288" i="5"/>
  <c r="A288" i="5"/>
  <c r="E287" i="5"/>
  <c r="C287" i="5"/>
  <c r="B287" i="5"/>
  <c r="A287" i="5"/>
  <c r="E286" i="5"/>
  <c r="C286" i="5"/>
  <c r="B286" i="5"/>
  <c r="A286" i="5"/>
  <c r="E285" i="5"/>
  <c r="C285" i="5"/>
  <c r="B285" i="5"/>
  <c r="A285" i="5"/>
  <c r="J284" i="5"/>
  <c r="F284" i="5"/>
  <c r="E284" i="5"/>
  <c r="C284" i="5"/>
  <c r="B284" i="5"/>
  <c r="A284" i="5"/>
  <c r="E283" i="5"/>
  <c r="C283" i="5"/>
  <c r="B283" i="5"/>
  <c r="A283" i="5"/>
  <c r="E282" i="5"/>
  <c r="C282" i="5"/>
  <c r="B282" i="5"/>
  <c r="A282" i="5"/>
  <c r="E281" i="5"/>
  <c r="C281" i="5"/>
  <c r="B281" i="5"/>
  <c r="A281" i="5"/>
  <c r="E280" i="5"/>
  <c r="C280" i="5"/>
  <c r="B280" i="5"/>
  <c r="A280" i="5"/>
  <c r="E279" i="5"/>
  <c r="C279" i="5"/>
  <c r="B279" i="5"/>
  <c r="A279" i="5"/>
  <c r="E278" i="5"/>
  <c r="C278" i="5"/>
  <c r="B278" i="5"/>
  <c r="A278" i="5"/>
  <c r="E277" i="5"/>
  <c r="C277" i="5"/>
  <c r="B277" i="5"/>
  <c r="A277" i="5"/>
  <c r="E276" i="5"/>
  <c r="C276" i="5"/>
  <c r="B276" i="5"/>
  <c r="A276" i="5"/>
  <c r="E275" i="5"/>
  <c r="C275" i="5"/>
  <c r="B275" i="5"/>
  <c r="A275" i="5"/>
  <c r="E274" i="5"/>
  <c r="C274" i="5"/>
  <c r="B274" i="5"/>
  <c r="A274" i="5"/>
  <c r="E273" i="5"/>
  <c r="C273" i="5"/>
  <c r="B273" i="5"/>
  <c r="A273" i="5"/>
  <c r="J272" i="5"/>
  <c r="F272" i="5"/>
  <c r="E272" i="5"/>
  <c r="C272" i="5"/>
  <c r="B272" i="5"/>
  <c r="A272" i="5"/>
  <c r="E271" i="5"/>
  <c r="C271" i="5"/>
  <c r="B271" i="5"/>
  <c r="A271" i="5"/>
  <c r="E270" i="5"/>
  <c r="C270" i="5"/>
  <c r="B270" i="5"/>
  <c r="A270" i="5"/>
  <c r="E269" i="5"/>
  <c r="C269" i="5"/>
  <c r="B269" i="5"/>
  <c r="A269" i="5"/>
  <c r="E268" i="5"/>
  <c r="C268" i="5"/>
  <c r="B268" i="5"/>
  <c r="A268" i="5"/>
  <c r="E267" i="5"/>
  <c r="E834" i="5"/>
  <c r="C267" i="5"/>
  <c r="B267" i="5"/>
  <c r="A267" i="5"/>
  <c r="E266" i="5"/>
  <c r="C266" i="5"/>
  <c r="B266" i="5"/>
  <c r="A266" i="5"/>
  <c r="E265" i="5"/>
  <c r="C265" i="5"/>
  <c r="B265" i="5"/>
  <c r="A265" i="5"/>
  <c r="E264" i="5"/>
  <c r="C264" i="5"/>
  <c r="B264" i="5"/>
  <c r="A264" i="5"/>
  <c r="E263" i="5"/>
  <c r="C263" i="5"/>
  <c r="B263" i="5"/>
  <c r="A263" i="5"/>
  <c r="E262" i="5"/>
  <c r="C262" i="5"/>
  <c r="B262" i="5"/>
  <c r="A262" i="5"/>
  <c r="E261" i="5"/>
  <c r="C261" i="5"/>
  <c r="B261" i="5"/>
  <c r="A261" i="5"/>
  <c r="E260" i="5"/>
  <c r="C260" i="5"/>
  <c r="B260" i="5"/>
  <c r="A260" i="5"/>
  <c r="E259" i="5"/>
  <c r="C259" i="5"/>
  <c r="B259" i="5"/>
  <c r="A259" i="5"/>
  <c r="E258" i="5"/>
  <c r="C258" i="5"/>
  <c r="B258" i="5"/>
  <c r="A258" i="5"/>
  <c r="E257" i="5"/>
  <c r="C257" i="5"/>
  <c r="B257" i="5"/>
  <c r="A257" i="5"/>
  <c r="E256" i="5"/>
  <c r="C256" i="5"/>
  <c r="B256" i="5"/>
  <c r="A256" i="5"/>
  <c r="E255" i="5"/>
  <c r="C255" i="5"/>
  <c r="B255" i="5"/>
  <c r="A255" i="5"/>
  <c r="E254" i="5"/>
  <c r="C254" i="5"/>
  <c r="B254" i="5"/>
  <c r="A254" i="5"/>
  <c r="J253" i="5"/>
  <c r="F253" i="5"/>
  <c r="E253" i="5"/>
  <c r="C253" i="5"/>
  <c r="B253" i="5"/>
  <c r="A253" i="5"/>
  <c r="E252" i="5"/>
  <c r="C252" i="5"/>
  <c r="B252" i="5"/>
  <c r="A252" i="5"/>
  <c r="E251" i="5"/>
  <c r="C251" i="5"/>
  <c r="B251" i="5"/>
  <c r="A251" i="5"/>
  <c r="E250" i="5"/>
  <c r="C250" i="5"/>
  <c r="B250" i="5"/>
  <c r="A250" i="5"/>
  <c r="E249" i="5"/>
  <c r="C249" i="5"/>
  <c r="B249" i="5"/>
  <c r="A249" i="5"/>
  <c r="E248" i="5"/>
  <c r="C248" i="5"/>
  <c r="B248" i="5"/>
  <c r="A248" i="5"/>
  <c r="E247" i="5"/>
  <c r="C247" i="5"/>
  <c r="B247" i="5"/>
  <c r="A247" i="5"/>
  <c r="E246" i="5"/>
  <c r="C246" i="5"/>
  <c r="B246" i="5"/>
  <c r="A246" i="5"/>
  <c r="E245" i="5"/>
  <c r="C245" i="5"/>
  <c r="B245" i="5"/>
  <c r="A245" i="5"/>
  <c r="J244" i="5"/>
  <c r="F244" i="5"/>
  <c r="E244" i="5"/>
  <c r="C244" i="5"/>
  <c r="B244" i="5"/>
  <c r="A244" i="5"/>
  <c r="J243" i="5"/>
  <c r="F243" i="5"/>
  <c r="E243" i="5"/>
  <c r="C243" i="5"/>
  <c r="B243" i="5"/>
  <c r="A243" i="5"/>
  <c r="E242" i="5"/>
  <c r="C242" i="5"/>
  <c r="B242" i="5"/>
  <c r="A242" i="5"/>
  <c r="E241" i="5"/>
  <c r="C241" i="5"/>
  <c r="B241" i="5"/>
  <c r="A241" i="5"/>
  <c r="E240" i="5"/>
  <c r="C240" i="5"/>
  <c r="B240" i="5"/>
  <c r="A240" i="5"/>
  <c r="J239" i="5"/>
  <c r="F239" i="5"/>
  <c r="E239" i="5"/>
  <c r="C239" i="5"/>
  <c r="B239" i="5"/>
  <c r="A239" i="5"/>
  <c r="E238" i="5"/>
  <c r="C238" i="5"/>
  <c r="B238" i="5"/>
  <c r="A238" i="5"/>
  <c r="E237" i="5"/>
  <c r="C237" i="5"/>
  <c r="B237" i="5"/>
  <c r="A237"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c r="C193" i="5"/>
  <c r="B193" i="5"/>
  <c r="A193" i="5"/>
  <c r="E192" i="5"/>
  <c r="C192" i="5"/>
  <c r="B192" i="5"/>
  <c r="A192" i="5"/>
  <c r="J191" i="5"/>
  <c r="F191" i="5"/>
  <c r="E191" i="5"/>
  <c r="C191" i="5"/>
  <c r="B191" i="5"/>
  <c r="A191" i="5"/>
  <c r="E190" i="5"/>
  <c r="C190" i="5"/>
  <c r="B190" i="5"/>
  <c r="A190" i="5"/>
  <c r="E189" i="5"/>
  <c r="C189" i="5"/>
  <c r="B189" i="5"/>
  <c r="A189" i="5"/>
  <c r="E188" i="5"/>
  <c r="C188" i="5"/>
  <c r="B188" i="5"/>
  <c r="A188" i="5"/>
  <c r="E187" i="5"/>
  <c r="C187" i="5"/>
  <c r="B187" i="5"/>
  <c r="A187" i="5"/>
  <c r="E186" i="5"/>
  <c r="C186" i="5"/>
  <c r="B186" i="5"/>
  <c r="A186" i="5"/>
  <c r="E185" i="5"/>
  <c r="C185" i="5"/>
  <c r="B185" i="5"/>
  <c r="A185" i="5"/>
  <c r="E184" i="5"/>
  <c r="C184" i="5"/>
  <c r="B184" i="5"/>
  <c r="A184" i="5"/>
  <c r="E183" i="5"/>
  <c r="C183" i="5"/>
  <c r="B183" i="5"/>
  <c r="A183" i="5"/>
  <c r="E182" i="5"/>
  <c r="C182" i="5"/>
  <c r="B182" i="5"/>
  <c r="A182" i="5"/>
  <c r="E181" i="5"/>
  <c r="C181" i="5"/>
  <c r="B181" i="5"/>
  <c r="A181" i="5"/>
  <c r="E180" i="5"/>
  <c r="C180" i="5"/>
  <c r="B180" i="5"/>
  <c r="A180" i="5"/>
  <c r="E179" i="5"/>
  <c r="C179" i="5"/>
  <c r="B179" i="5"/>
  <c r="A179" i="5"/>
  <c r="E178" i="5"/>
  <c r="C178" i="5"/>
  <c r="B178" i="5"/>
  <c r="A178" i="5"/>
  <c r="E177" i="5"/>
  <c r="C177" i="5"/>
  <c r="B177" i="5"/>
  <c r="A177" i="5"/>
  <c r="E176" i="5"/>
  <c r="C176" i="5"/>
  <c r="B176" i="5"/>
  <c r="A176" i="5"/>
  <c r="E175" i="5"/>
  <c r="C175" i="5"/>
  <c r="B175" i="5"/>
  <c r="A175" i="5"/>
  <c r="E174" i="5"/>
  <c r="C174" i="5"/>
  <c r="B174" i="5"/>
  <c r="A174" i="5"/>
  <c r="E173" i="5"/>
  <c r="C173" i="5"/>
  <c r="B173" i="5"/>
  <c r="A173" i="5"/>
  <c r="E172" i="5"/>
  <c r="C172" i="5"/>
  <c r="B172" i="5"/>
  <c r="A172" i="5"/>
  <c r="E171" i="5"/>
  <c r="E809" i="5"/>
  <c r="C171" i="5"/>
  <c r="B171" i="5"/>
  <c r="A171" i="5"/>
  <c r="E170" i="5"/>
  <c r="C170" i="5"/>
  <c r="B170" i="5"/>
  <c r="A170" i="5"/>
  <c r="E169" i="5"/>
  <c r="C169" i="5"/>
  <c r="B169" i="5"/>
  <c r="A169" i="5"/>
  <c r="J168" i="5"/>
  <c r="F168" i="5"/>
  <c r="F122" i="51" s="1"/>
  <c r="E168" i="5"/>
  <c r="E792" i="5"/>
  <c r="C168" i="5"/>
  <c r="B168" i="5"/>
  <c r="A168" i="5"/>
  <c r="E167" i="5"/>
  <c r="C167" i="5"/>
  <c r="B167" i="5"/>
  <c r="A167" i="5"/>
  <c r="E166" i="5"/>
  <c r="E797" i="5"/>
  <c r="C166" i="5"/>
  <c r="B166" i="5"/>
  <c r="A166" i="5"/>
  <c r="E165" i="5"/>
  <c r="E796" i="5"/>
  <c r="C165" i="5"/>
  <c r="B165" i="5"/>
  <c r="A165" i="5"/>
  <c r="E164" i="5"/>
  <c r="C164" i="5"/>
  <c r="B164" i="5"/>
  <c r="A164" i="5"/>
  <c r="E163" i="5"/>
  <c r="E795" i="5"/>
  <c r="C163" i="5"/>
  <c r="B163" i="5"/>
  <c r="A163" i="5"/>
  <c r="E162" i="5"/>
  <c r="C162" i="5"/>
  <c r="B162" i="5"/>
  <c r="A162" i="5"/>
  <c r="E161" i="5"/>
  <c r="C161" i="5"/>
  <c r="B161" i="5"/>
  <c r="A161" i="5"/>
  <c r="E160" i="5"/>
  <c r="C160" i="5"/>
  <c r="B160" i="5"/>
  <c r="A160" i="5"/>
  <c r="E159" i="5"/>
  <c r="C159" i="5"/>
  <c r="B159" i="5"/>
  <c r="A159" i="5"/>
  <c r="E158" i="5"/>
  <c r="C158" i="5"/>
  <c r="B158" i="5"/>
  <c r="A158" i="5"/>
  <c r="E157" i="5"/>
  <c r="C157" i="5"/>
  <c r="B157" i="5"/>
  <c r="A157" i="5"/>
  <c r="E156" i="5"/>
  <c r="C156" i="5"/>
  <c r="B156" i="5"/>
  <c r="A156" i="5"/>
  <c r="E155" i="5"/>
  <c r="C155" i="5"/>
  <c r="B155" i="5"/>
  <c r="A155" i="5"/>
  <c r="E154" i="5"/>
  <c r="C154" i="5"/>
  <c r="B154" i="5"/>
  <c r="A154" i="5"/>
  <c r="E153" i="5"/>
  <c r="C153" i="5"/>
  <c r="B153" i="5"/>
  <c r="A153" i="5"/>
  <c r="E152" i="5"/>
  <c r="C152" i="5"/>
  <c r="B152" i="5"/>
  <c r="A152" i="5"/>
  <c r="E151" i="5"/>
  <c r="C151" i="5"/>
  <c r="B151" i="5"/>
  <c r="A151" i="5"/>
  <c r="E150" i="5"/>
  <c r="C150" i="5"/>
  <c r="B150" i="5"/>
  <c r="A150" i="5"/>
  <c r="E149" i="5"/>
  <c r="C149" i="5"/>
  <c r="B149" i="5"/>
  <c r="A149" i="5"/>
  <c r="E148" i="5"/>
  <c r="C148" i="5"/>
  <c r="B148" i="5"/>
  <c r="A148" i="5"/>
  <c r="J147" i="5"/>
  <c r="F147" i="5"/>
  <c r="E147" i="5"/>
  <c r="C147" i="5"/>
  <c r="B147" i="5"/>
  <c r="A147" i="5"/>
  <c r="J146" i="5"/>
  <c r="F146" i="5"/>
  <c r="E146" i="5"/>
  <c r="C146" i="5"/>
  <c r="B146" i="5"/>
  <c r="A146" i="5"/>
  <c r="E145" i="5"/>
  <c r="C145" i="5"/>
  <c r="B145" i="5"/>
  <c r="A145" i="5"/>
  <c r="E144" i="5"/>
  <c r="C144" i="5"/>
  <c r="B144" i="5"/>
  <c r="A144" i="5"/>
  <c r="E143" i="5"/>
  <c r="C143" i="5"/>
  <c r="B143" i="5"/>
  <c r="A143" i="5"/>
  <c r="E142" i="5"/>
  <c r="C142" i="5"/>
  <c r="B142" i="5"/>
  <c r="A142" i="5"/>
  <c r="E141" i="5"/>
  <c r="C141" i="5"/>
  <c r="B141" i="5"/>
  <c r="A141" i="5"/>
  <c r="E140" i="5"/>
  <c r="C140" i="5"/>
  <c r="B140" i="5"/>
  <c r="A140" i="5"/>
  <c r="E139" i="5"/>
  <c r="C139" i="5"/>
  <c r="B139" i="5"/>
  <c r="A139" i="5"/>
  <c r="E138" i="5"/>
  <c r="C138" i="5"/>
  <c r="B138" i="5"/>
  <c r="A138" i="5"/>
  <c r="E137" i="5"/>
  <c r="C137" i="5"/>
  <c r="B137" i="5"/>
  <c r="A137" i="5"/>
  <c r="E136" i="5"/>
  <c r="C136" i="5"/>
  <c r="B136" i="5"/>
  <c r="A136" i="5"/>
  <c r="E135" i="5"/>
  <c r="C135" i="5"/>
  <c r="B135" i="5"/>
  <c r="A135" i="5"/>
  <c r="E134" i="5"/>
  <c r="C134" i="5"/>
  <c r="B134" i="5"/>
  <c r="A134" i="5"/>
  <c r="E133" i="5"/>
  <c r="C133" i="5"/>
  <c r="B133" i="5"/>
  <c r="A133" i="5"/>
  <c r="E132" i="5"/>
  <c r="C132" i="5"/>
  <c r="B132" i="5"/>
  <c r="A132" i="5"/>
  <c r="E131" i="5"/>
  <c r="C131" i="5"/>
  <c r="B131" i="5"/>
  <c r="A131" i="5"/>
  <c r="E130" i="5"/>
  <c r="C130" i="5"/>
  <c r="B130" i="5"/>
  <c r="A130" i="5"/>
  <c r="E129" i="5"/>
  <c r="C129" i="5"/>
  <c r="B129" i="5"/>
  <c r="A129" i="5"/>
  <c r="E128" i="5"/>
  <c r="C128" i="5"/>
  <c r="B128" i="5"/>
  <c r="A128" i="5"/>
  <c r="E127" i="5"/>
  <c r="C127" i="5"/>
  <c r="B127" i="5"/>
  <c r="A127" i="5"/>
  <c r="E126" i="5"/>
  <c r="C126" i="5"/>
  <c r="B126" i="5"/>
  <c r="A126" i="5"/>
  <c r="E125" i="5"/>
  <c r="E787" i="5"/>
  <c r="C125" i="5"/>
  <c r="B125" i="5"/>
  <c r="A125" i="5"/>
  <c r="E124" i="5"/>
  <c r="C124" i="5"/>
  <c r="B124" i="5"/>
  <c r="A124" i="5"/>
  <c r="J123" i="5"/>
  <c r="F123" i="5"/>
  <c r="F97" i="51" s="1"/>
  <c r="E123" i="5"/>
  <c r="E873" i="5"/>
  <c r="C123" i="5"/>
  <c r="B123" i="5"/>
  <c r="A123" i="5"/>
  <c r="E122" i="5"/>
  <c r="C122" i="5"/>
  <c r="B122" i="5"/>
  <c r="A122" i="5"/>
  <c r="E121" i="5"/>
  <c r="E869" i="5"/>
  <c r="C121" i="5"/>
  <c r="B121" i="5"/>
  <c r="A121" i="5"/>
  <c r="E120" i="5"/>
  <c r="E865" i="5"/>
  <c r="C120" i="5"/>
  <c r="B120" i="5"/>
  <c r="A120" i="5"/>
  <c r="E119" i="5"/>
  <c r="E861" i="5"/>
  <c r="C119" i="5"/>
  <c r="B119" i="5"/>
  <c r="A119" i="5"/>
  <c r="E118" i="5"/>
  <c r="E857" i="5"/>
  <c r="C118" i="5"/>
  <c r="B118" i="5"/>
  <c r="A118" i="5"/>
  <c r="E117" i="5"/>
  <c r="E853" i="5"/>
  <c r="C117" i="5"/>
  <c r="B117" i="5"/>
  <c r="A117" i="5"/>
  <c r="E116" i="5"/>
  <c r="E849" i="5"/>
  <c r="C116" i="5"/>
  <c r="B116" i="5"/>
  <c r="A116" i="5"/>
  <c r="E115" i="5"/>
  <c r="E845" i="5"/>
  <c r="C115" i="5"/>
  <c r="B115" i="5"/>
  <c r="A115" i="5"/>
  <c r="J114" i="5"/>
  <c r="F114" i="5"/>
  <c r="E114" i="5"/>
  <c r="E841" i="5"/>
  <c r="C114" i="5"/>
  <c r="B114" i="5"/>
  <c r="A114" i="5"/>
  <c r="J113" i="5"/>
  <c r="F113" i="5"/>
  <c r="E113" i="5"/>
  <c r="E837" i="5"/>
  <c r="C113" i="5"/>
  <c r="B113" i="5"/>
  <c r="A113" i="5"/>
  <c r="E112" i="5"/>
  <c r="C112" i="5"/>
  <c r="B112" i="5"/>
  <c r="A112" i="5"/>
  <c r="E111" i="5"/>
  <c r="E833" i="5"/>
  <c r="C111" i="5"/>
  <c r="B111" i="5"/>
  <c r="A111" i="5"/>
  <c r="E110" i="5"/>
  <c r="C110" i="5"/>
  <c r="B110" i="5"/>
  <c r="A110" i="5"/>
  <c r="E109" i="5"/>
  <c r="C109" i="5"/>
  <c r="B109" i="5"/>
  <c r="A109" i="5"/>
  <c r="E108" i="5"/>
  <c r="C108" i="5"/>
  <c r="B108" i="5"/>
  <c r="A108" i="5"/>
  <c r="F83" i="51"/>
  <c r="E107" i="5"/>
  <c r="C107" i="5"/>
  <c r="B107" i="5"/>
  <c r="A107" i="5"/>
  <c r="E106" i="5"/>
  <c r="C106" i="5"/>
  <c r="B106" i="5"/>
  <c r="A106" i="5"/>
  <c r="E105" i="5"/>
  <c r="C105" i="5"/>
  <c r="B105" i="5"/>
  <c r="A105" i="5"/>
  <c r="E104" i="5"/>
  <c r="C104" i="5"/>
  <c r="B104" i="5"/>
  <c r="A104" i="5"/>
  <c r="E103" i="5"/>
  <c r="C103" i="5"/>
  <c r="B103" i="5"/>
  <c r="A103" i="5"/>
  <c r="F78" i="51"/>
  <c r="E102" i="5"/>
  <c r="C102" i="5"/>
  <c r="B102" i="5"/>
  <c r="A102" i="5"/>
  <c r="E101" i="5"/>
  <c r="C101" i="5"/>
  <c r="B101" i="5"/>
  <c r="A101" i="5"/>
  <c r="E100" i="5"/>
  <c r="C100" i="5"/>
  <c r="B100" i="5"/>
  <c r="A100" i="5"/>
  <c r="J99" i="5"/>
  <c r="F99" i="5"/>
  <c r="E99" i="5"/>
  <c r="C99" i="5"/>
  <c r="B99" i="5"/>
  <c r="A99" i="5"/>
  <c r="E98" i="5"/>
  <c r="C98" i="5"/>
  <c r="B98" i="5"/>
  <c r="A98" i="5"/>
  <c r="E97" i="5"/>
  <c r="C97" i="5"/>
  <c r="B97" i="5"/>
  <c r="A97" i="5"/>
  <c r="F75" i="51"/>
  <c r="E96" i="5"/>
  <c r="C96" i="5"/>
  <c r="B96" i="5"/>
  <c r="A96" i="5"/>
  <c r="E95" i="5"/>
  <c r="C95" i="5"/>
  <c r="B95" i="5"/>
  <c r="A95" i="5"/>
  <c r="E93" i="5"/>
  <c r="C93" i="5"/>
  <c r="B93" i="5"/>
  <c r="A93" i="5"/>
  <c r="E92" i="5"/>
  <c r="C92" i="5"/>
  <c r="B92" i="5"/>
  <c r="A92" i="5"/>
  <c r="E91" i="5"/>
  <c r="C91" i="5"/>
  <c r="B91" i="5"/>
  <c r="A91" i="5"/>
  <c r="E90" i="5"/>
  <c r="C90" i="5"/>
  <c r="B90" i="5"/>
  <c r="A90" i="5"/>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E86" i="5"/>
  <c r="C86" i="5"/>
  <c r="B86" i="5"/>
  <c r="A86" i="5"/>
  <c r="E85" i="5"/>
  <c r="C85" i="5"/>
  <c r="B85" i="5"/>
  <c r="A85" i="5"/>
  <c r="E84" i="5"/>
  <c r="C84" i="5"/>
  <c r="B84" i="5"/>
  <c r="A84" i="5"/>
  <c r="E83" i="5"/>
  <c r="C83" i="5"/>
  <c r="B83" i="5"/>
  <c r="A83" i="5"/>
  <c r="E82" i="5"/>
  <c r="C82" i="5"/>
  <c r="B82" i="5"/>
  <c r="A82" i="5"/>
  <c r="E81" i="5"/>
  <c r="C81" i="5"/>
  <c r="B81" i="5"/>
  <c r="A81" i="5"/>
  <c r="J87" i="5"/>
  <c r="F87" i="5"/>
  <c r="E87" i="5"/>
  <c r="C87" i="5"/>
  <c r="B87" i="5"/>
  <c r="A87" i="5"/>
  <c r="J77" i="5"/>
  <c r="F77" i="5"/>
  <c r="E77" i="5"/>
  <c r="C77" i="5"/>
  <c r="B77" i="5"/>
  <c r="A77" i="5"/>
  <c r="J76" i="5"/>
  <c r="F76" i="5"/>
  <c r="E76" i="5"/>
  <c r="C76" i="5"/>
  <c r="B76" i="5"/>
  <c r="A76" i="5"/>
  <c r="E75" i="5"/>
  <c r="C75" i="5"/>
  <c r="B75" i="5"/>
  <c r="A75" i="5"/>
  <c r="E74" i="5"/>
  <c r="C74" i="5"/>
  <c r="B74" i="5"/>
  <c r="A74" i="5"/>
  <c r="E73" i="5"/>
  <c r="C73" i="5"/>
  <c r="B73" i="5"/>
  <c r="A73" i="5"/>
  <c r="E72" i="5"/>
  <c r="C72" i="5"/>
  <c r="B72" i="5"/>
  <c r="A72" i="5"/>
  <c r="E71" i="5"/>
  <c r="C71" i="5"/>
  <c r="B71" i="5"/>
  <c r="A71" i="5"/>
  <c r="E70" i="5"/>
  <c r="C70" i="5"/>
  <c r="B70" i="5"/>
  <c r="A70" i="5"/>
  <c r="F58" i="51"/>
  <c r="E69" i="5"/>
  <c r="C69" i="5"/>
  <c r="B69" i="5"/>
  <c r="A69" i="5"/>
  <c r="J68" i="5"/>
  <c r="F68" i="5"/>
  <c r="E68" i="5"/>
  <c r="C68" i="5"/>
  <c r="B68" i="5"/>
  <c r="A68" i="5"/>
  <c r="J78" i="5"/>
  <c r="F78" i="5"/>
  <c r="E78" i="5"/>
  <c r="C78" i="5"/>
  <c r="B78" i="5"/>
  <c r="A78" i="5"/>
  <c r="J67" i="5"/>
  <c r="F67" i="5"/>
  <c r="E67" i="5"/>
  <c r="C67" i="5"/>
  <c r="B67" i="5"/>
  <c r="A67" i="5"/>
  <c r="E66" i="5"/>
  <c r="C66" i="5"/>
  <c r="B66" i="5"/>
  <c r="A66" i="5"/>
  <c r="E65" i="5"/>
  <c r="C65" i="5"/>
  <c r="B65" i="5"/>
  <c r="A65" i="5"/>
  <c r="E64" i="5"/>
  <c r="E786" i="5"/>
  <c r="C64" i="5"/>
  <c r="B64" i="5"/>
  <c r="A64" i="5"/>
  <c r="E63" i="5"/>
  <c r="C63" i="5"/>
  <c r="B63" i="5"/>
  <c r="A63" i="5"/>
  <c r="F53" i="51"/>
  <c r="E62" i="5"/>
  <c r="C62" i="5"/>
  <c r="B62" i="5"/>
  <c r="A62" i="5"/>
  <c r="F52" i="51"/>
  <c r="E61" i="5"/>
  <c r="C61" i="5"/>
  <c r="B61" i="5"/>
  <c r="A61" i="5"/>
  <c r="F51" i="51"/>
  <c r="E60" i="5"/>
  <c r="C60" i="5"/>
  <c r="B60" i="5"/>
  <c r="A60" i="5"/>
  <c r="F50" i="51"/>
  <c r="E59" i="5"/>
  <c r="C59" i="5"/>
  <c r="B59" i="5"/>
  <c r="A59" i="5"/>
  <c r="F49" i="51"/>
  <c r="E58" i="5"/>
  <c r="C58" i="5"/>
  <c r="B58" i="5"/>
  <c r="A58" i="5"/>
  <c r="F48" i="51"/>
  <c r="E57" i="5"/>
  <c r="C57" i="5"/>
  <c r="B57" i="5"/>
  <c r="A57" i="5"/>
  <c r="J56" i="5"/>
  <c r="F56" i="5"/>
  <c r="E56" i="5"/>
  <c r="C56" i="5"/>
  <c r="B56" i="5"/>
  <c r="A56" i="5"/>
  <c r="F47" i="51"/>
  <c r="E55" i="5"/>
  <c r="C55" i="5"/>
  <c r="B55" i="5"/>
  <c r="A55" i="5"/>
  <c r="F46" i="51"/>
  <c r="E54" i="5"/>
  <c r="C54" i="5"/>
  <c r="B54" i="5"/>
  <c r="A54" i="5"/>
  <c r="F45" i="51"/>
  <c r="E53" i="5"/>
  <c r="C53" i="5"/>
  <c r="B53" i="5"/>
  <c r="A53" i="5"/>
  <c r="F44" i="51"/>
  <c r="E52" i="5"/>
  <c r="C52" i="5"/>
  <c r="B52" i="5"/>
  <c r="A52" i="5"/>
  <c r="E51" i="5"/>
  <c r="C51" i="5"/>
  <c r="B51" i="5"/>
  <c r="A51" i="5"/>
  <c r="F42" i="51"/>
  <c r="E50" i="5"/>
  <c r="C50" i="5"/>
  <c r="B50" i="5"/>
  <c r="A50" i="5"/>
  <c r="F41" i="51"/>
  <c r="E49" i="5"/>
  <c r="C49" i="5"/>
  <c r="B49" i="5"/>
  <c r="A49" i="5"/>
  <c r="E48" i="5"/>
  <c r="C48" i="5"/>
  <c r="B48" i="5"/>
  <c r="A48" i="5"/>
  <c r="F39" i="51"/>
  <c r="E47" i="5"/>
  <c r="C47" i="5"/>
  <c r="B47" i="5"/>
  <c r="A47" i="5"/>
  <c r="F38" i="51"/>
  <c r="E46" i="5"/>
  <c r="C46" i="5"/>
  <c r="B46" i="5"/>
  <c r="A46" i="5"/>
  <c r="F37" i="51"/>
  <c r="E45" i="5"/>
  <c r="C45" i="5"/>
  <c r="B45" i="5"/>
  <c r="A45" i="5"/>
  <c r="F36" i="51"/>
  <c r="E44" i="5"/>
  <c r="C44" i="5"/>
  <c r="B44" i="5"/>
  <c r="A44" i="5"/>
  <c r="J43" i="5"/>
  <c r="F43" i="5"/>
  <c r="F35" i="51" s="1"/>
  <c r="E43" i="5"/>
  <c r="C43" i="5"/>
  <c r="B43" i="5"/>
  <c r="A43" i="5"/>
  <c r="F34" i="51"/>
  <c r="E42" i="5"/>
  <c r="C42" i="5"/>
  <c r="B42" i="5"/>
  <c r="A42" i="5"/>
  <c r="F33" i="51"/>
  <c r="E41" i="5"/>
  <c r="C41" i="5"/>
  <c r="B41" i="5"/>
  <c r="A41" i="5"/>
  <c r="F32" i="51"/>
  <c r="E40" i="5"/>
  <c r="C40" i="5"/>
  <c r="B40" i="5"/>
  <c r="A40" i="5"/>
  <c r="F31" i="51"/>
  <c r="E39" i="5"/>
  <c r="C39" i="5"/>
  <c r="B39" i="5"/>
  <c r="A39" i="5"/>
  <c r="F30" i="51"/>
  <c r="E38" i="5"/>
  <c r="C38" i="5"/>
  <c r="B38" i="5"/>
  <c r="A38" i="5"/>
  <c r="J37" i="5"/>
  <c r="F37" i="5"/>
  <c r="E37" i="5"/>
  <c r="C37" i="5"/>
  <c r="B37" i="5"/>
  <c r="A37" i="5"/>
  <c r="E36" i="5"/>
  <c r="C36" i="5"/>
  <c r="B36" i="5"/>
  <c r="A36" i="5"/>
  <c r="E35" i="5"/>
  <c r="C35" i="5"/>
  <c r="B35" i="5"/>
  <c r="A35" i="5"/>
  <c r="F27" i="51"/>
  <c r="E34" i="5"/>
  <c r="C34" i="5"/>
  <c r="B34" i="5"/>
  <c r="A34" i="5"/>
  <c r="F26" i="51"/>
  <c r="E33" i="5"/>
  <c r="C33" i="5"/>
  <c r="B33" i="5"/>
  <c r="A33" i="5"/>
  <c r="F25" i="51"/>
  <c r="E32" i="5"/>
  <c r="C32" i="5"/>
  <c r="B32" i="5"/>
  <c r="A32" i="5"/>
  <c r="J31" i="5"/>
  <c r="F31" i="5"/>
  <c r="E31" i="5"/>
  <c r="C31" i="5"/>
  <c r="B31" i="5"/>
  <c r="A31" i="5"/>
  <c r="E30" i="5"/>
  <c r="C30" i="5"/>
  <c r="B30" i="5"/>
  <c r="A30" i="5"/>
  <c r="J29" i="5"/>
  <c r="F29" i="5"/>
  <c r="E29" i="5"/>
  <c r="C29" i="5"/>
  <c r="B29" i="5"/>
  <c r="A29" i="5"/>
  <c r="E28" i="5"/>
  <c r="C28" i="5"/>
  <c r="B28" i="5"/>
  <c r="A28" i="5"/>
  <c r="F23" i="51"/>
  <c r="E27" i="5"/>
  <c r="C27" i="5"/>
  <c r="B27" i="5"/>
  <c r="A27" i="5"/>
  <c r="F22" i="51"/>
  <c r="E26" i="5"/>
  <c r="C26" i="5"/>
  <c r="B26" i="5"/>
  <c r="A26" i="5"/>
  <c r="E25" i="5"/>
  <c r="C25" i="5"/>
  <c r="B25" i="5"/>
  <c r="A25" i="5"/>
  <c r="J24" i="5"/>
  <c r="F24" i="5"/>
  <c r="E24" i="5"/>
  <c r="C24" i="5"/>
  <c r="B24" i="5"/>
  <c r="A24" i="5"/>
  <c r="J23" i="5"/>
  <c r="F23" i="5"/>
  <c r="E23" i="5"/>
  <c r="C23" i="5"/>
  <c r="B23" i="5"/>
  <c r="A23" i="5"/>
  <c r="J22" i="5"/>
  <c r="F22" i="5"/>
  <c r="E22" i="5"/>
  <c r="C22" i="5"/>
  <c r="B22" i="5"/>
  <c r="A22" i="5"/>
  <c r="E21" i="5"/>
  <c r="C21" i="5"/>
  <c r="B21" i="5"/>
  <c r="A21" i="5"/>
  <c r="F19" i="51"/>
  <c r="E20" i="5"/>
  <c r="C20" i="5"/>
  <c r="B20" i="5"/>
  <c r="A20" i="5"/>
  <c r="E19" i="5"/>
  <c r="C19" i="5"/>
  <c r="B19" i="5"/>
  <c r="A19" i="5"/>
  <c r="E18" i="5"/>
  <c r="C18" i="5"/>
  <c r="B18" i="5"/>
  <c r="A18" i="5"/>
  <c r="E17" i="5"/>
  <c r="C17" i="5"/>
  <c r="B17" i="5"/>
  <c r="A17" i="5"/>
  <c r="F16" i="51"/>
  <c r="E16" i="5"/>
  <c r="C16" i="5"/>
  <c r="B16" i="5"/>
  <c r="A16" i="5"/>
  <c r="F15" i="51"/>
  <c r="E15" i="5"/>
  <c r="C15" i="5"/>
  <c r="B15" i="5"/>
  <c r="A15" i="5"/>
  <c r="F14" i="51"/>
  <c r="E14" i="5"/>
  <c r="C14" i="5"/>
  <c r="B14" i="5"/>
  <c r="A14" i="5"/>
  <c r="J13" i="5"/>
  <c r="F13" i="5"/>
  <c r="E13" i="5"/>
  <c r="C13" i="5"/>
  <c r="B13" i="5"/>
  <c r="A13" i="5"/>
  <c r="J12" i="5"/>
  <c r="F12" i="5"/>
  <c r="E12" i="5"/>
  <c r="C12" i="5"/>
  <c r="B12" i="5"/>
  <c r="A12"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M55" i="2"/>
  <c r="L55" i="2"/>
  <c r="K55" i="2"/>
  <c r="J55" i="2"/>
  <c r="I55" i="2"/>
  <c r="H55" i="2"/>
  <c r="G55" i="2"/>
  <c r="F55" i="2"/>
  <c r="E55" i="2"/>
  <c r="D55" i="2"/>
  <c r="AA41" i="2"/>
  <c r="N41" i="2"/>
  <c r="C41" i="2"/>
  <c r="C40" i="2"/>
  <c r="M48" i="2"/>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O19" i="2"/>
  <c r="N19" i="2"/>
  <c r="M19" i="2"/>
  <c r="L19" i="2"/>
  <c r="K19" i="2"/>
  <c r="J19" i="2"/>
  <c r="I19" i="2"/>
  <c r="H19" i="2"/>
  <c r="G19" i="2"/>
  <c r="F19" i="2"/>
  <c r="E19" i="2"/>
  <c r="D19" i="2"/>
  <c r="C19" i="2"/>
  <c r="C18" i="2"/>
  <c r="AE17" i="2"/>
  <c r="Q17" i="2"/>
  <c r="C17" i="2"/>
  <c r="C16" i="2"/>
  <c r="C15" i="2"/>
  <c r="P14" i="2"/>
  <c r="AD47" i="2"/>
  <c r="O14" i="2"/>
  <c r="AC47" i="2"/>
  <c r="AB47" i="2"/>
  <c r="M14" i="2"/>
  <c r="AA47" i="2"/>
  <c r="Z47" i="2"/>
  <c r="K14" i="2"/>
  <c r="Y47" i="2"/>
  <c r="J14" i="2"/>
  <c r="X47" i="2"/>
  <c r="I14" i="2"/>
  <c r="H14" i="2"/>
  <c r="V47" i="2"/>
  <c r="G14" i="2"/>
  <c r="U47" i="2"/>
  <c r="F14" i="2"/>
  <c r="T47" i="2"/>
  <c r="E14" i="2"/>
  <c r="S47" i="2"/>
  <c r="R47" i="2"/>
  <c r="C14" i="2"/>
  <c r="AE13" i="2"/>
  <c r="Q13" i="2"/>
  <c r="C13" i="2"/>
  <c r="AE12" i="2"/>
  <c r="Q12" i="2"/>
  <c r="C12" i="2"/>
  <c r="AE11" i="2"/>
  <c r="Q11" i="2"/>
  <c r="C11" i="2"/>
  <c r="AE10" i="2"/>
  <c r="Q10" i="2"/>
  <c r="C10" i="2"/>
  <c r="AE9" i="2"/>
  <c r="Q9" i="2"/>
  <c r="C9" i="2"/>
  <c r="M47" i="2"/>
  <c r="C5" i="2"/>
  <c r="C4" i="2"/>
  <c r="F122" i="8"/>
  <c r="E122" i="8"/>
  <c r="F121" i="8"/>
  <c r="C109" i="8"/>
  <c r="E103" i="8"/>
  <c r="C98" i="8"/>
  <c r="C125" i="8"/>
  <c r="A98" i="8"/>
  <c r="C97" i="8"/>
  <c r="A97" i="8"/>
  <c r="C96" i="8"/>
  <c r="A96" i="8"/>
  <c r="C95" i="8"/>
  <c r="A95" i="8"/>
  <c r="C94" i="8"/>
  <c r="A94" i="8"/>
  <c r="C93" i="8"/>
  <c r="A93" i="8"/>
  <c r="C92" i="8"/>
  <c r="A92" i="8"/>
  <c r="C91" i="8"/>
  <c r="A91" i="8"/>
  <c r="C90" i="8"/>
  <c r="A90" i="8"/>
  <c r="C89" i="8"/>
  <c r="A89" i="8"/>
  <c r="C88" i="8"/>
  <c r="C113" i="8"/>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c r="A71" i="8"/>
  <c r="C70" i="8"/>
  <c r="A70" i="8"/>
  <c r="C66" i="8"/>
  <c r="C65" i="8"/>
  <c r="C118" i="8"/>
  <c r="A65" i="8"/>
  <c r="C64" i="8"/>
  <c r="C103" i="8"/>
  <c r="A64" i="8"/>
  <c r="C63" i="8"/>
  <c r="C126" i="8"/>
  <c r="A63" i="8"/>
  <c r="C62" i="8"/>
  <c r="A62" i="8"/>
  <c r="C61" i="8"/>
  <c r="A61" i="8"/>
  <c r="E60" i="8"/>
  <c r="C60" i="8"/>
  <c r="A60" i="8"/>
  <c r="C59" i="8"/>
  <c r="A59" i="8"/>
  <c r="C58" i="8"/>
  <c r="A58" i="8"/>
  <c r="C57" i="8"/>
  <c r="A57" i="8"/>
  <c r="C56" i="8"/>
  <c r="A56" i="8"/>
  <c r="E55" i="8"/>
  <c r="E61" i="8" s="1"/>
  <c r="C55" i="8"/>
  <c r="A55" i="8"/>
  <c r="C54" i="8"/>
  <c r="A54" i="8"/>
  <c r="C53" i="8"/>
  <c r="A53" i="8"/>
  <c r="C52" i="8"/>
  <c r="A52" i="8"/>
  <c r="C51" i="8"/>
  <c r="A51" i="8"/>
  <c r="C50" i="8"/>
  <c r="A50" i="8"/>
  <c r="C49" i="8"/>
  <c r="A49" i="8"/>
  <c r="E48" i="8"/>
  <c r="C48" i="8"/>
  <c r="A48" i="8"/>
  <c r="C47" i="8"/>
  <c r="A47" i="8"/>
  <c r="C46" i="8"/>
  <c r="A46" i="8"/>
  <c r="C45" i="8"/>
  <c r="A45" i="8"/>
  <c r="C44" i="8"/>
  <c r="A44" i="8"/>
  <c r="C43" i="8"/>
  <c r="A43" i="8"/>
  <c r="E42" i="8"/>
  <c r="C42" i="8"/>
  <c r="A42" i="8"/>
  <c r="C41" i="8"/>
  <c r="A41" i="8"/>
  <c r="C40" i="8"/>
  <c r="A40" i="8"/>
  <c r="C39" i="8"/>
  <c r="A39" i="8"/>
  <c r="C38" i="8"/>
  <c r="A38" i="8"/>
  <c r="C37" i="8"/>
  <c r="A37" i="8"/>
  <c r="C36" i="8"/>
  <c r="A36" i="8"/>
  <c r="C35" i="8"/>
  <c r="C114" i="8"/>
  <c r="A35" i="8"/>
  <c r="E34" i="8"/>
  <c r="C34" i="8"/>
  <c r="A34" i="8"/>
  <c r="C33" i="8"/>
  <c r="A33" i="8"/>
  <c r="C32" i="8"/>
  <c r="A32" i="8"/>
  <c r="C31" i="8"/>
  <c r="C30" i="8"/>
  <c r="C29" i="8"/>
  <c r="C27" i="8"/>
  <c r="A27" i="8"/>
  <c r="C26" i="8"/>
  <c r="A26" i="8"/>
  <c r="C25" i="8"/>
  <c r="A25" i="8"/>
  <c r="C24" i="8"/>
  <c r="A24" i="8"/>
  <c r="E23" i="8"/>
  <c r="E35" i="8" s="1"/>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E126" i="21"/>
  <c r="C81" i="21"/>
  <c r="C79" i="21"/>
  <c r="A79" i="21"/>
  <c r="C78" i="21"/>
  <c r="A78" i="21"/>
  <c r="A77" i="21"/>
  <c r="E76" i="21"/>
  <c r="E125" i="21"/>
  <c r="C76" i="21"/>
  <c r="C125" i="2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c r="A51" i="21"/>
  <c r="C49" i="21"/>
  <c r="A49" i="21"/>
  <c r="C48" i="21"/>
  <c r="A48" i="21"/>
  <c r="C47" i="21"/>
  <c r="A47" i="21"/>
  <c r="C46" i="21"/>
  <c r="A46" i="21"/>
  <c r="C101" i="21"/>
  <c r="A45" i="21"/>
  <c r="C44" i="21"/>
  <c r="A44" i="21"/>
  <c r="A43" i="21"/>
  <c r="C42" i="21"/>
  <c r="A42" i="21"/>
  <c r="C41" i="21"/>
  <c r="A41" i="21"/>
  <c r="F95" i="21"/>
  <c r="E40" i="21"/>
  <c r="E43" i="21" s="1"/>
  <c r="E4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c r="D68" i="7"/>
  <c r="D96" i="7"/>
  <c r="I67" i="7"/>
  <c r="D67" i="7"/>
  <c r="I66" i="7"/>
  <c r="AE55" i="2"/>
  <c r="I65" i="7"/>
  <c r="I64" i="7"/>
  <c r="I63" i="7"/>
  <c r="I62" i="7"/>
  <c r="D62" i="7"/>
  <c r="I61" i="7"/>
  <c r="D61" i="7"/>
  <c r="I60" i="7"/>
  <c r="I59" i="7"/>
  <c r="D55" i="7"/>
  <c r="I58" i="7"/>
  <c r="D54" i="7"/>
  <c r="I57" i="7"/>
  <c r="D53" i="7"/>
  <c r="I56" i="7"/>
  <c r="I55" i="7"/>
  <c r="I54" i="7"/>
  <c r="I53" i="7"/>
  <c r="I52" i="7"/>
  <c r="I51" i="7"/>
  <c r="I50" i="7"/>
  <c r="D52" i="7"/>
  <c r="I49" i="7"/>
  <c r="D51" i="7"/>
  <c r="I48" i="7"/>
  <c r="F50" i="7"/>
  <c r="F43" i="51"/>
  <c r="D50" i="7"/>
  <c r="D49" i="7"/>
  <c r="D48" i="7"/>
  <c r="I45" i="7"/>
  <c r="F47" i="7"/>
  <c r="F48" i="5" s="1"/>
  <c r="F40" i="51" s="1"/>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c r="F6" i="4"/>
  <c r="H5" i="4"/>
  <c r="H7" i="4"/>
  <c r="F34" i="12"/>
  <c r="F38" i="12"/>
  <c r="G16" i="6"/>
  <c r="D16" i="6"/>
  <c r="G17" i="13"/>
  <c r="D17" i="13"/>
  <c r="D22" i="13"/>
  <c r="G22" i="13"/>
  <c r="G15" i="11"/>
  <c r="D15" i="11"/>
  <c r="G29" i="11"/>
  <c r="D29" i="11"/>
  <c r="G36" i="11"/>
  <c r="D36" i="11"/>
  <c r="G20" i="11"/>
  <c r="D20" i="11"/>
  <c r="G15" i="13"/>
  <c r="D15" i="13"/>
  <c r="D20" i="13"/>
  <c r="G20" i="13"/>
  <c r="G13" i="11"/>
  <c r="D13" i="11"/>
  <c r="G27" i="6"/>
  <c r="G33" i="13"/>
  <c r="D33" i="13"/>
  <c r="D38" i="13"/>
  <c r="G38" i="13"/>
  <c r="G25" i="6"/>
  <c r="D25" i="6"/>
  <c r="D26" i="6" s="1"/>
  <c r="D27" i="6" s="1"/>
  <c r="G32" i="6"/>
  <c r="D32" i="6"/>
  <c r="G31" i="13"/>
  <c r="D31" i="13"/>
  <c r="D36" i="13"/>
  <c r="G36" i="13"/>
  <c r="G31" i="11"/>
  <c r="D31" i="11"/>
  <c r="G3" i="12"/>
  <c r="D3" i="12"/>
  <c r="G23" i="12"/>
  <c r="D23" i="12"/>
  <c r="P15" i="2"/>
  <c r="D19" i="13"/>
  <c r="D35" i="13"/>
  <c r="AE11" i="11"/>
  <c r="AE27" i="11"/>
  <c r="AE37" i="11"/>
  <c r="F11" i="12"/>
  <c r="AE12" i="12"/>
  <c r="D18" i="12"/>
  <c r="D20" i="12"/>
  <c r="D25" i="12"/>
  <c r="AE28" i="12"/>
  <c r="D34" i="12"/>
  <c r="D36" i="12"/>
  <c r="H115" i="47"/>
  <c r="AE15" i="11"/>
  <c r="AE31" i="11"/>
  <c r="U3" i="18"/>
  <c r="L6" i="72"/>
  <c r="H6" i="68"/>
  <c r="E69" i="68"/>
  <c r="H6" i="72"/>
  <c r="E60" i="72"/>
  <c r="L6" i="68"/>
  <c r="AE23" i="11"/>
  <c r="AE14" i="12"/>
  <c r="AE18" i="12"/>
  <c r="AE20" i="12"/>
  <c r="AE30" i="12"/>
  <c r="AE34" i="12"/>
  <c r="AE36" i="12"/>
  <c r="H115" i="51"/>
  <c r="C93" i="21"/>
  <c r="Q38" i="12"/>
  <c r="AE38" i="12"/>
  <c r="B38" i="12"/>
  <c r="Q10" i="12"/>
  <c r="AE10" i="12"/>
  <c r="B10" i="12"/>
  <c r="B9" i="12"/>
  <c r="N38" i="13"/>
  <c r="T38" i="13"/>
  <c r="N10" i="13"/>
  <c r="T10" i="13"/>
  <c r="B9" i="13"/>
  <c r="H677" i="5"/>
  <c r="Q38" i="6"/>
  <c r="AE38" i="6"/>
  <c r="B38" i="6"/>
  <c r="L734" i="18"/>
  <c r="R853" i="18"/>
  <c r="L756" i="18"/>
  <c r="M1794" i="18"/>
  <c r="J2073" i="18"/>
  <c r="H733" i="18"/>
  <c r="H755" i="18"/>
  <c r="M2645" i="18"/>
  <c r="O1860" i="18"/>
  <c r="M3932" i="18"/>
  <c r="J4130" i="18"/>
  <c r="N2330" i="18"/>
  <c r="H2344" i="18"/>
  <c r="N3541" i="18"/>
  <c r="I3553" i="18"/>
  <c r="I1438" i="18"/>
  <c r="H1444" i="18"/>
  <c r="K2273" i="18"/>
  <c r="H2288" i="18"/>
  <c r="K3541" i="18"/>
  <c r="H3553" i="18"/>
  <c r="K3829" i="18"/>
  <c r="H3851" i="18"/>
  <c r="J1007" i="18"/>
  <c r="M1403" i="18"/>
  <c r="M1381" i="18"/>
  <c r="O1639" i="18"/>
  <c r="N1710" i="18"/>
  <c r="I1676" i="18"/>
  <c r="N1693" i="18"/>
  <c r="M2070" i="18"/>
  <c r="O2225" i="18"/>
  <c r="N3454" i="18"/>
  <c r="I3466" i="18"/>
  <c r="O1485" i="18"/>
  <c r="M1320" i="18"/>
  <c r="K1037" i="18"/>
  <c r="O1921" i="18"/>
  <c r="M1793" i="18"/>
  <c r="M1797" i="18"/>
  <c r="K1863" i="18"/>
  <c r="M2824" i="18"/>
  <c r="K2891" i="18"/>
  <c r="N1057" i="18"/>
  <c r="I1074" i="18"/>
  <c r="K3454" i="18"/>
  <c r="H3466" i="18"/>
  <c r="K1271" i="18"/>
  <c r="L1249" i="18"/>
  <c r="O1032" i="18"/>
  <c r="K2228" i="18"/>
  <c r="M2287" i="18"/>
  <c r="O2343" i="18"/>
  <c r="K1057" i="18"/>
  <c r="H1074" i="18"/>
  <c r="K1095" i="18"/>
  <c r="L1073" i="18"/>
  <c r="O1030" i="18"/>
  <c r="L3675" i="18"/>
  <c r="L3651" i="18"/>
  <c r="J3850" i="18"/>
  <c r="M3765" i="18"/>
  <c r="K1079" i="18"/>
  <c r="H1096" i="18"/>
  <c r="H3650" i="18"/>
  <c r="H3674" i="18"/>
  <c r="K2877" i="18"/>
  <c r="H2892" i="18"/>
  <c r="H2893" i="18"/>
  <c r="H2894" i="18"/>
  <c r="H2227" i="18"/>
  <c r="H2286" i="18"/>
  <c r="H1862" i="18"/>
  <c r="H1920" i="18"/>
  <c r="H1675" i="18"/>
  <c r="H1692" i="18"/>
  <c r="Q1665" i="18"/>
  <c r="H1677" i="18"/>
  <c r="H1421" i="18"/>
  <c r="H1442" i="18"/>
  <c r="H1380" i="18"/>
  <c r="H1402" i="18"/>
  <c r="H1248" i="18"/>
  <c r="H1270" i="18"/>
  <c r="H1072" i="18"/>
  <c r="H1094" i="18"/>
  <c r="N1478" i="18"/>
  <c r="J1482" i="18"/>
  <c r="H1036" i="18"/>
  <c r="H1319" i="18"/>
  <c r="M442" i="18"/>
  <c r="M350" i="18"/>
  <c r="O595" i="18"/>
  <c r="N579" i="18"/>
  <c r="H596" i="18"/>
  <c r="N448" i="18"/>
  <c r="H463" i="18"/>
  <c r="D5222" i="18"/>
  <c r="K515" i="18"/>
  <c r="H530" i="18"/>
  <c r="H528" i="18"/>
  <c r="H552" i="18"/>
  <c r="K356" i="18"/>
  <c r="H373" i="18"/>
  <c r="K378" i="18"/>
  <c r="H395" i="18"/>
  <c r="L372" i="18"/>
  <c r="K394" i="18"/>
  <c r="H349" i="18"/>
  <c r="H441" i="18"/>
  <c r="H371" i="18"/>
  <c r="H393" i="18"/>
  <c r="D5234" i="18"/>
  <c r="D5247" i="18"/>
  <c r="D5259" i="18"/>
  <c r="D5214" i="18"/>
  <c r="D5227" i="18"/>
  <c r="D5233" i="18"/>
  <c r="D5244" i="18"/>
  <c r="D5252" i="18"/>
  <c r="D5258" i="18"/>
  <c r="D5264" i="18"/>
  <c r="D5219" i="18"/>
  <c r="D5213" i="18"/>
  <c r="D5224" i="18"/>
  <c r="D5232" i="18"/>
  <c r="D5243" i="18"/>
  <c r="D5249" i="18"/>
  <c r="D5257" i="18"/>
  <c r="D5263" i="18"/>
  <c r="D5269" i="18"/>
  <c r="D5218" i="18"/>
  <c r="D5251" i="18"/>
  <c r="D5212" i="18"/>
  <c r="D5211" i="18"/>
  <c r="D5237" i="18"/>
  <c r="D5226" i="18"/>
  <c r="D5216" i="18"/>
  <c r="D5266" i="18"/>
  <c r="D5238" i="18"/>
  <c r="D5231" i="18"/>
  <c r="D5221" i="18"/>
  <c r="D5261" i="18"/>
  <c r="D5239" i="18"/>
  <c r="D5236" i="18"/>
  <c r="D5241" i="18"/>
  <c r="D5246" i="18"/>
  <c r="D5256" i="18"/>
  <c r="D5228" i="18"/>
  <c r="D5253" i="18"/>
  <c r="D5267" i="18"/>
  <c r="D5223" i="18"/>
  <c r="D5229" i="18"/>
  <c r="D5242" i="18"/>
  <c r="D5248" i="18"/>
  <c r="D5254" i="18"/>
  <c r="D5262" i="18"/>
  <c r="D5268" i="18"/>
  <c r="D5217" i="18"/>
  <c r="K3667" i="18"/>
  <c r="Q4372" i="18"/>
  <c r="Q4379" i="18"/>
  <c r="M4277" i="18"/>
  <c r="M1953" i="18"/>
  <c r="M1959" i="18"/>
  <c r="N1947" i="18"/>
  <c r="O4397" i="18"/>
  <c r="K4410" i="18"/>
  <c r="H4115" i="18"/>
  <c r="K4107" i="18"/>
  <c r="Q3957" i="18"/>
  <c r="Q1753" i="18"/>
  <c r="Q1961" i="18"/>
  <c r="Q2391" i="18"/>
  <c r="H185" i="18"/>
  <c r="H266" i="18"/>
  <c r="N251" i="18"/>
  <c r="H268" i="18"/>
  <c r="Q1764" i="18"/>
  <c r="O267" i="18"/>
  <c r="M186" i="18"/>
  <c r="K230" i="18"/>
  <c r="L208" i="18"/>
  <c r="Q1682" i="18"/>
  <c r="Q2368" i="18"/>
  <c r="H207" i="18"/>
  <c r="H229" i="18"/>
  <c r="K214" i="18"/>
  <c r="H231" i="18"/>
  <c r="K192" i="18"/>
  <c r="H209" i="18"/>
  <c r="Q3578" i="18"/>
  <c r="Q3937" i="18"/>
  <c r="Q130" i="18"/>
  <c r="Q2810" i="18"/>
  <c r="Q2897" i="18"/>
  <c r="K2696" i="18"/>
  <c r="O2696" i="18"/>
  <c r="K1055" i="18"/>
  <c r="K1043" i="18"/>
  <c r="K1231" i="18"/>
  <c r="K1219" i="18"/>
  <c r="H2494" i="18"/>
  <c r="N2463" i="18"/>
  <c r="L2494" i="18"/>
  <c r="P2494" i="18"/>
  <c r="K2494" i="18"/>
  <c r="O2494" i="18"/>
  <c r="C117" i="8"/>
  <c r="F13" i="51"/>
  <c r="J2494" i="18"/>
  <c r="N2494" i="18"/>
  <c r="I2494" i="18"/>
  <c r="M2494" i="18"/>
  <c r="R2494" i="18"/>
  <c r="Q3491" i="18"/>
  <c r="F27" i="13"/>
  <c r="F26" i="11"/>
  <c r="F11" i="13"/>
  <c r="F15" i="13"/>
  <c r="F14" i="11"/>
  <c r="F15" i="12"/>
  <c r="F23" i="13"/>
  <c r="F22" i="11"/>
  <c r="F10" i="11"/>
  <c r="F38" i="11"/>
  <c r="F27" i="12"/>
  <c r="F31" i="12"/>
  <c r="F30" i="13"/>
  <c r="F34" i="13"/>
  <c r="F35" i="13"/>
  <c r="F29" i="11"/>
  <c r="F33" i="11"/>
  <c r="F34" i="11"/>
  <c r="F35" i="12"/>
  <c r="F31" i="13"/>
  <c r="F30" i="11"/>
  <c r="F18" i="12"/>
  <c r="F22" i="12"/>
  <c r="F23" i="12"/>
  <c r="F14" i="13"/>
  <c r="F18" i="13"/>
  <c r="F19" i="13"/>
  <c r="F13" i="11"/>
  <c r="F17" i="11"/>
  <c r="F18" i="11"/>
  <c r="F19" i="12"/>
  <c r="L709" i="5"/>
  <c r="L711" i="5"/>
  <c r="L713" i="5"/>
  <c r="K709" i="5"/>
  <c r="G37" i="6"/>
  <c r="G10" i="13"/>
  <c r="G26" i="13"/>
  <c r="F38" i="13"/>
  <c r="G27" i="11"/>
  <c r="F12" i="12"/>
  <c r="G14" i="12"/>
  <c r="G16" i="12"/>
  <c r="G32" i="12"/>
  <c r="G21" i="6"/>
  <c r="G23" i="6"/>
  <c r="G12" i="13"/>
  <c r="F22" i="13"/>
  <c r="F24" i="13"/>
  <c r="G28" i="13"/>
  <c r="G11" i="11"/>
  <c r="F21" i="11"/>
  <c r="F23" i="11"/>
  <c r="G25" i="11"/>
  <c r="F37" i="11"/>
  <c r="F10" i="12"/>
  <c r="F26" i="12"/>
  <c r="F28" i="12"/>
  <c r="G30" i="12"/>
  <c r="D15" i="2"/>
  <c r="H15" i="2"/>
  <c r="L15" i="2"/>
  <c r="D20" i="6"/>
  <c r="D34" i="6"/>
  <c r="D36" i="6"/>
  <c r="F10" i="13"/>
  <c r="F12" i="13"/>
  <c r="D23" i="13"/>
  <c r="D25" i="13"/>
  <c r="F26" i="13"/>
  <c r="F28" i="13"/>
  <c r="D3" i="11"/>
  <c r="F11" i="11"/>
  <c r="D22" i="11"/>
  <c r="D24" i="11"/>
  <c r="F25" i="11"/>
  <c r="F27" i="11"/>
  <c r="D38" i="11"/>
  <c r="D11" i="12"/>
  <c r="D13" i="12"/>
  <c r="F14" i="12"/>
  <c r="F16" i="12"/>
  <c r="D27" i="12"/>
  <c r="D29" i="12"/>
  <c r="F30" i="12"/>
  <c r="F32" i="12"/>
  <c r="M15" i="2"/>
  <c r="R54" i="2"/>
  <c r="R56" i="2" s="1"/>
  <c r="R57" i="2" s="1"/>
  <c r="G15" i="2"/>
  <c r="D3" i="6"/>
  <c r="D24" i="6"/>
  <c r="D38" i="6"/>
  <c r="D11" i="13"/>
  <c r="D13" i="13"/>
  <c r="F16" i="13"/>
  <c r="D27" i="13"/>
  <c r="D29" i="13"/>
  <c r="F32" i="13"/>
  <c r="D10" i="11"/>
  <c r="D12" i="11"/>
  <c r="F15" i="11"/>
  <c r="D26" i="11"/>
  <c r="D28" i="11"/>
  <c r="F31" i="11"/>
  <c r="D15" i="12"/>
  <c r="D17" i="12"/>
  <c r="F20" i="12"/>
  <c r="D31" i="12"/>
  <c r="D33" i="12"/>
  <c r="F36" i="12"/>
  <c r="F20" i="13"/>
  <c r="F36" i="13"/>
  <c r="F19" i="11"/>
  <c r="F35" i="11"/>
  <c r="F24" i="12"/>
  <c r="Q1597" i="18"/>
  <c r="Q19" i="2"/>
  <c r="M40" i="2"/>
  <c r="M54" i="2"/>
  <c r="AE29" i="2"/>
  <c r="Q29" i="2"/>
  <c r="F13" i="13"/>
  <c r="F17" i="13"/>
  <c r="F21" i="13"/>
  <c r="F25" i="13"/>
  <c r="F29" i="13"/>
  <c r="F33" i="13"/>
  <c r="F37" i="13"/>
  <c r="F12" i="11"/>
  <c r="F16" i="11"/>
  <c r="F20" i="11"/>
  <c r="F24" i="11"/>
  <c r="F28" i="11"/>
  <c r="F32" i="11"/>
  <c r="F36" i="11"/>
  <c r="F13" i="12"/>
  <c r="F17" i="12"/>
  <c r="F21" i="12"/>
  <c r="F25" i="12"/>
  <c r="F29" i="12"/>
  <c r="F33" i="12"/>
  <c r="F37" i="12"/>
  <c r="K51" i="7"/>
  <c r="F67" i="7"/>
  <c r="F68" i="7" s="1"/>
  <c r="G94" i="7" s="1"/>
  <c r="F123" i="8"/>
  <c r="F124" i="8"/>
  <c r="G40" i="2"/>
  <c r="G54" i="2"/>
  <c r="G56" i="2"/>
  <c r="G57" i="2"/>
  <c r="T48" i="2"/>
  <c r="T49" i="2"/>
  <c r="T50" i="2"/>
  <c r="AC48" i="2"/>
  <c r="AC49" i="2"/>
  <c r="AC50" i="2"/>
  <c r="F15" i="2"/>
  <c r="F40" i="2"/>
  <c r="F54" i="2"/>
  <c r="F56" i="2"/>
  <c r="F57" i="2"/>
  <c r="AE24" i="2"/>
  <c r="AE36" i="2"/>
  <c r="AA54" i="2"/>
  <c r="AA56" i="2"/>
  <c r="AA57" i="2"/>
  <c r="K15" i="2"/>
  <c r="O15" i="2"/>
  <c r="O40" i="2"/>
  <c r="O54" i="2"/>
  <c r="O56" i="2"/>
  <c r="O57" i="2"/>
  <c r="E15" i="2"/>
  <c r="E40" i="2"/>
  <c r="E54" i="2"/>
  <c r="E56" i="2"/>
  <c r="E57" i="2"/>
  <c r="I15" i="2"/>
  <c r="I40" i="2"/>
  <c r="I54" i="2"/>
  <c r="I56" i="2"/>
  <c r="I57" i="2"/>
  <c r="U48" i="2"/>
  <c r="U49" i="2"/>
  <c r="U50" i="2"/>
  <c r="Q36" i="2"/>
  <c r="W47" i="2"/>
  <c r="C109" i="21"/>
  <c r="AA48" i="2"/>
  <c r="AA49" i="2"/>
  <c r="AA50" i="2"/>
  <c r="S54" i="2"/>
  <c r="S48" i="2"/>
  <c r="S49" i="2"/>
  <c r="S50" i="2"/>
  <c r="R48" i="2"/>
  <c r="R49" i="2" s="1"/>
  <c r="R50" i="2" s="1"/>
  <c r="W54" i="2"/>
  <c r="W56" i="2"/>
  <c r="W57" i="2"/>
  <c r="W48" i="2"/>
  <c r="V54" i="2"/>
  <c r="V56" i="2"/>
  <c r="V57" i="2"/>
  <c r="V48" i="2"/>
  <c r="V49" i="2"/>
  <c r="V50" i="2"/>
  <c r="K40" i="2"/>
  <c r="K54" i="2"/>
  <c r="K56" i="2"/>
  <c r="K57" i="2"/>
  <c r="AE19" i="2"/>
  <c r="Q24" i="2"/>
  <c r="M56" i="2"/>
  <c r="M57" i="2"/>
  <c r="S56" i="2"/>
  <c r="S57" i="2"/>
  <c r="H40" i="2"/>
  <c r="H54" i="2"/>
  <c r="L54" i="2"/>
  <c r="P40" i="2"/>
  <c r="P54" i="2"/>
  <c r="P56" i="2"/>
  <c r="P57" i="2"/>
  <c r="H56" i="2"/>
  <c r="H57" i="2"/>
  <c r="L56" i="2"/>
  <c r="L57" i="2"/>
  <c r="R9" i="11"/>
  <c r="Q9" i="12"/>
  <c r="AE9" i="12"/>
  <c r="R36" i="12"/>
  <c r="J17" i="5"/>
  <c r="F17" i="51"/>
  <c r="F17" i="5"/>
  <c r="K711" i="5"/>
  <c r="K713" i="5"/>
  <c r="Q12" i="11"/>
  <c r="AE12" i="11"/>
  <c r="Q33" i="11"/>
  <c r="AE33" i="11"/>
  <c r="Q24" i="12"/>
  <c r="AE24" i="12"/>
  <c r="Q21" i="11"/>
  <c r="AE21" i="11"/>
  <c r="Q15" i="12"/>
  <c r="AE15" i="12"/>
  <c r="Q27" i="12"/>
  <c r="AE27" i="12"/>
  <c r="R17" i="11"/>
  <c r="R37" i="11"/>
  <c r="Q11" i="6"/>
  <c r="AE11" i="6"/>
  <c r="Q28" i="11"/>
  <c r="AE28" i="11"/>
  <c r="Q11" i="12"/>
  <c r="AE11" i="12"/>
  <c r="R20" i="12"/>
  <c r="R3" i="13"/>
  <c r="Q24" i="11"/>
  <c r="AE24" i="11"/>
  <c r="Q31" i="12"/>
  <c r="AE31" i="12"/>
  <c r="Q12" i="6"/>
  <c r="AE12" i="6"/>
  <c r="Q13" i="11"/>
  <c r="AE13" i="11"/>
  <c r="Q20" i="11"/>
  <c r="AE20" i="11"/>
  <c r="Q29" i="11"/>
  <c r="AE29" i="11"/>
  <c r="Q36" i="11"/>
  <c r="AE36" i="11"/>
  <c r="Q16" i="12"/>
  <c r="AE16" i="12"/>
  <c r="Q23" i="12"/>
  <c r="AE23" i="12"/>
  <c r="Q32" i="12"/>
  <c r="AE32" i="12"/>
  <c r="R25" i="11"/>
  <c r="R12" i="12"/>
  <c r="R28" i="12"/>
  <c r="Q16" i="11"/>
  <c r="AE16" i="11"/>
  <c r="Q32" i="11"/>
  <c r="AE32" i="11"/>
  <c r="Q19" i="12"/>
  <c r="AE19" i="12"/>
  <c r="Q35" i="12"/>
  <c r="AE35" i="12"/>
  <c r="C106" i="21"/>
  <c r="C122" i="21"/>
  <c r="C126" i="21"/>
  <c r="R34" i="11"/>
  <c r="Q34" i="11"/>
  <c r="AE34" i="11"/>
  <c r="Q21" i="12"/>
  <c r="AE21" i="12"/>
  <c r="R21" i="12"/>
  <c r="Q37" i="12"/>
  <c r="AE37" i="12"/>
  <c r="R37" i="12"/>
  <c r="Q37" i="6"/>
  <c r="AE37" i="6" s="1"/>
  <c r="Q22" i="11"/>
  <c r="AE22" i="11"/>
  <c r="R22" i="11"/>
  <c r="R25" i="12"/>
  <c r="Q25" i="12"/>
  <c r="AE25" i="12"/>
  <c r="R10" i="11"/>
  <c r="Q10" i="11"/>
  <c r="AE10" i="11"/>
  <c r="R26" i="11"/>
  <c r="Q26" i="11"/>
  <c r="AE26" i="11"/>
  <c r="Q13" i="12"/>
  <c r="AE13" i="12"/>
  <c r="R13" i="12"/>
  <c r="Q29" i="12"/>
  <c r="AE29" i="12"/>
  <c r="R29" i="12"/>
  <c r="C118" i="21"/>
  <c r="C114" i="21"/>
  <c r="C102" i="21"/>
  <c r="C110" i="21"/>
  <c r="R18" i="11"/>
  <c r="Q18" i="11"/>
  <c r="AE18" i="11"/>
  <c r="R38" i="11"/>
  <c r="Q38" i="11"/>
  <c r="AE38" i="11"/>
  <c r="Q29" i="6"/>
  <c r="AE29" i="6" s="1"/>
  <c r="Q14" i="11"/>
  <c r="AE14" i="11"/>
  <c r="R14" i="11"/>
  <c r="Q30" i="11"/>
  <c r="AE30" i="11"/>
  <c r="R30" i="11"/>
  <c r="R17" i="12"/>
  <c r="Q17" i="12"/>
  <c r="AE17" i="12"/>
  <c r="R33" i="12"/>
  <c r="Q33" i="12"/>
  <c r="AE33" i="12"/>
  <c r="L24" i="72"/>
  <c r="R18" i="6"/>
  <c r="R34" i="6"/>
  <c r="R38" i="6"/>
  <c r="R11" i="11"/>
  <c r="R15" i="11"/>
  <c r="R19" i="11"/>
  <c r="R23" i="11"/>
  <c r="R27" i="11"/>
  <c r="R31" i="11"/>
  <c r="R35" i="11"/>
  <c r="R10" i="12"/>
  <c r="R14" i="12"/>
  <c r="R18" i="12"/>
  <c r="R22" i="12"/>
  <c r="R26" i="12"/>
  <c r="R30" i="12"/>
  <c r="R34" i="12"/>
  <c r="R38" i="12"/>
  <c r="S3" i="13"/>
  <c r="E49" i="8"/>
  <c r="F114" i="8"/>
  <c r="C122" i="8"/>
  <c r="C104" i="8"/>
  <c r="C121" i="8"/>
  <c r="E53" i="21"/>
  <c r="E52" i="21"/>
  <c r="E127" i="21"/>
  <c r="E128" i="21"/>
  <c r="F128" i="21"/>
  <c r="F109" i="8"/>
  <c r="K52" i="7"/>
  <c r="G96" i="7"/>
  <c r="D94" i="7"/>
  <c r="J734" i="5"/>
  <c r="I96" i="7"/>
  <c r="Q678" i="18"/>
  <c r="Q910" i="18"/>
  <c r="Q3886" i="18"/>
  <c r="Q3588" i="18"/>
  <c r="Q1587" i="18"/>
  <c r="K2401" i="18"/>
  <c r="K3876" i="18"/>
  <c r="Q4157" i="18"/>
  <c r="Q4040" i="18"/>
  <c r="Q3370" i="18"/>
  <c r="Q4136" i="18"/>
  <c r="Q3481" i="18"/>
  <c r="Q668" i="18"/>
  <c r="Q890" i="18"/>
  <c r="M4390" i="18"/>
  <c r="Q2479" i="18"/>
  <c r="Q2491" i="18"/>
  <c r="H4390" i="18"/>
  <c r="N4367" i="18"/>
  <c r="L4390" i="18"/>
  <c r="P4390" i="18"/>
  <c r="K4367" i="18"/>
  <c r="J4390" i="18"/>
  <c r="N4390" i="18"/>
  <c r="I4390" i="18"/>
  <c r="F18" i="51"/>
  <c r="F44" i="52"/>
  <c r="F20" i="51"/>
  <c r="F48" i="52"/>
  <c r="E813" i="5"/>
  <c r="E800" i="5"/>
  <c r="C97" i="21"/>
  <c r="C96" i="21"/>
  <c r="C54" i="2"/>
  <c r="C88" i="21"/>
  <c r="F24" i="51"/>
  <c r="F49" i="52"/>
  <c r="F734" i="5"/>
  <c r="S11" i="13"/>
  <c r="R11" i="13"/>
  <c r="T11" i="13"/>
  <c r="S19" i="13"/>
  <c r="R19" i="13"/>
  <c r="T19" i="13"/>
  <c r="S27" i="13"/>
  <c r="R27" i="13"/>
  <c r="T27" i="13"/>
  <c r="S35" i="13"/>
  <c r="R35" i="13"/>
  <c r="T35" i="13"/>
  <c r="E802" i="5"/>
  <c r="E817" i="5"/>
  <c r="R3" i="6"/>
  <c r="Q3" i="6"/>
  <c r="AE3" i="6"/>
  <c r="S13" i="13"/>
  <c r="R13" i="13"/>
  <c r="T13" i="13"/>
  <c r="S21" i="13"/>
  <c r="R21" i="13"/>
  <c r="T21" i="13"/>
  <c r="S29" i="13"/>
  <c r="R29" i="13"/>
  <c r="T29" i="13"/>
  <c r="S37" i="13"/>
  <c r="R37" i="13"/>
  <c r="T37" i="13"/>
  <c r="S15" i="13"/>
  <c r="R15" i="13"/>
  <c r="T15" i="13"/>
  <c r="S23" i="13"/>
  <c r="R23" i="13"/>
  <c r="T23" i="13"/>
  <c r="S31" i="13"/>
  <c r="R31" i="13"/>
  <c r="T31" i="13"/>
  <c r="E790" i="5"/>
  <c r="E821" i="5"/>
  <c r="E791" i="5"/>
  <c r="E805" i="5"/>
  <c r="S9" i="13"/>
  <c r="R9" i="13"/>
  <c r="T9" i="13"/>
  <c r="S17" i="13"/>
  <c r="R17" i="13"/>
  <c r="T17" i="13"/>
  <c r="S25" i="13"/>
  <c r="R25" i="13"/>
  <c r="T25" i="13"/>
  <c r="S33" i="13"/>
  <c r="R33" i="13"/>
  <c r="T33" i="13"/>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c r="R3" i="11"/>
  <c r="Q3" i="11"/>
  <c r="AE3" i="11"/>
  <c r="K4390" i="18"/>
  <c r="O4390" i="18"/>
  <c r="H3107" i="18"/>
  <c r="D5425" i="18"/>
  <c r="P2674" i="18"/>
  <c r="P2685" i="18"/>
  <c r="J2696" i="18"/>
  <c r="D5397" i="18"/>
  <c r="D5435" i="18"/>
  <c r="D5441" i="18"/>
  <c r="D5447" i="18"/>
  <c r="D5444" i="18"/>
  <c r="D5432" i="18"/>
  <c r="D5440" i="18"/>
  <c r="D5446" i="18"/>
  <c r="P2687" i="18"/>
  <c r="P2691" i="18"/>
  <c r="P2695" i="18"/>
  <c r="P2663" i="18"/>
  <c r="D5424" i="18"/>
  <c r="D5431" i="18"/>
  <c r="P2694" i="18"/>
  <c r="D5436" i="18"/>
  <c r="P2689" i="18"/>
  <c r="P2693" i="18"/>
  <c r="P2688" i="18"/>
  <c r="P2692" i="18"/>
  <c r="N2696" i="18"/>
  <c r="D2661" i="18"/>
  <c r="D2693" i="18"/>
  <c r="D2665" i="18"/>
  <c r="D2669" i="18"/>
  <c r="D2656" i="18"/>
  <c r="D2689" i="18"/>
  <c r="D2694" i="18"/>
  <c r="D2686" i="18"/>
  <c r="D2678" i="18"/>
  <c r="D2670" i="18"/>
  <c r="D2662" i="18"/>
  <c r="D2654" i="18"/>
  <c r="D2691" i="18"/>
  <c r="D2683" i="18"/>
  <c r="D2675" i="18"/>
  <c r="D2667" i="18"/>
  <c r="D2659" i="18"/>
  <c r="D2696" i="18"/>
  <c r="D2688" i="18"/>
  <c r="D2680" i="18"/>
  <c r="D2672" i="18"/>
  <c r="D2664" i="18"/>
  <c r="D5445" i="18"/>
  <c r="D5429" i="18"/>
  <c r="D5396" i="18"/>
  <c r="D5408" i="18"/>
  <c r="D5434" i="18"/>
  <c r="D5401" i="18"/>
  <c r="D5407" i="18"/>
  <c r="D5413" i="18"/>
  <c r="D5451" i="18"/>
  <c r="D5439" i="18"/>
  <c r="D5427" i="18"/>
  <c r="D5437" i="18"/>
  <c r="D5402" i="18"/>
  <c r="D5442" i="18"/>
  <c r="D5430" i="18"/>
  <c r="D5426" i="18"/>
  <c r="D5392" i="18"/>
  <c r="D5398" i="18"/>
  <c r="D5412" i="18"/>
  <c r="D5417" i="18"/>
  <c r="D5405" i="18"/>
  <c r="D5393" i="18"/>
  <c r="D5410" i="18"/>
  <c r="D5406" i="18"/>
  <c r="D5390" i="18"/>
  <c r="D5411" i="18"/>
  <c r="D5403" i="18"/>
  <c r="D5395" i="18"/>
  <c r="D5391" i="18"/>
  <c r="D5400" i="18"/>
  <c r="D5124" i="18"/>
  <c r="D5122" i="18"/>
  <c r="D5123" i="18"/>
  <c r="H3913" i="18"/>
  <c r="K3896" i="18"/>
  <c r="P3097" i="18"/>
  <c r="P3101" i="18"/>
  <c r="K4496" i="18"/>
  <c r="H3816" i="18"/>
  <c r="I4788" i="18"/>
  <c r="N4776" i="18"/>
  <c r="P3094" i="18"/>
  <c r="P3107" i="18" s="1"/>
  <c r="P3098" i="18"/>
  <c r="P3102" i="18"/>
  <c r="H3788" i="18"/>
  <c r="K3770" i="18"/>
  <c r="H4788" i="18"/>
  <c r="K4776" i="18" s="1"/>
  <c r="K3392" i="18"/>
  <c r="K3381" i="18"/>
  <c r="D5101" i="18"/>
  <c r="I2616" i="18"/>
  <c r="H4496" i="18"/>
  <c r="K4488" i="18"/>
  <c r="L4488" i="18"/>
  <c r="J4496" i="18"/>
  <c r="J2616" i="18"/>
  <c r="D3051" i="18"/>
  <c r="D3067" i="18"/>
  <c r="O2975" i="18"/>
  <c r="P3092" i="18"/>
  <c r="P3096" i="18"/>
  <c r="P3100" i="18"/>
  <c r="D3071" i="18"/>
  <c r="H2616" i="18"/>
  <c r="D3066" i="18"/>
  <c r="D3074" i="18"/>
  <c r="D3084" i="18"/>
  <c r="D3094" i="18"/>
  <c r="D3102" i="18"/>
  <c r="K2366" i="18"/>
  <c r="K2349" i="18"/>
  <c r="D3065" i="18"/>
  <c r="D3069" i="18"/>
  <c r="D3073" i="18"/>
  <c r="D3079" i="18"/>
  <c r="D3083" i="18"/>
  <c r="D3087" i="18"/>
  <c r="D3093" i="18"/>
  <c r="D3097" i="18"/>
  <c r="D3101" i="18"/>
  <c r="D3091" i="18"/>
  <c r="D3095" i="18"/>
  <c r="D3099" i="18"/>
  <c r="D3070" i="18"/>
  <c r="D3080" i="18"/>
  <c r="D3088" i="18"/>
  <c r="D3098" i="18"/>
  <c r="P3095" i="18"/>
  <c r="P3099" i="18"/>
  <c r="P3075" i="18"/>
  <c r="D3050" i="18"/>
  <c r="D3078" i="18"/>
  <c r="D3082" i="18"/>
  <c r="D3086" i="18"/>
  <c r="N264" i="18"/>
  <c r="N268" i="18"/>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c r="J2917" i="18"/>
  <c r="K2908" i="18"/>
  <c r="D3090" i="18"/>
  <c r="D3062" i="18"/>
  <c r="D3058" i="18"/>
  <c r="D3054" i="18"/>
  <c r="D3103" i="18"/>
  <c r="D3075" i="18"/>
  <c r="D3063" i="18"/>
  <c r="D3059" i="18"/>
  <c r="D3055" i="18"/>
  <c r="M2917" i="18"/>
  <c r="N2908" i="18"/>
  <c r="K2271" i="18"/>
  <c r="K2260" i="18"/>
  <c r="K1906" i="18"/>
  <c r="K1895" i="18"/>
  <c r="M4435" i="18"/>
  <c r="K4424" i="18"/>
  <c r="N2340" i="18"/>
  <c r="J2340" i="18"/>
  <c r="N1474" i="18"/>
  <c r="N856" i="18"/>
  <c r="J856" i="18"/>
  <c r="N585" i="18"/>
  <c r="N592" i="18"/>
  <c r="J264" i="18"/>
  <c r="K1944"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5" i="18"/>
  <c r="K3598" i="18"/>
  <c r="H3027" i="18"/>
  <c r="H3018" i="18"/>
  <c r="K3018" i="18"/>
  <c r="I3027" i="18"/>
  <c r="K3036" i="18"/>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18" i="18"/>
  <c r="H6209" i="18"/>
  <c r="H6238" i="18"/>
  <c r="K2562" i="18"/>
  <c r="K2579" i="18"/>
  <c r="K2586" i="18"/>
  <c r="K2589" i="18"/>
  <c r="K2576" i="18"/>
  <c r="K2596" i="18"/>
  <c r="H2593" i="18"/>
  <c r="H2573" i="18"/>
  <c r="L2284" i="18"/>
  <c r="K2245" i="18"/>
  <c r="K2234" i="18"/>
  <c r="J2011" i="18"/>
  <c r="K2001" i="18"/>
  <c r="K1893" i="18"/>
  <c r="K1882" i="18"/>
  <c r="K1665" i="18"/>
  <c r="N3188" i="18"/>
  <c r="K1880" i="18"/>
  <c r="K1869" i="18"/>
  <c r="J1834" i="18"/>
  <c r="J1836" i="18"/>
  <c r="K1823" i="18"/>
  <c r="H888" i="18"/>
  <c r="K871" i="18"/>
  <c r="N1823" i="18"/>
  <c r="J3711" i="18"/>
  <c r="H3528" i="18"/>
  <c r="K3511" i="18"/>
  <c r="Q648" i="18"/>
  <c r="Q956" i="18"/>
  <c r="L1317" i="18"/>
  <c r="N4926" i="18"/>
  <c r="K559" i="18"/>
  <c r="J567" i="18"/>
  <c r="I1434" i="18"/>
  <c r="K1510" i="18"/>
  <c r="Q658" i="18"/>
  <c r="H5460" i="18"/>
  <c r="H5482" i="18"/>
  <c r="L1707" i="18"/>
  <c r="K3471" i="18"/>
  <c r="L3471" i="18"/>
  <c r="K4454" i="18"/>
  <c r="K4449" i="18"/>
  <c r="J6236" i="18"/>
  <c r="L439" i="18"/>
  <c r="L347" i="18"/>
  <c r="K4287" i="18"/>
  <c r="H646" i="18"/>
  <c r="K1397" i="18"/>
  <c r="I1433" i="18"/>
  <c r="K3709" i="18"/>
  <c r="O4094" i="18"/>
  <c r="K4084" i="18"/>
  <c r="Q4563" i="18"/>
  <c r="L183" i="18"/>
  <c r="L1375" i="18"/>
  <c r="L1378" i="18"/>
  <c r="K601" i="18"/>
  <c r="Q618" i="18"/>
  <c r="I865" i="18"/>
  <c r="I868" i="18"/>
  <c r="Q977" i="18"/>
  <c r="I1437" i="18"/>
  <c r="I1439" i="18"/>
  <c r="K1440" i="18"/>
  <c r="J1634" i="18"/>
  <c r="K1617" i="18"/>
  <c r="P2990" i="18"/>
  <c r="L3003" i="18"/>
  <c r="P2998" i="18"/>
  <c r="K3916" i="18"/>
  <c r="O4348" i="18"/>
  <c r="K4340" i="18"/>
  <c r="J2216" i="18"/>
  <c r="K2202" i="18"/>
  <c r="Q4926" i="18"/>
  <c r="Q5063" i="18"/>
  <c r="D5130" i="18"/>
  <c r="K5490" i="18"/>
  <c r="I6050" i="18"/>
  <c r="K6031" i="18"/>
  <c r="I6209" i="18"/>
  <c r="I6238" i="18"/>
  <c r="M128" i="18"/>
  <c r="N120" i="18"/>
  <c r="L495" i="18"/>
  <c r="L498" i="18"/>
  <c r="K485" i="18"/>
  <c r="J3003" i="18"/>
  <c r="Q3256" i="18"/>
  <c r="Q3955" i="18"/>
  <c r="Q4070" i="18"/>
  <c r="Q4072" i="18"/>
  <c r="H5786" i="18"/>
  <c r="K658" i="18"/>
  <c r="K510" i="18"/>
  <c r="L1440" i="18"/>
  <c r="K1428" i="18"/>
  <c r="M57" i="18"/>
  <c r="N20" i="18"/>
  <c r="K569" i="18"/>
  <c r="N678" i="18"/>
  <c r="I1435" i="18"/>
  <c r="L1787" i="18"/>
  <c r="K1774" i="18"/>
  <c r="J1959" i="18"/>
  <c r="K1947" i="18"/>
  <c r="M2019" i="18"/>
  <c r="Q2013" i="18"/>
  <c r="I3003" i="18"/>
  <c r="M3003" i="18"/>
  <c r="K3359" i="18"/>
  <c r="K3558" i="18"/>
  <c r="K3856" i="18"/>
  <c r="K4317" i="18"/>
  <c r="Q4633" i="18"/>
  <c r="Q4799" i="18"/>
  <c r="Q5052" i="18"/>
  <c r="Q5085" i="18"/>
  <c r="I5460" i="18"/>
  <c r="I5482" i="18"/>
  <c r="I5786" i="18"/>
  <c r="K160" i="18"/>
  <c r="J128" i="18"/>
  <c r="K120" i="18"/>
  <c r="I1396" i="18"/>
  <c r="I1399" i="18"/>
  <c r="I1398" i="18"/>
  <c r="I1392" i="18"/>
  <c r="N859" i="18"/>
  <c r="K1400" i="18"/>
  <c r="J1419" i="18"/>
  <c r="Q1409" i="18"/>
  <c r="K1597" i="18"/>
  <c r="M1634" i="18"/>
  <c r="N1617" i="18"/>
  <c r="J2169" i="18"/>
  <c r="K2157" i="18"/>
  <c r="K2717" i="18"/>
  <c r="K2705" i="18"/>
  <c r="D5132" i="18"/>
  <c r="H6182" i="18"/>
  <c r="K6163" i="18"/>
  <c r="Q138" i="18"/>
  <c r="J526" i="18"/>
  <c r="Q515" i="18"/>
  <c r="K567" i="18"/>
  <c r="K678" i="18"/>
  <c r="K859" i="18"/>
  <c r="K864" i="18"/>
  <c r="K867" i="18"/>
  <c r="K1375" i="18"/>
  <c r="L1397" i="18"/>
  <c r="L1400" i="18"/>
  <c r="K1724" i="18"/>
  <c r="Q1716" i="18"/>
  <c r="M2169" i="18"/>
  <c r="N2157" i="18"/>
  <c r="N2293" i="18"/>
  <c r="K3003" i="18"/>
  <c r="O3003" i="18"/>
  <c r="K3704" i="18"/>
  <c r="K4155" i="18"/>
  <c r="K4147" i="18"/>
  <c r="N4397" i="18"/>
  <c r="N4402" i="18"/>
  <c r="N4633" i="18"/>
  <c r="H4938" i="18"/>
  <c r="K5006" i="18"/>
  <c r="Q5036" i="18"/>
  <c r="J5460" i="18"/>
  <c r="J5482" i="18"/>
  <c r="Q5599" i="18"/>
  <c r="H5832" i="18"/>
  <c r="H5834" i="18"/>
  <c r="K5804" i="18"/>
  <c r="J6195" i="18"/>
  <c r="Q5020" i="18"/>
  <c r="J57" i="18"/>
  <c r="J577" i="18"/>
  <c r="I866" i="18"/>
  <c r="K1409" i="18"/>
  <c r="M4410" i="18"/>
  <c r="N4563" i="18"/>
  <c r="O4563" i="18"/>
  <c r="Q4694" i="18"/>
  <c r="K5461" i="18"/>
  <c r="K5466" i="18"/>
  <c r="N695" i="18"/>
  <c r="K688" i="18"/>
  <c r="J646" i="18"/>
  <c r="I864" i="18"/>
  <c r="K865" i="18"/>
  <c r="K868" i="18"/>
  <c r="I1436" i="18"/>
  <c r="K1457" i="18"/>
  <c r="J1457" i="18"/>
  <c r="J1467" i="18"/>
  <c r="K1459" i="18"/>
  <c r="K1467" i="18"/>
  <c r="N1614" i="18"/>
  <c r="Q1607" i="18"/>
  <c r="I1555" i="18"/>
  <c r="N1597" i="18"/>
  <c r="N3003" i="18"/>
  <c r="P2994" i="18"/>
  <c r="H3003" i="18"/>
  <c r="N2982" i="18"/>
  <c r="P3002" i="18"/>
  <c r="K4446" i="18"/>
  <c r="K4437" i="18"/>
  <c r="N4516" i="18"/>
  <c r="O4516" i="18"/>
  <c r="Q4663" i="18"/>
  <c r="Q4848" i="18"/>
  <c r="Q4876" i="18"/>
  <c r="K5473" i="18"/>
  <c r="R5599" i="18"/>
  <c r="J6207" i="18"/>
  <c r="J4575" i="18"/>
  <c r="J4533" i="18"/>
  <c r="D5133" i="18"/>
  <c r="Q146" i="18"/>
  <c r="I505" i="18"/>
  <c r="K513" i="18"/>
  <c r="I509" i="18"/>
  <c r="I508" i="18"/>
  <c r="I507" i="18"/>
  <c r="I512" i="18"/>
  <c r="I511" i="18"/>
  <c r="K967" i="18"/>
  <c r="K498" i="18"/>
  <c r="I497" i="18"/>
  <c r="I496" i="18"/>
  <c r="I494" i="18"/>
  <c r="I493" i="18"/>
  <c r="I490" i="18"/>
  <c r="I492" i="18"/>
  <c r="N1348" i="18"/>
  <c r="N944" i="18"/>
  <c r="K944" i="18"/>
  <c r="K1013" i="18"/>
  <c r="L1013" i="18"/>
  <c r="I1374" i="18"/>
  <c r="I1373" i="18"/>
  <c r="I1372" i="18"/>
  <c r="K1378" i="18"/>
  <c r="I1377" i="18"/>
  <c r="I1376" i="18"/>
  <c r="I1370" i="18"/>
  <c r="D2712" i="18"/>
  <c r="D2710" i="18"/>
  <c r="D2731" i="18"/>
  <c r="D2724" i="18"/>
  <c r="D2723" i="18"/>
  <c r="D5100" i="18"/>
  <c r="D5116" i="18"/>
  <c r="D5108" i="18"/>
  <c r="D5099" i="18"/>
  <c r="D5114" i="18"/>
  <c r="D5106" i="18"/>
  <c r="D5102" i="18"/>
  <c r="D5112" i="18"/>
  <c r="D5110" i="18"/>
  <c r="K3306" i="18"/>
  <c r="K3997" i="18"/>
  <c r="Q535" i="18"/>
  <c r="I1394" i="18"/>
  <c r="I1395" i="18"/>
  <c r="K1449" i="18"/>
  <c r="K1527" i="18"/>
  <c r="Q1557" i="18"/>
  <c r="Q1567" i="18"/>
  <c r="M1653" i="18"/>
  <c r="D2717" i="18"/>
  <c r="K2731" i="18"/>
  <c r="K2719" i="18"/>
  <c r="D5104" i="18"/>
  <c r="D5107" i="18"/>
  <c r="I330" i="18"/>
  <c r="K577" i="18"/>
  <c r="I1002" i="18"/>
  <c r="N1326" i="18"/>
  <c r="L1555" i="18"/>
  <c r="J2845" i="18"/>
  <c r="N3256" i="18"/>
  <c r="K3531" i="18"/>
  <c r="H4575" i="18"/>
  <c r="H4533" i="18"/>
  <c r="H4556" i="18"/>
  <c r="H330" i="18"/>
  <c r="L510" i="18"/>
  <c r="L513" i="18"/>
  <c r="N500" i="18"/>
  <c r="N485" i="18"/>
  <c r="H1002" i="18"/>
  <c r="M2216" i="18"/>
  <c r="N2202" i="18"/>
  <c r="D2722" i="18"/>
  <c r="M3198" i="18"/>
  <c r="Q3188" i="18"/>
  <c r="H3300" i="18"/>
  <c r="K3286" i="18"/>
  <c r="L4338" i="18"/>
  <c r="Q4330" i="18"/>
  <c r="Q4516" i="18"/>
  <c r="K4516" i="18"/>
  <c r="L4516" i="18" s="1"/>
  <c r="D2709" i="18"/>
  <c r="M2845" i="18"/>
  <c r="N2830" i="18"/>
  <c r="K3568" i="18"/>
  <c r="K3697" i="18"/>
  <c r="H4127" i="18"/>
  <c r="K4118" i="18"/>
  <c r="D2875" i="18"/>
  <c r="D2865" i="18"/>
  <c r="K4357" i="18"/>
  <c r="K4351" i="18"/>
  <c r="J4410" i="18"/>
  <c r="I4577" i="18"/>
  <c r="K4563" i="18"/>
  <c r="L4563" i="18" s="1"/>
  <c r="Q3240" i="18"/>
  <c r="D5109" i="18"/>
  <c r="D5115" i="18"/>
  <c r="L4082" i="18"/>
  <c r="Q4074" i="18"/>
  <c r="I4410" i="18"/>
  <c r="O4402" i="18"/>
  <c r="Q4944" i="18"/>
  <c r="N4944" i="18"/>
  <c r="D2708" i="18"/>
  <c r="M3210" i="18"/>
  <c r="K3200" i="18"/>
  <c r="H4514" i="18"/>
  <c r="K4507" i="18" s="1"/>
  <c r="H4410" i="18"/>
  <c r="N4392" i="18"/>
  <c r="L4410" i="18"/>
  <c r="K4421" i="18"/>
  <c r="K4413" i="18"/>
  <c r="N4540" i="18"/>
  <c r="O4540" i="18"/>
  <c r="J4577" i="18"/>
  <c r="K4876" i="18"/>
  <c r="Q4913" i="18"/>
  <c r="D5103" i="18"/>
  <c r="D5111" i="18"/>
  <c r="D5131" i="18"/>
  <c r="D5134" i="18"/>
  <c r="K5483" i="18"/>
  <c r="K5494" i="18"/>
  <c r="K5497" i="18"/>
  <c r="K4267" i="18"/>
  <c r="K4261" i="18"/>
  <c r="N4313" i="18"/>
  <c r="Q3987" i="18"/>
  <c r="K4305" i="18"/>
  <c r="K4297" i="18"/>
  <c r="N4348" i="18"/>
  <c r="D5105" i="18"/>
  <c r="D5113" i="18"/>
  <c r="K5478" i="18"/>
  <c r="J6224" i="18"/>
  <c r="T54" i="2"/>
  <c r="T56" i="2"/>
  <c r="T57" i="2"/>
  <c r="X3" i="18"/>
  <c r="W3" i="18"/>
  <c r="V3" i="18"/>
  <c r="L718" i="5"/>
  <c r="K24" i="5"/>
  <c r="L765" i="5"/>
  <c r="K631" i="5"/>
  <c r="L650" i="5"/>
  <c r="K647" i="5"/>
  <c r="K638" i="5"/>
  <c r="K547" i="5"/>
  <c r="K533" i="5"/>
  <c r="K68" i="5"/>
  <c r="K770" i="5"/>
  <c r="K495" i="5"/>
  <c r="K718" i="5"/>
  <c r="L284" i="5"/>
  <c r="K779" i="5"/>
  <c r="L729" i="5"/>
  <c r="L527" i="5"/>
  <c r="K553" i="5"/>
  <c r="L431" i="5"/>
  <c r="L67" i="5"/>
  <c r="L547" i="5"/>
  <c r="L594" i="5"/>
  <c r="L724" i="5"/>
  <c r="K13" i="5"/>
  <c r="L640" i="5"/>
  <c r="L721" i="5"/>
  <c r="L781" i="5"/>
  <c r="L272" i="5"/>
  <c r="K80" i="5"/>
  <c r="K37" i="5"/>
  <c r="L56" i="5"/>
  <c r="L770" i="5"/>
  <c r="L555" i="5"/>
  <c r="L525" i="5"/>
  <c r="L87" i="5"/>
  <c r="K113" i="5"/>
  <c r="L550" i="5"/>
  <c r="K67" i="5"/>
  <c r="L94" i="5"/>
  <c r="L147" i="5"/>
  <c r="L541" i="5"/>
  <c r="L79" i="5"/>
  <c r="L24" i="5"/>
  <c r="K76" i="5"/>
  <c r="K22" i="5"/>
  <c r="K23" i="5"/>
  <c r="K239" i="5"/>
  <c r="K334" i="5"/>
  <c r="K346" i="5"/>
  <c r="K412" i="5"/>
  <c r="L31" i="5"/>
  <c r="K17" i="5"/>
  <c r="K31" i="5"/>
  <c r="L88" i="5"/>
  <c r="L123" i="5"/>
  <c r="L29" i="5"/>
  <c r="L253" i="5"/>
  <c r="L303" i="5"/>
  <c r="L315" i="5"/>
  <c r="L146" i="5"/>
  <c r="L398" i="5"/>
  <c r="L608" i="5"/>
  <c r="L777" i="5"/>
  <c r="L769" i="5"/>
  <c r="K730" i="5"/>
  <c r="K722" i="5"/>
  <c r="K628" i="5"/>
  <c r="K548" i="5"/>
  <c r="K538" i="5"/>
  <c r="K527" i="5"/>
  <c r="L732" i="5"/>
  <c r="K649" i="5"/>
  <c r="L774" i="5"/>
  <c r="L627" i="5"/>
  <c r="L538" i="5"/>
  <c r="L726" i="5"/>
  <c r="K645" i="5"/>
  <c r="K594" i="5"/>
  <c r="K537" i="5"/>
  <c r="K561" i="5"/>
  <c r="K443" i="5"/>
  <c r="L476" i="5"/>
  <c r="K599" i="5"/>
  <c r="K539" i="5"/>
  <c r="L719" i="5"/>
  <c r="L723" i="5"/>
  <c r="L727" i="5"/>
  <c r="L731" i="5"/>
  <c r="K643" i="5"/>
  <c r="K653" i="5"/>
  <c r="K767" i="5"/>
  <c r="K775" i="5"/>
  <c r="L528" i="5"/>
  <c r="L542" i="5"/>
  <c r="L551" i="5"/>
  <c r="K625" i="5"/>
  <c r="L636" i="5"/>
  <c r="L646" i="5"/>
  <c r="K768" i="5"/>
  <c r="K776" i="5"/>
  <c r="L626" i="5"/>
  <c r="L637" i="5"/>
  <c r="L647" i="5"/>
  <c r="L635" i="5"/>
  <c r="L113" i="5"/>
  <c r="K77" i="5"/>
  <c r="L68" i="5"/>
  <c r="L99" i="5"/>
  <c r="K147" i="5"/>
  <c r="K94" i="5"/>
  <c r="K79" i="5"/>
  <c r="K87" i="5"/>
  <c r="K72" i="5"/>
  <c r="L575" i="5"/>
  <c r="L22" i="5"/>
  <c r="K431" i="5"/>
  <c r="L72" i="5"/>
  <c r="L239" i="5"/>
  <c r="L334" i="5"/>
  <c r="L346" i="5"/>
  <c r="L412" i="5"/>
  <c r="L23" i="5"/>
  <c r="K29" i="5"/>
  <c r="L43" i="5"/>
  <c r="L77" i="5"/>
  <c r="L509" i="5"/>
  <c r="L779" i="5"/>
  <c r="L771" i="5"/>
  <c r="K732" i="5"/>
  <c r="K724" i="5"/>
  <c r="K632" i="5"/>
  <c r="K575" i="5"/>
  <c r="K550" i="5"/>
  <c r="K541" i="5"/>
  <c r="K529" i="5"/>
  <c r="L768" i="5"/>
  <c r="L720" i="5"/>
  <c r="K642" i="5"/>
  <c r="K608" i="5"/>
  <c r="L543" i="5"/>
  <c r="L730" i="5"/>
  <c r="K654" i="5"/>
  <c r="K532" i="5"/>
  <c r="K551" i="5"/>
  <c r="L462" i="5"/>
  <c r="K476" i="5"/>
  <c r="L599" i="5"/>
  <c r="K528" i="5"/>
  <c r="K554" i="5"/>
  <c r="K721" i="5"/>
  <c r="M721" i="5" s="1"/>
  <c r="D77" i="48" s="1"/>
  <c r="K725" i="5"/>
  <c r="K729" i="5"/>
  <c r="K733" i="5"/>
  <c r="K641" i="5"/>
  <c r="K650" i="5"/>
  <c r="K765" i="5"/>
  <c r="K773" i="5"/>
  <c r="K781" i="5"/>
  <c r="L526" i="5"/>
  <c r="L539" i="5"/>
  <c r="L549" i="5"/>
  <c r="L561" i="5"/>
  <c r="L643" i="5"/>
  <c r="L653" i="5"/>
  <c r="K766" i="5"/>
  <c r="K774" i="5"/>
  <c r="L624" i="5"/>
  <c r="L645" i="5"/>
  <c r="L654" i="5"/>
  <c r="L17" i="5"/>
  <c r="L642" i="5"/>
  <c r="K772" i="5"/>
  <c r="L532" i="5"/>
  <c r="K769" i="5"/>
  <c r="K731" i="5"/>
  <c r="K635" i="5"/>
  <c r="L766" i="5"/>
  <c r="K525" i="5"/>
  <c r="K728" i="5"/>
  <c r="K272" i="5"/>
  <c r="K123" i="5"/>
  <c r="K146" i="5"/>
  <c r="L631" i="5"/>
  <c r="L649" i="5"/>
  <c r="L628" i="5"/>
  <c r="K778" i="5"/>
  <c r="L641" i="5"/>
  <c r="L537" i="5"/>
  <c r="K771" i="5"/>
  <c r="K648" i="5"/>
  <c r="L733" i="5"/>
  <c r="L725" i="5"/>
  <c r="K544" i="5"/>
  <c r="L443" i="5"/>
  <c r="K526" i="5"/>
  <c r="L772" i="5"/>
  <c r="L548" i="5"/>
  <c r="K652" i="5"/>
  <c r="L776" i="5"/>
  <c r="K543" i="5"/>
  <c r="K624" i="5"/>
  <c r="K726" i="5"/>
  <c r="L773" i="5"/>
  <c r="L598" i="5"/>
  <c r="K509" i="5"/>
  <c r="L114" i="5"/>
  <c r="L379" i="5"/>
  <c r="L365" i="5"/>
  <c r="K78" i="5"/>
  <c r="L13" i="5"/>
  <c r="K398" i="5"/>
  <c r="K12" i="5"/>
  <c r="K56" i="5"/>
  <c r="L80" i="5"/>
  <c r="L778" i="5"/>
  <c r="L638" i="5"/>
  <c r="L554" i="5"/>
  <c r="K646" i="5"/>
  <c r="K723" i="5"/>
  <c r="L495" i="5"/>
  <c r="K462" i="5"/>
  <c r="L780" i="5"/>
  <c r="L553" i="5"/>
  <c r="K598" i="5"/>
  <c r="K640" i="5"/>
  <c r="K546" i="5"/>
  <c r="K626" i="5"/>
  <c r="L775" i="5"/>
  <c r="K253" i="5"/>
  <c r="L37" i="5"/>
  <c r="K284" i="5"/>
  <c r="K88" i="5"/>
  <c r="L12" i="5"/>
  <c r="K99" i="5"/>
  <c r="L78" i="5"/>
  <c r="K637" i="5"/>
  <c r="K43" i="5"/>
  <c r="L652" i="5"/>
  <c r="L632" i="5"/>
  <c r="K780" i="5"/>
  <c r="L648" i="5"/>
  <c r="K627" i="5"/>
  <c r="L544" i="5"/>
  <c r="K777" i="5"/>
  <c r="K636" i="5"/>
  <c r="K727" i="5"/>
  <c r="K719" i="5"/>
  <c r="K549" i="5"/>
  <c r="K542" i="5"/>
  <c r="L722" i="5"/>
  <c r="L533" i="5"/>
  <c r="L728" i="5"/>
  <c r="K536" i="5"/>
  <c r="K555" i="5"/>
  <c r="K720" i="5"/>
  <c r="L767" i="5"/>
  <c r="K315" i="5"/>
  <c r="K303" i="5"/>
  <c r="K379" i="5"/>
  <c r="K365" i="5"/>
  <c r="L529" i="5"/>
  <c r="L536" i="5"/>
  <c r="K114" i="5"/>
  <c r="L625" i="5"/>
  <c r="L76" i="5"/>
  <c r="L546" i="5"/>
  <c r="R38" i="13"/>
  <c r="S38" i="13"/>
  <c r="S10" i="13"/>
  <c r="O40" i="13"/>
  <c r="R10" i="13"/>
  <c r="P40" i="13"/>
  <c r="O39" i="13"/>
  <c r="P39" i="13"/>
  <c r="G668" i="5"/>
  <c r="G664" i="5"/>
  <c r="H660" i="5"/>
  <c r="H661" i="5"/>
  <c r="G659" i="5"/>
  <c r="G665" i="5"/>
  <c r="H666" i="5"/>
  <c r="H676" i="5"/>
  <c r="H663" i="5"/>
  <c r="G661" i="5"/>
  <c r="H667" i="5"/>
  <c r="H662" i="5"/>
  <c r="G678" i="5"/>
  <c r="H668" i="5"/>
  <c r="H664" i="5"/>
  <c r="G700" i="5"/>
  <c r="H678" i="5"/>
  <c r="G666" i="5"/>
  <c r="H706" i="5"/>
  <c r="H700" i="5"/>
  <c r="G674" i="5"/>
  <c r="H675" i="5"/>
  <c r="G662" i="5"/>
  <c r="G676" i="5"/>
  <c r="G667" i="5"/>
  <c r="G673" i="5"/>
  <c r="G706" i="5"/>
  <c r="H673" i="5"/>
  <c r="G693" i="5"/>
  <c r="G677" i="5"/>
  <c r="G660" i="5"/>
  <c r="H693" i="5"/>
  <c r="H665" i="5"/>
  <c r="H659" i="5"/>
  <c r="G675" i="5"/>
  <c r="G663" i="5"/>
  <c r="H674" i="5"/>
  <c r="M4281" i="18"/>
  <c r="K1365" i="18"/>
  <c r="L1382" i="18"/>
  <c r="N1482" i="18"/>
  <c r="N1486" i="18"/>
  <c r="Q1699" i="18"/>
  <c r="L1711" i="18"/>
  <c r="K2330" i="18"/>
  <c r="N2344" i="18"/>
  <c r="N2273" i="18"/>
  <c r="L2288" i="18"/>
  <c r="K848" i="18"/>
  <c r="N1387" i="18"/>
  <c r="N1365" i="18"/>
  <c r="L1404" i="18"/>
  <c r="N1307" i="18"/>
  <c r="L1321" i="18"/>
  <c r="K334" i="18"/>
  <c r="L351" i="18"/>
  <c r="K579" i="18"/>
  <c r="N596" i="18"/>
  <c r="N430" i="18"/>
  <c r="L443" i="18"/>
  <c r="O4410" i="18"/>
  <c r="Q1449" i="18"/>
  <c r="Q688" i="18"/>
  <c r="K170" i="18"/>
  <c r="L187" i="18"/>
  <c r="K3947" i="18"/>
  <c r="Q3947" i="18"/>
  <c r="Q485" i="18"/>
  <c r="Q1459" i="18"/>
  <c r="Q2494" i="18"/>
  <c r="AD48" i="2"/>
  <c r="AD49" i="2"/>
  <c r="AD50" i="2"/>
  <c r="AD54" i="2"/>
  <c r="AD56" i="2"/>
  <c r="AD57" i="2"/>
  <c r="Z48" i="2"/>
  <c r="Z49" i="2"/>
  <c r="Z50" i="2"/>
  <c r="Z54" i="2"/>
  <c r="Z56" i="2"/>
  <c r="Z57" i="2"/>
  <c r="W49" i="2"/>
  <c r="W50" i="2"/>
  <c r="U54" i="2"/>
  <c r="U56" i="2"/>
  <c r="U57" i="2"/>
  <c r="AC54" i="2"/>
  <c r="AC56" i="2"/>
  <c r="AC57" i="2"/>
  <c r="K7" i="72"/>
  <c r="Y54" i="2"/>
  <c r="Y56" i="2"/>
  <c r="Y57" i="2"/>
  <c r="Y48" i="2"/>
  <c r="Y49" i="2"/>
  <c r="Y50" i="2"/>
  <c r="H24" i="72"/>
  <c r="T41" i="13"/>
  <c r="F126" i="8"/>
  <c r="E113" i="21"/>
  <c r="F91" i="21"/>
  <c r="K96" i="7"/>
  <c r="L96" i="7"/>
  <c r="M96" i="7"/>
  <c r="E31" i="74"/>
  <c r="E18" i="74"/>
  <c r="K20" i="18"/>
  <c r="Q20" i="18"/>
  <c r="H1004" i="18"/>
  <c r="H332" i="18"/>
  <c r="K2616" i="18"/>
  <c r="Q2599" i="18"/>
  <c r="K3801" i="18"/>
  <c r="O2980" i="18"/>
  <c r="L3018" i="18"/>
  <c r="L3036" i="18"/>
  <c r="L3027" i="18"/>
  <c r="I3038" i="18"/>
  <c r="J2595" i="18"/>
  <c r="J3038" i="18"/>
  <c r="H3038" i="18"/>
  <c r="K3038" i="18"/>
  <c r="K2573" i="18"/>
  <c r="I2595" i="18"/>
  <c r="K2593" i="18"/>
  <c r="H2595" i="18"/>
  <c r="K2583" i="18"/>
  <c r="K3711" i="18"/>
  <c r="K3681" i="18"/>
  <c r="Q871" i="18"/>
  <c r="Q2719" i="18"/>
  <c r="J6238" i="18"/>
  <c r="K6212" i="18"/>
  <c r="Q4340" i="18"/>
  <c r="Q1947" i="18"/>
  <c r="Q629" i="18"/>
  <c r="K629" i="18"/>
  <c r="J6209" i="18"/>
  <c r="K6185" i="18"/>
  <c r="I869" i="18"/>
  <c r="P3003" i="18"/>
  <c r="K2982" i="18"/>
  <c r="K5460" i="18"/>
  <c r="Q4084" i="18"/>
  <c r="Q1636" i="18"/>
  <c r="Q2705" i="18"/>
  <c r="I1440" i="18"/>
  <c r="Q2463" i="18"/>
  <c r="K5482" i="18"/>
  <c r="Q2157" i="18"/>
  <c r="Q4308" i="18"/>
  <c r="N4410" i="18"/>
  <c r="K4392" i="18"/>
  <c r="Q4437" i="18"/>
  <c r="Q1538" i="18"/>
  <c r="I1397" i="18"/>
  <c r="I1400" i="18"/>
  <c r="Q1617" i="18"/>
  <c r="K869" i="18"/>
  <c r="Q3200" i="18"/>
  <c r="K1538" i="18"/>
  <c r="K2830" i="18"/>
  <c r="Q2830" i="18"/>
  <c r="K3188" i="18"/>
  <c r="Q2202" i="18"/>
  <c r="K3979" i="18"/>
  <c r="Q3991" i="18"/>
  <c r="N2920" i="18"/>
  <c r="I513" i="18"/>
  <c r="Q500" i="18"/>
  <c r="K4061" i="18"/>
  <c r="I1375" i="18"/>
  <c r="I1378" i="18"/>
  <c r="J4426" i="18"/>
  <c r="J4435" i="18"/>
  <c r="G1933" i="18"/>
  <c r="G1496" i="18"/>
  <c r="G2143" i="18"/>
  <c r="J1911" i="18"/>
  <c r="J851" i="18"/>
  <c r="G2354" i="18"/>
  <c r="G2142" i="18"/>
  <c r="J254" i="18"/>
  <c r="J2333" i="18"/>
  <c r="G1497" i="18"/>
  <c r="D1497" i="18"/>
  <c r="G2355" i="18"/>
  <c r="J2121" i="18"/>
  <c r="J1472" i="18"/>
  <c r="G1932" i="18"/>
  <c r="J4370" i="18"/>
  <c r="H2545" i="18"/>
  <c r="H2554" i="18"/>
  <c r="K2543" i="18"/>
  <c r="H2532" i="18"/>
  <c r="H2541" i="18"/>
  <c r="K2530" i="18"/>
  <c r="J582" i="18"/>
  <c r="I4170" i="18"/>
  <c r="I4176" i="18"/>
  <c r="I2522" i="18"/>
  <c r="I2528" i="18"/>
  <c r="N2520" i="18"/>
  <c r="I2823" i="18"/>
  <c r="I2827" i="18"/>
  <c r="N2821" i="18"/>
  <c r="H851" i="18"/>
  <c r="H3659" i="18"/>
  <c r="H3672" i="18"/>
  <c r="N3657" i="18" s="1"/>
  <c r="H3178" i="18"/>
  <c r="I3772" i="18"/>
  <c r="I3788" i="18"/>
  <c r="H471" i="18"/>
  <c r="J3259" i="18"/>
  <c r="H2433" i="18"/>
  <c r="H2454" i="18"/>
  <c r="H2296" i="18"/>
  <c r="H503" i="18"/>
  <c r="H3383" i="18"/>
  <c r="I4109" i="18"/>
  <c r="I4115" i="18"/>
  <c r="N4107" i="18"/>
  <c r="I4120" i="18"/>
  <c r="I4127" i="18"/>
  <c r="H4149" i="18"/>
  <c r="H4155" i="18"/>
  <c r="H2121" i="18"/>
  <c r="J3243" i="18"/>
  <c r="I3918" i="18"/>
  <c r="I3924" i="18"/>
  <c r="H582" i="18"/>
  <c r="J862" i="18"/>
  <c r="H691" i="18"/>
  <c r="K2160" i="18"/>
  <c r="I3445" i="18"/>
  <c r="I3452" i="18"/>
  <c r="I319" i="18"/>
  <c r="I332" i="18"/>
  <c r="H4343" i="18"/>
  <c r="I4289" i="18"/>
  <c r="I4295" i="18"/>
  <c r="H3216" i="18"/>
  <c r="H5578" i="18"/>
  <c r="L1841" i="18"/>
  <c r="H5339" i="18"/>
  <c r="H2333" i="18"/>
  <c r="H2466" i="18"/>
  <c r="H1639" i="18"/>
  <c r="I3533" i="18"/>
  <c r="I3539" i="18"/>
  <c r="I111" i="18"/>
  <c r="I117" i="18"/>
  <c r="H1310" i="18"/>
  <c r="I3278" i="18"/>
  <c r="I3284" i="18"/>
  <c r="Q3276" i="18"/>
  <c r="H1964" i="18"/>
  <c r="I1015" i="18"/>
  <c r="I1025" i="18"/>
  <c r="I3762" i="18"/>
  <c r="I3767" i="18"/>
  <c r="N3760" i="18"/>
  <c r="I1814" i="18"/>
  <c r="I1820" i="18"/>
  <c r="I3970" i="18"/>
  <c r="I3977" i="18"/>
  <c r="I1792" i="18"/>
  <c r="I1797" i="18"/>
  <c r="H451" i="18"/>
  <c r="I3308" i="18"/>
  <c r="I3316" i="18"/>
  <c r="K1990" i="18"/>
  <c r="K1999" i="18"/>
  <c r="I5158" i="18"/>
  <c r="I936" i="18"/>
  <c r="I941" i="18"/>
  <c r="N934" i="18"/>
  <c r="H3630" i="18"/>
  <c r="H1351" i="18"/>
  <c r="I3411" i="18"/>
  <c r="I3418" i="18"/>
  <c r="I3423" i="18"/>
  <c r="I3429" i="18"/>
  <c r="I3434" i="18"/>
  <c r="I3439" i="18"/>
  <c r="H3203" i="18"/>
  <c r="H4263" i="18"/>
  <c r="H4267" i="18"/>
  <c r="H4087" i="18"/>
  <c r="H1472" i="18"/>
  <c r="H2318" i="18"/>
  <c r="I3321" i="18"/>
  <c r="I3327" i="18"/>
  <c r="I3929" i="18"/>
  <c r="I3935" i="18"/>
  <c r="I92" i="18"/>
  <c r="I106" i="18"/>
  <c r="K1620" i="18"/>
  <c r="I2879" i="18"/>
  <c r="I2888" i="18"/>
  <c r="K5748" i="18"/>
  <c r="H4426" i="18"/>
  <c r="H4435" i="18"/>
  <c r="N4424" i="18"/>
  <c r="H4370" i="18"/>
  <c r="K1826" i="18"/>
  <c r="K23" i="18"/>
  <c r="I3831" i="18"/>
  <c r="I3837" i="18"/>
  <c r="I2849" i="18"/>
  <c r="I2860" i="18"/>
  <c r="H4415" i="18"/>
  <c r="H4421" i="18"/>
  <c r="N4413" i="18"/>
  <c r="H3191" i="18"/>
  <c r="I3288" i="18"/>
  <c r="I3296" i="18"/>
  <c r="I73" i="18"/>
  <c r="I87" i="18"/>
  <c r="N71" i="18"/>
  <c r="H3620" i="18"/>
  <c r="H3626" i="18"/>
  <c r="N3618" i="18" s="1"/>
  <c r="H5372" i="18"/>
  <c r="K2415" i="18"/>
  <c r="I2499" i="18"/>
  <c r="I2504" i="18"/>
  <c r="N2497" i="18"/>
  <c r="I2641" i="18"/>
  <c r="I2645" i="18"/>
  <c r="N2639" i="18"/>
  <c r="H4362" i="18"/>
  <c r="H4364" i="18"/>
  <c r="N4360" i="18"/>
  <c r="H433" i="18"/>
  <c r="I4053" i="18"/>
  <c r="I4059" i="18"/>
  <c r="I3803" i="18"/>
  <c r="I3816" i="18"/>
  <c r="K2833" i="18"/>
  <c r="I969" i="18"/>
  <c r="I975" i="18"/>
  <c r="I3999" i="18"/>
  <c r="I4008" i="18"/>
  <c r="L1802" i="18"/>
  <c r="K1950" i="18"/>
  <c r="I12" i="18"/>
  <c r="I17" i="18"/>
  <c r="I2799" i="18"/>
  <c r="I2808" i="18"/>
  <c r="H3683" i="18"/>
  <c r="H3711" i="18"/>
  <c r="N3681" i="18"/>
  <c r="K1975" i="18"/>
  <c r="K1984" i="18"/>
  <c r="I132" i="18"/>
  <c r="I136" i="18"/>
  <c r="N130" i="18"/>
  <c r="H4353" i="18"/>
  <c r="H4357" i="18"/>
  <c r="H1777" i="18"/>
  <c r="I946" i="18"/>
  <c r="I954" i="18"/>
  <c r="H1329" i="18"/>
  <c r="H254" i="18"/>
  <c r="H4311" i="18"/>
  <c r="K2911" i="18"/>
  <c r="I3729" i="18"/>
  <c r="I3744" i="18"/>
  <c r="K123" i="18"/>
  <c r="H1911" i="18"/>
  <c r="K2205" i="18"/>
  <c r="J5762" i="18"/>
  <c r="J5771" i="18"/>
  <c r="N5760" i="18"/>
  <c r="L4063" i="18"/>
  <c r="L4072" i="18"/>
  <c r="I990" i="18"/>
  <c r="I1004" i="18"/>
  <c r="I4249" i="18"/>
  <c r="I4258" i="18"/>
  <c r="H4271" i="18"/>
  <c r="H4277" i="18"/>
  <c r="L2051" i="18"/>
  <c r="I2023" i="18"/>
  <c r="I2029" i="18"/>
  <c r="Q2021" i="18"/>
  <c r="H2034" i="18"/>
  <c r="J3271" i="18"/>
  <c r="H5422" i="18"/>
  <c r="G2011" i="18"/>
  <c r="H2276" i="18"/>
  <c r="K3271" i="18"/>
  <c r="G3010" i="18"/>
  <c r="L2276" i="18"/>
  <c r="G3039" i="18"/>
  <c r="I700" i="18"/>
  <c r="I704" i="18"/>
  <c r="N698" i="18"/>
  <c r="G2561" i="18"/>
  <c r="G2585" i="18"/>
  <c r="G3020" i="18"/>
  <c r="G2596" i="18"/>
  <c r="G2602" i="18"/>
  <c r="G3029" i="18"/>
  <c r="G2575" i="18"/>
  <c r="J2276" i="18"/>
  <c r="L3981" i="18"/>
  <c r="L3987" i="18"/>
  <c r="S41" i="13"/>
  <c r="K1469" i="18"/>
  <c r="K2463" i="18"/>
  <c r="H1008" i="18"/>
  <c r="Q1428" i="18"/>
  <c r="Q1387" i="18"/>
  <c r="Q1365" i="18"/>
  <c r="R4396" i="18"/>
  <c r="L46" i="68"/>
  <c r="L37" i="72"/>
  <c r="O500" i="18"/>
  <c r="F118" i="8"/>
  <c r="E104" i="8"/>
  <c r="E105" i="8"/>
  <c r="E106" i="8" s="1"/>
  <c r="F99" i="21"/>
  <c r="N317" i="18"/>
  <c r="K317" i="18"/>
  <c r="K988" i="18"/>
  <c r="L3038" i="18"/>
  <c r="K2599" i="18"/>
  <c r="K2595" i="18"/>
  <c r="Q2982" i="18"/>
  <c r="Q859" i="18"/>
  <c r="K2920" i="18"/>
  <c r="Q2920" i="18"/>
  <c r="D2575" i="18"/>
  <c r="D3020" i="18"/>
  <c r="D2596" i="18"/>
  <c r="N988" i="18"/>
  <c r="I1008" i="18"/>
  <c r="N3801" i="18"/>
  <c r="Q3801" i="18"/>
  <c r="I2892" i="18"/>
  <c r="I2893" i="18"/>
  <c r="I2894" i="18"/>
  <c r="K2895" i="18"/>
  <c r="L2895" i="18"/>
  <c r="N2877" i="18"/>
  <c r="N3319" i="18"/>
  <c r="Q3319" i="18"/>
  <c r="N4261" i="18"/>
  <c r="Q4261" i="18"/>
  <c r="N3409" i="18"/>
  <c r="Q3409" i="18"/>
  <c r="N1790" i="18"/>
  <c r="Q1790" i="18"/>
  <c r="Q1013" i="18"/>
  <c r="N1013" i="18"/>
  <c r="O1013" i="18"/>
  <c r="N109" i="18"/>
  <c r="Q109" i="18"/>
  <c r="N3443" i="18"/>
  <c r="Q3443" i="18"/>
  <c r="N4147" i="18"/>
  <c r="Q4147" i="18"/>
  <c r="D2355" i="18"/>
  <c r="D2152" i="18"/>
  <c r="D2148" i="18"/>
  <c r="D2144" i="18"/>
  <c r="D2151" i="18"/>
  <c r="D2147" i="18"/>
  <c r="D2149" i="18"/>
  <c r="D2145" i="18"/>
  <c r="D2146" i="18"/>
  <c r="D2150" i="18"/>
  <c r="D2154" i="18"/>
  <c r="D2142" i="18"/>
  <c r="D2143" i="18"/>
  <c r="D3039" i="18"/>
  <c r="N4061" i="18"/>
  <c r="Q4061" i="18"/>
  <c r="N4351" i="18"/>
  <c r="Q4351" i="18"/>
  <c r="N2797" i="18"/>
  <c r="N3997" i="18"/>
  <c r="N4051" i="18"/>
  <c r="Q4051" i="18"/>
  <c r="K2847" i="18"/>
  <c r="Q2847" i="18"/>
  <c r="N3968" i="18"/>
  <c r="Q3968" i="18"/>
  <c r="N3531" i="18"/>
  <c r="Q3531" i="18"/>
  <c r="N4287" i="18"/>
  <c r="Q4287" i="18"/>
  <c r="N3916" i="18"/>
  <c r="Q3916" i="18"/>
  <c r="N4118" i="18"/>
  <c r="Q4118" i="18"/>
  <c r="N3770" i="18"/>
  <c r="Q3770" i="18"/>
  <c r="D1932" i="18"/>
  <c r="D1936" i="18"/>
  <c r="D1940" i="18"/>
  <c r="D1944" i="18"/>
  <c r="D1937" i="18"/>
  <c r="D1941" i="18"/>
  <c r="D1934" i="18"/>
  <c r="D1938" i="18"/>
  <c r="D1942" i="18"/>
  <c r="D1935" i="18"/>
  <c r="D1939" i="18"/>
  <c r="D2366" i="18"/>
  <c r="D2362" i="18"/>
  <c r="D2358" i="18"/>
  <c r="D2354" i="18"/>
  <c r="D2361" i="18"/>
  <c r="D2357" i="18"/>
  <c r="D2363" i="18"/>
  <c r="D2359" i="18"/>
  <c r="D2360" i="18"/>
  <c r="D2356" i="18"/>
  <c r="D2364" i="18"/>
  <c r="D1502" i="18"/>
  <c r="D1496" i="18"/>
  <c r="D1500" i="18"/>
  <c r="D1499" i="18"/>
  <c r="D1503" i="18"/>
  <c r="D1501" i="18"/>
  <c r="D1505" i="18"/>
  <c r="D1498" i="18"/>
  <c r="D1506" i="18"/>
  <c r="D1504" i="18"/>
  <c r="D1508" i="18"/>
  <c r="D3029" i="18"/>
  <c r="D2585" i="18"/>
  <c r="D2007" i="18"/>
  <c r="D2011" i="18"/>
  <c r="D2004" i="18"/>
  <c r="D2008" i="18"/>
  <c r="D2005" i="18"/>
  <c r="D2009" i="18"/>
  <c r="D2006" i="18"/>
  <c r="H4281" i="18"/>
  <c r="Q4269" i="18"/>
  <c r="N3727" i="18"/>
  <c r="Q3727" i="18"/>
  <c r="N10" i="18"/>
  <c r="Q10" i="18"/>
  <c r="N967" i="18"/>
  <c r="I3300" i="18"/>
  <c r="Q3286" i="18"/>
  <c r="N3286" i="18"/>
  <c r="I3851" i="18"/>
  <c r="Q3829" i="18"/>
  <c r="N3829" i="18"/>
  <c r="Q90" i="18"/>
  <c r="N90" i="18"/>
  <c r="N3432" i="18"/>
  <c r="Q3432" i="18"/>
  <c r="N3306" i="18"/>
  <c r="Q3306" i="18"/>
  <c r="N1812" i="18"/>
  <c r="Q1812" i="18"/>
  <c r="H2458" i="18"/>
  <c r="K2431" i="18"/>
  <c r="D1933" i="18"/>
  <c r="N3979" i="18"/>
  <c r="L3991" i="18"/>
  <c r="Q3979" i="18"/>
  <c r="D2604" i="18"/>
  <c r="D2608" i="18"/>
  <c r="D2612" i="18"/>
  <c r="D2616" i="18"/>
  <c r="D2605" i="18"/>
  <c r="D2609" i="18"/>
  <c r="D2613" i="18"/>
  <c r="D2602" i="18"/>
  <c r="D2606" i="18"/>
  <c r="D2614" i="18"/>
  <c r="D2603" i="18"/>
  <c r="D2607" i="18"/>
  <c r="D2611" i="18"/>
  <c r="D2561" i="18"/>
  <c r="D2565" i="18"/>
  <c r="D2569" i="18"/>
  <c r="D2573" i="18"/>
  <c r="D2577" i="18"/>
  <c r="D2581" i="18"/>
  <c r="D2589" i="18"/>
  <c r="D2593" i="18"/>
  <c r="D2562" i="18"/>
  <c r="D2566" i="18"/>
  <c r="D2570" i="18"/>
  <c r="D2574" i="18"/>
  <c r="D2586" i="18"/>
  <c r="D2590" i="18"/>
  <c r="D2594" i="18"/>
  <c r="D2563" i="18"/>
  <c r="D2567" i="18"/>
  <c r="D2571" i="18"/>
  <c r="D2579" i="18"/>
  <c r="D2583" i="18"/>
  <c r="D2587" i="18"/>
  <c r="D2591" i="18"/>
  <c r="D2595" i="18"/>
  <c r="D2560" i="18"/>
  <c r="D2564" i="18"/>
  <c r="D2576" i="18"/>
  <c r="D2580" i="18"/>
  <c r="D2584" i="18"/>
  <c r="D3031" i="18"/>
  <c r="D3027" i="18"/>
  <c r="D3019" i="18"/>
  <c r="D3015" i="18"/>
  <c r="D3011" i="18"/>
  <c r="D3037" i="18"/>
  <c r="D3033" i="18"/>
  <c r="D3021" i="18"/>
  <c r="D3009" i="18"/>
  <c r="D3038" i="18"/>
  <c r="D3034" i="18"/>
  <c r="D3030" i="18"/>
  <c r="D3022" i="18"/>
  <c r="D3018" i="18"/>
  <c r="D3010" i="18"/>
  <c r="D3036" i="18"/>
  <c r="D3028" i="18"/>
  <c r="D3024" i="18"/>
  <c r="D3016" i="18"/>
  <c r="D3012" i="18"/>
  <c r="D3025" i="18"/>
  <c r="D3013" i="18"/>
  <c r="N4247" i="18"/>
  <c r="Q4247" i="18"/>
  <c r="N3927" i="18"/>
  <c r="Q3927" i="18"/>
  <c r="N3421" i="18"/>
  <c r="Q3421" i="18"/>
  <c r="N4168" i="18"/>
  <c r="Q4168" i="18"/>
  <c r="O4437" i="18"/>
  <c r="O1387" i="18"/>
  <c r="O4848" i="18"/>
  <c r="O130" i="18"/>
  <c r="L1449" i="18"/>
  <c r="L1428" i="18"/>
  <c r="L1365" i="18"/>
  <c r="L1459" i="18"/>
  <c r="L130" i="18"/>
  <c r="O4392" i="18"/>
  <c r="L4848" i="18"/>
  <c r="L569" i="18"/>
  <c r="L485" i="18"/>
  <c r="L559" i="18"/>
  <c r="L4437" i="18"/>
  <c r="R4395" i="18"/>
  <c r="L4392" i="18"/>
  <c r="Z50" i="75"/>
  <c r="Z44" i="75"/>
  <c r="K3666" i="18" l="1"/>
  <c r="K3672" i="18" s="1"/>
  <c r="K3657" i="18" s="1"/>
  <c r="H3652" i="18"/>
  <c r="N3628" i="18"/>
  <c r="K3648" i="18"/>
  <c r="Q3628" i="18"/>
  <c r="K3618" i="18"/>
  <c r="Q3618" i="18"/>
  <c r="K3213" i="18"/>
  <c r="Q3175" i="18"/>
  <c r="P3103" i="18"/>
  <c r="N3043" i="18"/>
  <c r="H3108" i="18"/>
  <c r="H3109" i="18" s="1"/>
  <c r="H3110" i="18" s="1"/>
  <c r="H2696" i="18"/>
  <c r="P2690" i="18"/>
  <c r="P2699" i="18" s="1"/>
  <c r="D2668" i="18"/>
  <c r="D2684" i="18"/>
  <c r="D2655" i="18"/>
  <c r="D2671" i="18"/>
  <c r="D2687" i="18"/>
  <c r="D2658" i="18"/>
  <c r="D2674" i="18"/>
  <c r="D2690" i="18"/>
  <c r="D2681" i="18"/>
  <c r="D2685" i="18"/>
  <c r="D2677" i="18"/>
  <c r="D2660" i="18"/>
  <c r="M7" i="18" s="1"/>
  <c r="D2676" i="18"/>
  <c r="D2692" i="18"/>
  <c r="D2663" i="18"/>
  <c r="D2679" i="18"/>
  <c r="D2695" i="18"/>
  <c r="D2666" i="18"/>
  <c r="D2682" i="18"/>
  <c r="D2673" i="18"/>
  <c r="D2653" i="18"/>
  <c r="N2648" i="18"/>
  <c r="H2700" i="18"/>
  <c r="H2701" i="18" s="1"/>
  <c r="H2702" i="18" s="1"/>
  <c r="M23" i="5"/>
  <c r="H19" i="68" s="1"/>
  <c r="G703" i="5"/>
  <c r="K4957" i="18"/>
  <c r="H708" i="5"/>
  <c r="L194" i="5"/>
  <c r="M129" i="5"/>
  <c r="F9" i="69" s="1"/>
  <c r="L453" i="5"/>
  <c r="L356" i="5"/>
  <c r="L325" i="5"/>
  <c r="E47" i="21"/>
  <c r="E93" i="21" s="1"/>
  <c r="E71" i="8"/>
  <c r="M765" i="5"/>
  <c r="M720" i="5"/>
  <c r="K453" i="5"/>
  <c r="K356" i="5"/>
  <c r="K325" i="5"/>
  <c r="K294" i="5"/>
  <c r="K618" i="5"/>
  <c r="L585" i="5"/>
  <c r="L519" i="5"/>
  <c r="L486" i="5"/>
  <c r="L422" i="5"/>
  <c r="L415" i="5" s="1"/>
  <c r="L389" i="5"/>
  <c r="L263" i="5"/>
  <c r="Q5074" i="18"/>
  <c r="J72" i="5"/>
  <c r="M72" i="5" s="1"/>
  <c r="F165" i="5"/>
  <c r="Q4750" i="18"/>
  <c r="K4750" i="18"/>
  <c r="K4540" i="18"/>
  <c r="Q4507" i="18"/>
  <c r="Q4498" i="18"/>
  <c r="E123" i="8"/>
  <c r="E124" i="8" s="1"/>
  <c r="F690" i="5"/>
  <c r="F41" i="74"/>
  <c r="F58" i="70"/>
  <c r="K333" i="50"/>
  <c r="N5073" i="18"/>
  <c r="O5074" i="18" s="1"/>
  <c r="F34" i="74"/>
  <c r="F51" i="70"/>
  <c r="F696" i="5"/>
  <c r="F30" i="70"/>
  <c r="K338" i="50"/>
  <c r="K342" i="50"/>
  <c r="F41" i="70"/>
  <c r="F25" i="74"/>
  <c r="I660" i="5"/>
  <c r="E10" i="70" s="1"/>
  <c r="F682" i="5"/>
  <c r="J682" i="5"/>
  <c r="F671" i="5"/>
  <c r="F29" i="70"/>
  <c r="F13" i="74"/>
  <c r="F37" i="74"/>
  <c r="K346" i="50"/>
  <c r="M708" i="5"/>
  <c r="F38" i="70"/>
  <c r="F697" i="5"/>
  <c r="J708" i="5"/>
  <c r="I706" i="5"/>
  <c r="J696" i="5"/>
  <c r="F21" i="74"/>
  <c r="F703" i="5"/>
  <c r="N5084" i="18"/>
  <c r="O5085" i="18" s="1"/>
  <c r="F708" i="5"/>
  <c r="F55" i="70"/>
  <c r="F56" i="70" s="1"/>
  <c r="F38" i="74"/>
  <c r="F37" i="70"/>
  <c r="J703" i="5"/>
  <c r="E114" i="8"/>
  <c r="E63" i="8"/>
  <c r="K343" i="50"/>
  <c r="M696" i="5"/>
  <c r="F26" i="74"/>
  <c r="F42" i="70"/>
  <c r="K332" i="50"/>
  <c r="N5062" i="18"/>
  <c r="O5063" i="18" s="1"/>
  <c r="F45" i="70"/>
  <c r="F28" i="74"/>
  <c r="F60" i="70"/>
  <c r="F119" i="70" s="1"/>
  <c r="F43" i="74"/>
  <c r="F102" i="74" s="1"/>
  <c r="M703" i="5"/>
  <c r="F49" i="70"/>
  <c r="F32" i="74"/>
  <c r="F19" i="70"/>
  <c r="F9" i="74"/>
  <c r="K336" i="50"/>
  <c r="F12" i="74"/>
  <c r="F22" i="70"/>
  <c r="M682" i="5"/>
  <c r="K331" i="50"/>
  <c r="F39" i="70"/>
  <c r="N5051" i="18"/>
  <c r="O5052" i="18" s="1"/>
  <c r="F23" i="74"/>
  <c r="K340" i="50"/>
  <c r="F20" i="74"/>
  <c r="F36" i="70"/>
  <c r="K335" i="50"/>
  <c r="F8" i="74"/>
  <c r="D44" i="48"/>
  <c r="F8" i="70"/>
  <c r="M671" i="5"/>
  <c r="F44" i="70"/>
  <c r="F27" i="74"/>
  <c r="K344" i="50"/>
  <c r="F33" i="74"/>
  <c r="F50" i="70"/>
  <c r="K339" i="50"/>
  <c r="F35" i="70"/>
  <c r="M690" i="5"/>
  <c r="F19" i="74"/>
  <c r="K329" i="50"/>
  <c r="K330" i="50"/>
  <c r="N5035" i="18"/>
  <c r="O5036" i="18" s="1"/>
  <c r="F15" i="74"/>
  <c r="F31" i="70"/>
  <c r="J671" i="5"/>
  <c r="N5019" i="18"/>
  <c r="O5020" i="18" s="1"/>
  <c r="F20" i="70"/>
  <c r="I674" i="5"/>
  <c r="E24" i="70" s="1"/>
  <c r="J690" i="5"/>
  <c r="J697" i="5" s="1"/>
  <c r="F36" i="74"/>
  <c r="K345" i="50"/>
  <c r="K337" i="50"/>
  <c r="K327" i="50"/>
  <c r="I675" i="5"/>
  <c r="E25" i="70" s="1"/>
  <c r="F10" i="74"/>
  <c r="M168" i="5"/>
  <c r="D122" i="51" s="1"/>
  <c r="I122" i="51" s="1"/>
  <c r="J122" i="51" s="1"/>
  <c r="J122" i="5"/>
  <c r="J124" i="5" s="1"/>
  <c r="E50" i="21"/>
  <c r="E75" i="21" s="1"/>
  <c r="K64" i="7"/>
  <c r="R10" i="6"/>
  <c r="Q9" i="6"/>
  <c r="AE9" i="6" s="1"/>
  <c r="K204" i="5"/>
  <c r="M731" i="5"/>
  <c r="M781" i="5"/>
  <c r="M370" i="5"/>
  <c r="I677" i="5"/>
  <c r="E27" i="70" s="1"/>
  <c r="L227" i="5"/>
  <c r="M733" i="5"/>
  <c r="K389" i="5"/>
  <c r="K132" i="5"/>
  <c r="R14" i="6"/>
  <c r="R13" i="6"/>
  <c r="M778" i="5"/>
  <c r="M768" i="5"/>
  <c r="M767" i="5"/>
  <c r="M732" i="5"/>
  <c r="M76" i="5"/>
  <c r="K194" i="5"/>
  <c r="M139" i="5"/>
  <c r="F19" i="69" s="1"/>
  <c r="M135" i="5"/>
  <c r="F15" i="69" s="1"/>
  <c r="M189" i="5"/>
  <c r="F50" i="73" s="1"/>
  <c r="M138" i="5"/>
  <c r="F18" i="69" s="1"/>
  <c r="I693" i="5"/>
  <c r="I673" i="5"/>
  <c r="E23" i="70" s="1"/>
  <c r="I661" i="5"/>
  <c r="E11" i="70" s="1"/>
  <c r="M722" i="5"/>
  <c r="M723" i="5"/>
  <c r="K313" i="5"/>
  <c r="K282" i="5"/>
  <c r="L618" i="5"/>
  <c r="L573" i="5"/>
  <c r="L507" i="5"/>
  <c r="L502" i="5"/>
  <c r="L497" i="5"/>
  <c r="L474" i="5"/>
  <c r="K405" i="5"/>
  <c r="L405" i="5"/>
  <c r="L377" i="5"/>
  <c r="K372" i="5"/>
  <c r="K246" i="5"/>
  <c r="J108" i="5"/>
  <c r="Q21" i="6"/>
  <c r="AE21" i="6" s="1"/>
  <c r="Q17" i="6"/>
  <c r="AE17" i="6" s="1"/>
  <c r="R20" i="6"/>
  <c r="Q16" i="6"/>
  <c r="AE16" i="6" s="1"/>
  <c r="Q14" i="6"/>
  <c r="AE14" i="6" s="1"/>
  <c r="Q22" i="6"/>
  <c r="R31" i="6"/>
  <c r="R23" i="6"/>
  <c r="Q24" i="6"/>
  <c r="AE24" i="6" s="1"/>
  <c r="R27" i="6"/>
  <c r="R28" i="6"/>
  <c r="R35" i="6"/>
  <c r="B22" i="6"/>
  <c r="Q23" i="6"/>
  <c r="AE23" i="6" s="1"/>
  <c r="Q26" i="6"/>
  <c r="AE26" i="6" s="1"/>
  <c r="B30" i="6"/>
  <c r="Q33" i="6"/>
  <c r="AE33" i="6" s="1"/>
  <c r="R32" i="6"/>
  <c r="Q25" i="6"/>
  <c r="AE25" i="6" s="1"/>
  <c r="Q36" i="6"/>
  <c r="AE36" i="6" s="1"/>
  <c r="R30" i="6"/>
  <c r="Q15" i="6"/>
  <c r="AE15" i="6" s="1"/>
  <c r="F61" i="52"/>
  <c r="F62" i="52" s="1"/>
  <c r="F10" i="52" s="1"/>
  <c r="F104" i="51"/>
  <c r="F127" i="5"/>
  <c r="J194" i="5"/>
  <c r="J802" i="5" s="1"/>
  <c r="M181" i="5"/>
  <c r="F45" i="73" s="1"/>
  <c r="AB16" i="2"/>
  <c r="AE16" i="2" s="1"/>
  <c r="J127" i="5"/>
  <c r="J172" i="5"/>
  <c r="M190" i="5"/>
  <c r="F51" i="73" s="1"/>
  <c r="M186" i="5"/>
  <c r="M182" i="5"/>
  <c r="M177" i="5"/>
  <c r="F39" i="73" s="1"/>
  <c r="M173" i="5"/>
  <c r="F48" i="69" s="1"/>
  <c r="J565" i="5"/>
  <c r="J210" i="5" s="1"/>
  <c r="F109" i="51"/>
  <c r="F132" i="5"/>
  <c r="J178" i="5"/>
  <c r="F178" i="5"/>
  <c r="F69" i="52"/>
  <c r="F158" i="5"/>
  <c r="F64" i="52" s="1"/>
  <c r="F172" i="5"/>
  <c r="J132" i="5"/>
  <c r="M191" i="5"/>
  <c r="F194" i="5"/>
  <c r="F817" i="5" s="1"/>
  <c r="E109" i="8"/>
  <c r="M187" i="5"/>
  <c r="F48" i="73" s="1"/>
  <c r="M179" i="5"/>
  <c r="F54" i="69" s="1"/>
  <c r="J158" i="5"/>
  <c r="J161" i="5" s="1"/>
  <c r="J163" i="5" s="1"/>
  <c r="E88" i="21"/>
  <c r="F102" i="51"/>
  <c r="E74" i="21"/>
  <c r="E92" i="21"/>
  <c r="E94" i="21" s="1"/>
  <c r="E95" i="21" s="1"/>
  <c r="J797" i="5"/>
  <c r="K344" i="5"/>
  <c r="L410" i="5"/>
  <c r="L367" i="5"/>
  <c r="K215" i="5"/>
  <c r="M719" i="5"/>
  <c r="L222" i="5"/>
  <c r="L633" i="5"/>
  <c r="M771" i="5"/>
  <c r="H703" i="5"/>
  <c r="I672" i="5"/>
  <c r="E12" i="74" s="1"/>
  <c r="M188" i="5"/>
  <c r="F49" i="73" s="1"/>
  <c r="M184" i="5"/>
  <c r="F57" i="69" s="1"/>
  <c r="M180" i="5"/>
  <c r="M175" i="5"/>
  <c r="F37" i="73" s="1"/>
  <c r="M770" i="5"/>
  <c r="M13" i="5"/>
  <c r="H10" i="68" s="1"/>
  <c r="M729" i="5"/>
  <c r="AE40" i="12"/>
  <c r="P4" i="12" s="1"/>
  <c r="M152" i="5"/>
  <c r="F32" i="69" s="1"/>
  <c r="L132" i="5"/>
  <c r="M131" i="5"/>
  <c r="F11" i="69" s="1"/>
  <c r="M140" i="5"/>
  <c r="F20" i="69" s="1"/>
  <c r="M136" i="5"/>
  <c r="F16" i="69" s="1"/>
  <c r="M14" i="5"/>
  <c r="K12" i="50" s="1"/>
  <c r="Q27" i="6"/>
  <c r="AE27" i="6" s="1"/>
  <c r="J760" i="5"/>
  <c r="M760" i="5" s="1"/>
  <c r="F74" i="74" s="1"/>
  <c r="I5130" i="18" s="1"/>
  <c r="F117" i="8"/>
  <c r="F119" i="8" s="1"/>
  <c r="F120" i="8" s="1"/>
  <c r="AE22" i="6"/>
  <c r="F106" i="21"/>
  <c r="F107" i="21" s="1"/>
  <c r="F108" i="21" s="1"/>
  <c r="E117" i="8"/>
  <c r="J567" i="5"/>
  <c r="J806" i="5" s="1"/>
  <c r="F36" i="6"/>
  <c r="F75" i="70"/>
  <c r="AE18" i="6"/>
  <c r="B18" i="6"/>
  <c r="B19" i="6"/>
  <c r="Q19" i="6"/>
  <c r="AE19" i="6" s="1"/>
  <c r="F34" i="6"/>
  <c r="F9" i="6"/>
  <c r="F17" i="6"/>
  <c r="F18" i="6"/>
  <c r="J1003" i="18"/>
  <c r="B15" i="6"/>
  <c r="G103" i="5" s="1"/>
  <c r="G341" i="5"/>
  <c r="H255" i="5"/>
  <c r="F20" i="6"/>
  <c r="F31" i="6"/>
  <c r="L127" i="5"/>
  <c r="M130" i="5"/>
  <c r="F10" i="69" s="1"/>
  <c r="K127" i="5"/>
  <c r="K382" i="5"/>
  <c r="K256" i="5"/>
  <c r="L221" i="5"/>
  <c r="M402" i="5"/>
  <c r="G696" i="5"/>
  <c r="M718" i="5"/>
  <c r="D72" i="48" s="1"/>
  <c r="H696" i="5"/>
  <c r="L441" i="5"/>
  <c r="K224" i="5"/>
  <c r="K433" i="5"/>
  <c r="K601" i="5"/>
  <c r="K519" i="5"/>
  <c r="K507" i="5"/>
  <c r="K486" i="5"/>
  <c r="L469" i="5"/>
  <c r="K422" i="5"/>
  <c r="K377" i="5"/>
  <c r="L372" i="5"/>
  <c r="K263" i="5"/>
  <c r="L256" i="5"/>
  <c r="L246" i="5"/>
  <c r="L211" i="5"/>
  <c r="G708" i="5"/>
  <c r="M134" i="5"/>
  <c r="F14" i="69" s="1"/>
  <c r="M137" i="5"/>
  <c r="F17" i="69" s="1"/>
  <c r="M183" i="5"/>
  <c r="F42" i="73" s="1"/>
  <c r="M174" i="5"/>
  <c r="F36" i="73" s="1"/>
  <c r="M185" i="5"/>
  <c r="M176" i="5"/>
  <c r="F51" i="69" s="1"/>
  <c r="M96" i="5"/>
  <c r="N4050" i="18" s="1"/>
  <c r="O4096" i="18" s="1"/>
  <c r="M83" i="5"/>
  <c r="N3759" i="18" s="1"/>
  <c r="M16" i="5"/>
  <c r="K14" i="50" s="1"/>
  <c r="I664" i="5"/>
  <c r="E14" i="70" s="1"/>
  <c r="I666" i="5"/>
  <c r="E16" i="70" s="1"/>
  <c r="K305" i="5"/>
  <c r="M772" i="5"/>
  <c r="L535" i="5"/>
  <c r="M766" i="5"/>
  <c r="M773" i="5"/>
  <c r="K552" i="5"/>
  <c r="M730" i="5"/>
  <c r="L241" i="5"/>
  <c r="L216" i="5"/>
  <c r="L63" i="5"/>
  <c r="M467" i="5"/>
  <c r="G690" i="5"/>
  <c r="I686" i="5"/>
  <c r="E20" i="74" s="1"/>
  <c r="M19" i="5"/>
  <c r="D18" i="47" s="1"/>
  <c r="M159" i="5"/>
  <c r="M156" i="5"/>
  <c r="M154" i="5"/>
  <c r="M151" i="5"/>
  <c r="M149" i="5"/>
  <c r="M145" i="5"/>
  <c r="M143" i="5"/>
  <c r="M141" i="5"/>
  <c r="M128" i="5"/>
  <c r="M162" i="5"/>
  <c r="K441" i="5"/>
  <c r="M244" i="5"/>
  <c r="M59" i="5"/>
  <c r="K196" i="50" s="1"/>
  <c r="F792" i="5"/>
  <c r="M31" i="5"/>
  <c r="K35" i="5"/>
  <c r="K63" i="5"/>
  <c r="K64" i="5" s="1"/>
  <c r="L282" i="5"/>
  <c r="K226" i="5"/>
  <c r="M243" i="5"/>
  <c r="L501" i="5"/>
  <c r="M780" i="5"/>
  <c r="L108" i="5"/>
  <c r="M776" i="5"/>
  <c r="M775" i="5"/>
  <c r="M726" i="5"/>
  <c r="I702" i="5"/>
  <c r="E34" i="74" s="1"/>
  <c r="K629" i="5"/>
  <c r="K540" i="5"/>
  <c r="L207" i="5"/>
  <c r="L563" i="5"/>
  <c r="K474" i="5"/>
  <c r="K221" i="5"/>
  <c r="M724" i="5"/>
  <c r="K410" i="5"/>
  <c r="O1641" i="18"/>
  <c r="M466" i="5"/>
  <c r="D50" i="52"/>
  <c r="H690" i="5"/>
  <c r="L313" i="5"/>
  <c r="L433" i="5"/>
  <c r="K229" i="5"/>
  <c r="L601" i="5"/>
  <c r="K578" i="5"/>
  <c r="K568" i="5"/>
  <c r="L400" i="5"/>
  <c r="L382" i="5"/>
  <c r="L251" i="5"/>
  <c r="K241" i="5"/>
  <c r="K634" i="5"/>
  <c r="M779" i="5"/>
  <c r="M147" i="5"/>
  <c r="L205" i="5"/>
  <c r="K211" i="5"/>
  <c r="L644" i="5"/>
  <c r="M727" i="5"/>
  <c r="M500" i="5"/>
  <c r="F11" i="6"/>
  <c r="F12" i="6"/>
  <c r="F23" i="6"/>
  <c r="F30" i="6"/>
  <c r="F32" i="6"/>
  <c r="F78" i="70"/>
  <c r="F10" i="6"/>
  <c r="F22" i="6"/>
  <c r="F29" i="6"/>
  <c r="F38" i="6"/>
  <c r="F93" i="70"/>
  <c r="F27" i="6"/>
  <c r="J469" i="5"/>
  <c r="J246" i="5"/>
  <c r="F24" i="6"/>
  <c r="K203" i="5"/>
  <c r="L231" i="5"/>
  <c r="L226" i="5"/>
  <c r="K606" i="5"/>
  <c r="K219" i="5"/>
  <c r="K214" i="5"/>
  <c r="O41" i="13"/>
  <c r="L294" i="5"/>
  <c r="K535" i="5"/>
  <c r="L35" i="5"/>
  <c r="K225" i="5"/>
  <c r="K400" i="5"/>
  <c r="L639" i="5"/>
  <c r="K371" i="5"/>
  <c r="I685" i="5"/>
  <c r="E35" i="70" s="1"/>
  <c r="K404" i="5"/>
  <c r="M91" i="5"/>
  <c r="K255" i="50" s="1"/>
  <c r="M598" i="5"/>
  <c r="K497" i="5"/>
  <c r="K633" i="5"/>
  <c r="M403" i="5"/>
  <c r="I665" i="5"/>
  <c r="E15" i="70" s="1"/>
  <c r="I668" i="5"/>
  <c r="E18" i="70" s="1"/>
  <c r="K367" i="5"/>
  <c r="M777" i="5"/>
  <c r="K644" i="5"/>
  <c r="M146" i="5"/>
  <c r="F14" i="73" s="1"/>
  <c r="L203" i="5"/>
  <c r="M725" i="5"/>
  <c r="K534" i="5"/>
  <c r="K92" i="5"/>
  <c r="L215" i="5"/>
  <c r="M774" i="5"/>
  <c r="L305" i="5"/>
  <c r="K245" i="5"/>
  <c r="I700" i="5"/>
  <c r="L534" i="5"/>
  <c r="M78" i="5"/>
  <c r="L18" i="68" s="1"/>
  <c r="F294" i="5"/>
  <c r="K446" i="5"/>
  <c r="L446" i="5"/>
  <c r="K436" i="5"/>
  <c r="L436" i="5"/>
  <c r="K349" i="5"/>
  <c r="L349" i="5"/>
  <c r="K339" i="5"/>
  <c r="L339" i="5"/>
  <c r="K318" i="5"/>
  <c r="L318" i="5"/>
  <c r="K308" i="5"/>
  <c r="L308" i="5"/>
  <c r="L287" i="5"/>
  <c r="K336" i="5"/>
  <c r="L336" i="5"/>
  <c r="K274" i="5"/>
  <c r="L274" i="5"/>
  <c r="K233" i="5"/>
  <c r="K611" i="5"/>
  <c r="L219" i="5"/>
  <c r="L596" i="5"/>
  <c r="K512" i="5"/>
  <c r="L512" i="5"/>
  <c r="K502" i="5"/>
  <c r="K479" i="5"/>
  <c r="L479" i="5"/>
  <c r="K469" i="5"/>
  <c r="L464" i="5"/>
  <c r="K415" i="5"/>
  <c r="L371" i="5"/>
  <c r="L225" i="5"/>
  <c r="G339" i="50"/>
  <c r="I667" i="5"/>
  <c r="E17" i="70" s="1"/>
  <c r="G671" i="5"/>
  <c r="I663" i="5"/>
  <c r="E13" i="70" s="1"/>
  <c r="H671" i="5"/>
  <c r="M728" i="5"/>
  <c r="L734" i="5"/>
  <c r="K207" i="5"/>
  <c r="L344" i="5"/>
  <c r="L220" i="5"/>
  <c r="K287" i="5"/>
  <c r="K228" i="5"/>
  <c r="K217" i="5"/>
  <c r="K277" i="5"/>
  <c r="L214" i="5"/>
  <c r="L277" i="5"/>
  <c r="L229" i="5"/>
  <c r="L611" i="5"/>
  <c r="K232" i="5"/>
  <c r="K585" i="5"/>
  <c r="L578" i="5"/>
  <c r="L228" i="5"/>
  <c r="L217" i="5"/>
  <c r="L568" i="5"/>
  <c r="K563" i="5"/>
  <c r="K205" i="5"/>
  <c r="L233" i="5"/>
  <c r="K216" i="5"/>
  <c r="I676" i="5"/>
  <c r="E26" i="70" s="1"/>
  <c r="M537" i="5"/>
  <c r="Z18" i="71" s="1"/>
  <c r="M650" i="5"/>
  <c r="M451" i="5"/>
  <c r="W30" i="75" s="1"/>
  <c r="M440" i="5"/>
  <c r="W20" i="75" s="1"/>
  <c r="M354" i="5"/>
  <c r="T30" i="75" s="1"/>
  <c r="M343" i="5"/>
  <c r="T20" i="75" s="1"/>
  <c r="M323" i="5"/>
  <c r="S30" i="75" s="1"/>
  <c r="M312" i="5"/>
  <c r="S20" i="75" s="1"/>
  <c r="M292" i="5"/>
  <c r="R30" i="75" s="1"/>
  <c r="M335" i="5"/>
  <c r="T12" i="75" s="1"/>
  <c r="M273" i="5"/>
  <c r="R12" i="75" s="1"/>
  <c r="M621" i="5"/>
  <c r="AB35" i="75" s="1"/>
  <c r="M612" i="5"/>
  <c r="AB26" i="75" s="1"/>
  <c r="M577" i="5"/>
  <c r="AA25" i="71" s="1"/>
  <c r="M516" i="5"/>
  <c r="Y29" i="75" s="1"/>
  <c r="M483" i="5"/>
  <c r="X29" i="75" s="1"/>
  <c r="M419" i="5"/>
  <c r="M408" i="5"/>
  <c r="M386" i="5"/>
  <c r="M375" i="5"/>
  <c r="M260" i="5"/>
  <c r="I695" i="5"/>
  <c r="G332" i="50" s="1"/>
  <c r="I689" i="5"/>
  <c r="I681" i="5"/>
  <c r="G330" i="50" s="1"/>
  <c r="I662" i="5"/>
  <c r="E12" i="70" s="1"/>
  <c r="K545" i="5"/>
  <c r="L232" i="5"/>
  <c r="K573" i="5"/>
  <c r="L206" i="5"/>
  <c r="K108" i="5"/>
  <c r="L540" i="5"/>
  <c r="K596" i="5"/>
  <c r="I699" i="5"/>
  <c r="L468" i="5"/>
  <c r="I701" i="5"/>
  <c r="I692" i="5"/>
  <c r="G343" i="50" s="1"/>
  <c r="I670" i="5"/>
  <c r="G328" i="50" s="1"/>
  <c r="L158" i="5"/>
  <c r="L161" i="5" s="1"/>
  <c r="L163" i="5" s="1"/>
  <c r="M26" i="5"/>
  <c r="K65" i="50" s="1"/>
  <c r="I678" i="5"/>
  <c r="I659" i="5"/>
  <c r="E9" i="70" s="1"/>
  <c r="I658" i="5"/>
  <c r="G335" i="50" s="1"/>
  <c r="J568" i="5"/>
  <c r="K468" i="5"/>
  <c r="L245" i="5"/>
  <c r="I704" i="5"/>
  <c r="K178" i="5"/>
  <c r="M24" i="5"/>
  <c r="H20" i="68" s="1"/>
  <c r="M29" i="5"/>
  <c r="H24" i="68" s="1"/>
  <c r="M369" i="5"/>
  <c r="M538" i="5"/>
  <c r="Z19" i="71" s="1"/>
  <c r="M551" i="5"/>
  <c r="Z32" i="71" s="1"/>
  <c r="M599" i="5"/>
  <c r="AE40" i="11"/>
  <c r="P4" i="11" s="1"/>
  <c r="M452" i="5"/>
  <c r="W31" i="75" s="1"/>
  <c r="M442" i="5"/>
  <c r="M324" i="5"/>
  <c r="M314" i="5"/>
  <c r="M293" i="5"/>
  <c r="M283" i="5"/>
  <c r="R22" i="75" s="1"/>
  <c r="M428" i="5"/>
  <c r="M613" i="5"/>
  <c r="M602" i="5"/>
  <c r="AB17" i="71" s="1"/>
  <c r="M588" i="5"/>
  <c r="AA36" i="71" s="1"/>
  <c r="M562" i="5"/>
  <c r="Z12" i="75" s="1"/>
  <c r="M517" i="5"/>
  <c r="M506" i="5"/>
  <c r="M473" i="5"/>
  <c r="M420" i="5"/>
  <c r="M409" i="5"/>
  <c r="M261" i="5"/>
  <c r="M250" i="5"/>
  <c r="M499" i="5"/>
  <c r="I710" i="5"/>
  <c r="I679" i="5"/>
  <c r="O5377" i="18"/>
  <c r="P5377" i="18" s="1"/>
  <c r="H553" i="18"/>
  <c r="H555" i="18" s="1"/>
  <c r="H556" i="18" s="1"/>
  <c r="L3931" i="18"/>
  <c r="L4866" i="18"/>
  <c r="M4866" i="18" s="1"/>
  <c r="L3622" i="18"/>
  <c r="N5326" i="18"/>
  <c r="O5326" i="18" s="1"/>
  <c r="M2271" i="18"/>
  <c r="H4576" i="18"/>
  <c r="H4578" i="18" s="1"/>
  <c r="H4579" i="18" s="1"/>
  <c r="AE13" i="6"/>
  <c r="J400" i="5"/>
  <c r="F229" i="5"/>
  <c r="M608" i="5"/>
  <c r="AB23" i="71" s="1"/>
  <c r="F33" i="6"/>
  <c r="M625" i="5"/>
  <c r="F25" i="6"/>
  <c r="AE40" i="6"/>
  <c r="P4" i="6" s="1"/>
  <c r="O5364" i="18"/>
  <c r="P5364" i="18" s="1"/>
  <c r="H1422" i="18"/>
  <c r="H1424" i="18" s="1"/>
  <c r="H1425" i="18" s="1"/>
  <c r="M1880" i="18"/>
  <c r="N2422" i="18"/>
  <c r="J3676" i="18"/>
  <c r="K4576" i="18"/>
  <c r="K4578" i="18" s="1"/>
  <c r="K4579" i="18" s="1"/>
  <c r="L719" i="18"/>
  <c r="Q3" i="18"/>
  <c r="N5341" i="18"/>
  <c r="O5341" i="18" s="1"/>
  <c r="M180" i="18"/>
  <c r="I1161" i="18"/>
  <c r="I1163" i="18" s="1"/>
  <c r="I1164" i="18" s="1"/>
  <c r="L2067" i="18"/>
  <c r="N2845" i="18"/>
  <c r="K4636" i="18"/>
  <c r="K1793" i="18"/>
  <c r="N1628" i="18"/>
  <c r="H1485" i="18"/>
  <c r="H1487" i="18" s="1"/>
  <c r="H1488" i="18" s="1"/>
  <c r="H1271" i="18"/>
  <c r="H1273" i="18" s="1"/>
  <c r="H1274" i="18" s="1"/>
  <c r="H4280" i="18"/>
  <c r="H4282" i="18" s="1"/>
  <c r="H4283" i="18" s="1"/>
  <c r="K4780" i="18"/>
  <c r="J2070" i="18"/>
  <c r="O5381" i="18"/>
  <c r="P5381" i="18" s="1"/>
  <c r="N42" i="18"/>
  <c r="N595" i="18"/>
  <c r="N597" i="18" s="1"/>
  <c r="N598" i="18" s="1"/>
  <c r="H1007" i="18"/>
  <c r="H1009" i="18" s="1"/>
  <c r="H1010" i="18" s="1"/>
  <c r="H3850" i="18"/>
  <c r="H3852" i="18" s="1"/>
  <c r="H3853" i="18" s="1"/>
  <c r="J4535" i="18"/>
  <c r="K4918" i="18"/>
  <c r="L3763" i="18"/>
  <c r="O5360" i="18"/>
  <c r="P5360" i="18" s="1"/>
  <c r="N2223" i="18"/>
  <c r="N2221" i="18"/>
  <c r="O1645" i="18"/>
  <c r="K2888" i="18"/>
  <c r="M1031" i="18"/>
  <c r="J975" i="18"/>
  <c r="Q967" i="18" s="1"/>
  <c r="H2287" i="18"/>
  <c r="H2289" i="18" s="1"/>
  <c r="H2290" i="18" s="1"/>
  <c r="L716" i="18"/>
  <c r="O5359" i="18"/>
  <c r="P5359" i="18" s="1"/>
  <c r="N1626" i="18"/>
  <c r="L4885" i="18"/>
  <c r="M4885" i="18" s="1"/>
  <c r="I372" i="18"/>
  <c r="I374" i="18" s="1"/>
  <c r="I375" i="18" s="1"/>
  <c r="I1073" i="18"/>
  <c r="I1075" i="18" s="1"/>
  <c r="I1076" i="18" s="1"/>
  <c r="H3465" i="18"/>
  <c r="H3467" i="18" s="1"/>
  <c r="H3468" i="18" s="1"/>
  <c r="N5344" i="18"/>
  <c r="O5344" i="18" s="1"/>
  <c r="O5380" i="18"/>
  <c r="P5380" i="18" s="1"/>
  <c r="L1320" i="18"/>
  <c r="L1322" i="18" s="1"/>
  <c r="L1323" i="18" s="1"/>
  <c r="L442" i="18"/>
  <c r="L444" i="18" s="1"/>
  <c r="L445" i="18" s="1"/>
  <c r="N5325" i="18"/>
  <c r="O5325" i="18" s="1"/>
  <c r="J2228" i="18"/>
  <c r="J2230" i="18" s="1"/>
  <c r="J2231" i="18" s="1"/>
  <c r="K2825" i="18"/>
  <c r="N1858" i="18"/>
  <c r="M2425" i="18"/>
  <c r="M2427" i="18" s="1"/>
  <c r="M2428" i="18" s="1"/>
  <c r="H1037" i="18"/>
  <c r="H1039" i="18" s="1"/>
  <c r="H1040" i="18" s="1"/>
  <c r="N56" i="18"/>
  <c r="P1641" i="18"/>
  <c r="P1645" i="18"/>
  <c r="N1627" i="18"/>
  <c r="L4867" i="18"/>
  <c r="M4867" i="18" s="1"/>
  <c r="P2966" i="18"/>
  <c r="L4886" i="18"/>
  <c r="M4886" i="18" s="1"/>
  <c r="N5327" i="18"/>
  <c r="O5327" i="18" s="1"/>
  <c r="J331" i="18"/>
  <c r="I394" i="18"/>
  <c r="I396" i="18" s="1"/>
  <c r="I397" i="18" s="1"/>
  <c r="H595" i="18"/>
  <c r="H597" i="18" s="1"/>
  <c r="H598" i="18" s="1"/>
  <c r="M492" i="18"/>
  <c r="J1002" i="18"/>
  <c r="L1031" i="18"/>
  <c r="I1095" i="18"/>
  <c r="I1097" i="18" s="1"/>
  <c r="I1098" i="18" s="1"/>
  <c r="I1183" i="18"/>
  <c r="I1185" i="18" s="1"/>
  <c r="I1186" i="18" s="1"/>
  <c r="J1381" i="18"/>
  <c r="J1383" i="18" s="1"/>
  <c r="J1384" i="18" s="1"/>
  <c r="M1370" i="18"/>
  <c r="L1710" i="18"/>
  <c r="L1712" i="18" s="1"/>
  <c r="L1713" i="18" s="1"/>
  <c r="N1921" i="18"/>
  <c r="N1923" i="18" s="1"/>
  <c r="N1924" i="18" s="1"/>
  <c r="L2068" i="18"/>
  <c r="M2258" i="18"/>
  <c r="J2287" i="18"/>
  <c r="J2289" i="18" s="1"/>
  <c r="J2290" i="18" s="1"/>
  <c r="N2343" i="18"/>
  <c r="N2345" i="18" s="1"/>
  <c r="N2346" i="18" s="1"/>
  <c r="J3280" i="18"/>
  <c r="J3452" i="18"/>
  <c r="K3651" i="18"/>
  <c r="I3676" i="18"/>
  <c r="J4058" i="18"/>
  <c r="L3990" i="18"/>
  <c r="L3992" i="18" s="1"/>
  <c r="L3993" i="18" s="1"/>
  <c r="M4264" i="18"/>
  <c r="I4535" i="18"/>
  <c r="K4557" i="18"/>
  <c r="K4559" i="18" s="1"/>
  <c r="K4560" i="18" s="1"/>
  <c r="L3735" i="18"/>
  <c r="K4639" i="18"/>
  <c r="H4792" i="18"/>
  <c r="L3732" i="18"/>
  <c r="P854" i="18"/>
  <c r="L1794" i="18"/>
  <c r="I2073" i="18"/>
  <c r="I2075" i="18" s="1"/>
  <c r="I2076" i="18" s="1"/>
  <c r="K2077" i="18" s="1"/>
  <c r="L2077" i="18" s="1"/>
  <c r="Q2" i="18"/>
  <c r="O5376" i="18"/>
  <c r="P5376" i="18" s="1"/>
  <c r="O5375" i="18"/>
  <c r="P5375" i="18" s="1"/>
  <c r="N1856" i="18"/>
  <c r="L2287" i="18"/>
  <c r="L2289" i="18" s="1"/>
  <c r="L2290" i="18" s="1"/>
  <c r="K13" i="18"/>
  <c r="O1642" i="18"/>
  <c r="O1646" i="18"/>
  <c r="L4871" i="18"/>
  <c r="M4871" i="18" s="1"/>
  <c r="M3031" i="18"/>
  <c r="L4889" i="18"/>
  <c r="M4889" i="18" s="1"/>
  <c r="N5329" i="18"/>
  <c r="O5329" i="18" s="1"/>
  <c r="O1648" i="18"/>
  <c r="M175" i="18"/>
  <c r="N267" i="18"/>
  <c r="N269" i="18" s="1"/>
  <c r="N270" i="18" s="1"/>
  <c r="J330" i="18"/>
  <c r="H394" i="18"/>
  <c r="H396" i="18" s="1"/>
  <c r="H397" i="18" s="1"/>
  <c r="H462" i="18"/>
  <c r="H464" i="18" s="1"/>
  <c r="H465" i="18" s="1"/>
  <c r="J1004" i="18"/>
  <c r="L1032" i="18"/>
  <c r="H1095" i="18"/>
  <c r="H1097" i="18" s="1"/>
  <c r="H1098" i="18" s="1"/>
  <c r="H1183" i="18"/>
  <c r="H1185" i="18" s="1"/>
  <c r="H1186" i="18" s="1"/>
  <c r="H1381" i="18"/>
  <c r="H1383" i="18" s="1"/>
  <c r="H1384" i="18" s="1"/>
  <c r="M1372" i="18"/>
  <c r="I1710" i="18"/>
  <c r="I1712" i="18" s="1"/>
  <c r="I1713" i="18" s="1"/>
  <c r="M1906" i="18"/>
  <c r="M2221" i="18"/>
  <c r="K2457" i="18"/>
  <c r="K2459" i="18" s="1"/>
  <c r="K2460" i="18" s="1"/>
  <c r="I3299" i="18"/>
  <c r="I3301" i="18" s="1"/>
  <c r="I3302" i="18" s="1"/>
  <c r="H3552" i="18"/>
  <c r="H3554" i="18" s="1"/>
  <c r="H3555" i="18" s="1"/>
  <c r="H3675" i="18"/>
  <c r="J3788" i="18"/>
  <c r="K4007" i="18"/>
  <c r="Q3997" i="18" s="1"/>
  <c r="L3932" i="18"/>
  <c r="J4125" i="18"/>
  <c r="H4534" i="18"/>
  <c r="J4502" i="18"/>
  <c r="J4576" i="18"/>
  <c r="J4578" i="18" s="1"/>
  <c r="J4579" i="18" s="1"/>
  <c r="L3734" i="18"/>
  <c r="K4638" i="18"/>
  <c r="H4791" i="18"/>
  <c r="I4937" i="18"/>
  <c r="I4939" i="18" s="1"/>
  <c r="I4940" i="18" s="1"/>
  <c r="P853" i="18"/>
  <c r="K1794" i="18"/>
  <c r="R2046" i="18"/>
  <c r="L3765" i="18"/>
  <c r="I3552" i="18"/>
  <c r="I3554" i="18" s="1"/>
  <c r="I3555" i="18" s="1"/>
  <c r="N5347" i="18"/>
  <c r="O5347" i="18" s="1"/>
  <c r="L4887" i="18"/>
  <c r="M4887" i="18" s="1"/>
  <c r="J1037" i="18"/>
  <c r="J1039" i="18" s="1"/>
  <c r="J1040" i="18" s="1"/>
  <c r="L350" i="18"/>
  <c r="L352" i="18" s="1"/>
  <c r="L353" i="18" s="1"/>
  <c r="N5332" i="18"/>
  <c r="O5332" i="18" s="1"/>
  <c r="J1863" i="18"/>
  <c r="J1865" i="18" s="1"/>
  <c r="J1866" i="18" s="1"/>
  <c r="N1857" i="18"/>
  <c r="L2642" i="18"/>
  <c r="L13" i="18"/>
  <c r="O1643" i="18"/>
  <c r="P1646" i="18"/>
  <c r="N1653" i="18"/>
  <c r="Q3089" i="18"/>
  <c r="L4888" i="18"/>
  <c r="M4888" i="18" s="1"/>
  <c r="N5330" i="18"/>
  <c r="O5330" i="18" s="1"/>
  <c r="O1647" i="18"/>
  <c r="L4883" i="18"/>
  <c r="M4883" i="18" s="1"/>
  <c r="I208" i="18"/>
  <c r="I210" i="18" s="1"/>
  <c r="I211" i="18" s="1"/>
  <c r="H267" i="18"/>
  <c r="H269" i="18" s="1"/>
  <c r="H270" i="18" s="1"/>
  <c r="J332" i="18"/>
  <c r="M435" i="18"/>
  <c r="I1037" i="18"/>
  <c r="I1039" i="18" s="1"/>
  <c r="I1040" i="18" s="1"/>
  <c r="M1143" i="18"/>
  <c r="N1031" i="18"/>
  <c r="H1249" i="18"/>
  <c r="H1251" i="18" s="1"/>
  <c r="H1252" i="18" s="1"/>
  <c r="H1342" i="18"/>
  <c r="H1344" i="18" s="1"/>
  <c r="H1345" i="18" s="1"/>
  <c r="L1381" i="18"/>
  <c r="L1383" i="18" s="1"/>
  <c r="L1384" i="18" s="1"/>
  <c r="I1422" i="18"/>
  <c r="I1424" i="18" s="1"/>
  <c r="I1425" i="18" s="1"/>
  <c r="K1693" i="18"/>
  <c r="K1695" i="18" s="1"/>
  <c r="K1696" i="18" s="1"/>
  <c r="N1836" i="18"/>
  <c r="M1893" i="18"/>
  <c r="L2221" i="18"/>
  <c r="H2457" i="18"/>
  <c r="H2459" i="18" s="1"/>
  <c r="H2460" i="18" s="1"/>
  <c r="H3299" i="18"/>
  <c r="H3301" i="18" s="1"/>
  <c r="H3302" i="18" s="1"/>
  <c r="J3539" i="18"/>
  <c r="L3666" i="18"/>
  <c r="J3837" i="18"/>
  <c r="K3930" i="18"/>
  <c r="J3971" i="18"/>
  <c r="J4110" i="18"/>
  <c r="M4280" i="18"/>
  <c r="M4282" i="18" s="1"/>
  <c r="M4283" i="18" s="1"/>
  <c r="K4535" i="18"/>
  <c r="I4576" i="18"/>
  <c r="I4578" i="18" s="1"/>
  <c r="I4579" i="18" s="1"/>
  <c r="L3737" i="18"/>
  <c r="K4641" i="18"/>
  <c r="L4868" i="18"/>
  <c r="M4868" i="18" s="1"/>
  <c r="K4960" i="18"/>
  <c r="K4963" i="18" s="1"/>
  <c r="J805" i="18"/>
  <c r="J807" i="18" s="1"/>
  <c r="J808" i="18" s="1"/>
  <c r="K809" i="18" s="1"/>
  <c r="L809" i="18" s="1"/>
  <c r="K1795" i="18"/>
  <c r="L2090" i="18"/>
  <c r="I3850" i="18"/>
  <c r="I3852" i="18" s="1"/>
  <c r="I3853" i="18" s="1"/>
  <c r="L938" i="18"/>
  <c r="N5348" i="18"/>
  <c r="O5348" i="18" s="1"/>
  <c r="N5346" i="18"/>
  <c r="O5346" i="18" s="1"/>
  <c r="N5343" i="18"/>
  <c r="O5343" i="18" s="1"/>
  <c r="L3764" i="18"/>
  <c r="J2425" i="18"/>
  <c r="J2427" i="18" s="1"/>
  <c r="J2428" i="18" s="1"/>
  <c r="N5328" i="18"/>
  <c r="O5328" i="18" s="1"/>
  <c r="L186" i="18"/>
  <c r="L188" i="18" s="1"/>
  <c r="L189" i="18" s="1"/>
  <c r="N1032" i="18"/>
  <c r="N1030" i="18"/>
  <c r="H442" i="18"/>
  <c r="H444" i="18" s="1"/>
  <c r="H445" i="18" s="1"/>
  <c r="K14" i="18"/>
  <c r="P1642" i="18"/>
  <c r="N1622" i="18"/>
  <c r="S2494" i="18"/>
  <c r="N3210" i="18"/>
  <c r="L4890" i="18"/>
  <c r="M4890" i="18" s="1"/>
  <c r="N5331" i="18"/>
  <c r="O5331" i="18" s="1"/>
  <c r="N33" i="18"/>
  <c r="H208" i="18"/>
  <c r="H210" i="18" s="1"/>
  <c r="H211" i="18" s="1"/>
  <c r="I230" i="18"/>
  <c r="I232" i="18" s="1"/>
  <c r="I233" i="18" s="1"/>
  <c r="J350" i="18"/>
  <c r="J352" i="18" s="1"/>
  <c r="J353" i="18" s="1"/>
  <c r="M490" i="18"/>
  <c r="I553" i="18"/>
  <c r="I555" i="18" s="1"/>
  <c r="I556" i="18" s="1"/>
  <c r="J1320" i="18"/>
  <c r="J1322" i="18" s="1"/>
  <c r="J1323" i="18" s="1"/>
  <c r="M1055" i="18"/>
  <c r="M1032" i="18"/>
  <c r="M1222" i="18"/>
  <c r="M1312" i="18"/>
  <c r="J1403" i="18"/>
  <c r="J1405" i="18" s="1"/>
  <c r="J1406" i="18" s="1"/>
  <c r="J1443" i="18"/>
  <c r="J1445" i="18" s="1"/>
  <c r="J1446" i="18" s="1"/>
  <c r="H1676" i="18"/>
  <c r="H1678" i="18" s="1"/>
  <c r="H1679" i="18" s="1"/>
  <c r="K1680" i="18" s="1"/>
  <c r="L1680" i="18" s="1"/>
  <c r="M1710" i="18"/>
  <c r="M1712" i="18" s="1"/>
  <c r="M1713" i="18" s="1"/>
  <c r="M1856" i="18"/>
  <c r="O2216" i="18"/>
  <c r="L2222" i="18"/>
  <c r="H2309" i="18"/>
  <c r="H2311" i="18" s="1"/>
  <c r="H2312" i="18" s="1"/>
  <c r="M2457" i="18"/>
  <c r="M2459" i="18" s="1"/>
  <c r="M2460" i="18" s="1"/>
  <c r="H3651" i="18"/>
  <c r="H3653" i="18" s="1"/>
  <c r="H3654" i="18" s="1"/>
  <c r="J3675" i="18"/>
  <c r="J3816" i="18"/>
  <c r="J4114" i="18"/>
  <c r="Q3990" i="18"/>
  <c r="Q3992" i="18" s="1"/>
  <c r="Q3993" i="18" s="1"/>
  <c r="I4130" i="18"/>
  <c r="J4534" i="18"/>
  <c r="H4557" i="18"/>
  <c r="H4559" i="18" s="1"/>
  <c r="H4560" i="18" s="1"/>
  <c r="L3736" i="18"/>
  <c r="K4640" i="18"/>
  <c r="H4793" i="18"/>
  <c r="J734" i="18"/>
  <c r="J736" i="18" s="1"/>
  <c r="J737" i="18" s="1"/>
  <c r="K738" i="18" s="1"/>
  <c r="L738" i="18" s="1"/>
  <c r="L782" i="18"/>
  <c r="O2215" i="18"/>
  <c r="N1835" i="18"/>
  <c r="L937" i="18"/>
  <c r="O5379" i="18"/>
  <c r="P5379" i="18" s="1"/>
  <c r="I1007" i="18"/>
  <c r="I1009" i="18" s="1"/>
  <c r="I1010" i="18" s="1"/>
  <c r="O5362" i="18"/>
  <c r="P5362" i="18" s="1"/>
  <c r="L14" i="18"/>
  <c r="P1643" i="18"/>
  <c r="N1623" i="18"/>
  <c r="L2587" i="18"/>
  <c r="M1787" i="18"/>
  <c r="L4891" i="18"/>
  <c r="M4891" i="18" s="1"/>
  <c r="O5358" i="18"/>
  <c r="P5358" i="18" s="1"/>
  <c r="P1647" i="18"/>
  <c r="H186" i="18"/>
  <c r="H188" i="18" s="1"/>
  <c r="H189" i="18" s="1"/>
  <c r="H372" i="18"/>
  <c r="H374" i="18" s="1"/>
  <c r="H375" i="18" s="1"/>
  <c r="J442" i="18"/>
  <c r="J444" i="18" s="1"/>
  <c r="J445" i="18" s="1"/>
  <c r="I462" i="18"/>
  <c r="I464" i="18" s="1"/>
  <c r="I465" i="18" s="1"/>
  <c r="K937" i="18"/>
  <c r="L1030" i="18"/>
  <c r="H1073" i="18"/>
  <c r="H1075" i="18" s="1"/>
  <c r="H1076" i="18" s="1"/>
  <c r="H1161" i="18"/>
  <c r="H1163" i="18" s="1"/>
  <c r="H1164" i="18" s="1"/>
  <c r="M1227" i="18"/>
  <c r="J954" i="18"/>
  <c r="Q944" i="18" s="1"/>
  <c r="H1403" i="18"/>
  <c r="H1405" i="18" s="1"/>
  <c r="H1406" i="18" s="1"/>
  <c r="H1443" i="18"/>
  <c r="H1445" i="18" s="1"/>
  <c r="H1446" i="18" s="1"/>
  <c r="M1693" i="18"/>
  <c r="M1695" i="18" s="1"/>
  <c r="M1696" i="18" s="1"/>
  <c r="I1863" i="18"/>
  <c r="I1865" i="18" s="1"/>
  <c r="I1866" i="18" s="1"/>
  <c r="M1857" i="18"/>
  <c r="I2228" i="18"/>
  <c r="I2230" i="18" s="1"/>
  <c r="I2231" i="18" s="1"/>
  <c r="M2222" i="18"/>
  <c r="M2278" i="18"/>
  <c r="J2808" i="18"/>
  <c r="L3621" i="18"/>
  <c r="I3675" i="18"/>
  <c r="K3765" i="18"/>
  <c r="K3931" i="18"/>
  <c r="H4130" i="18"/>
  <c r="I4534" i="18"/>
  <c r="J4511" i="18"/>
  <c r="L3739" i="18"/>
  <c r="O4277" i="18"/>
  <c r="L4870" i="18"/>
  <c r="M4870" i="18" s="1"/>
  <c r="L711" i="18"/>
  <c r="J827" i="18"/>
  <c r="J829" i="18" s="1"/>
  <c r="J830" i="18" s="1"/>
  <c r="K831" i="18" s="1"/>
  <c r="L831" i="18" s="1"/>
  <c r="R2045" i="18"/>
  <c r="L2116" i="18"/>
  <c r="N5345" i="18"/>
  <c r="O5345" i="18" s="1"/>
  <c r="L2643" i="18"/>
  <c r="I3465" i="18"/>
  <c r="I3467" i="18" s="1"/>
  <c r="I3468" i="18" s="1"/>
  <c r="L939" i="18"/>
  <c r="O5361" i="18"/>
  <c r="P5361" i="18" s="1"/>
  <c r="K3763" i="18"/>
  <c r="K2824" i="18"/>
  <c r="K15" i="18"/>
  <c r="P1644" i="18"/>
  <c r="N1624" i="18"/>
  <c r="Q2685" i="18"/>
  <c r="L4880" i="18"/>
  <c r="M4880" i="18" s="1"/>
  <c r="L4892" i="18"/>
  <c r="M4892" i="18" s="1"/>
  <c r="O5363" i="18"/>
  <c r="P5363" i="18" s="1"/>
  <c r="P1648" i="18"/>
  <c r="I2425" i="18"/>
  <c r="I2427" i="18" s="1"/>
  <c r="I2428" i="18" s="1"/>
  <c r="N128" i="18"/>
  <c r="K3676" i="18"/>
  <c r="M339" i="18"/>
  <c r="I529" i="18"/>
  <c r="I531" i="18" s="1"/>
  <c r="I532" i="18" s="1"/>
  <c r="K938" i="18"/>
  <c r="M1231" i="18"/>
  <c r="M1046" i="18"/>
  <c r="M1134" i="18"/>
  <c r="I1249" i="18"/>
  <c r="I1251" i="18" s="1"/>
  <c r="I1252" i="18" s="1"/>
  <c r="I1342" i="18"/>
  <c r="I1344" i="18" s="1"/>
  <c r="I1345" i="18" s="1"/>
  <c r="L1693" i="18"/>
  <c r="L1695" i="18" s="1"/>
  <c r="L1696" i="18" s="1"/>
  <c r="H1863" i="18"/>
  <c r="H1865" i="18" s="1"/>
  <c r="H1866" i="18" s="1"/>
  <c r="M1858" i="18"/>
  <c r="H2228" i="18"/>
  <c r="H2230" i="18" s="1"/>
  <c r="H2231" i="18" s="1"/>
  <c r="M2223" i="18"/>
  <c r="H2343" i="18"/>
  <c r="H2345" i="18" s="1"/>
  <c r="H2346" i="18" s="1"/>
  <c r="Q2696" i="18"/>
  <c r="J3651" i="18"/>
  <c r="J3653" i="18" s="1"/>
  <c r="J3654" i="18" s="1"/>
  <c r="H3676" i="18"/>
  <c r="L3930" i="18"/>
  <c r="I4131" i="18"/>
  <c r="H4535" i="18"/>
  <c r="J4557" i="18"/>
  <c r="J4559" i="18" s="1"/>
  <c r="J4560" i="18" s="1"/>
  <c r="L3738" i="18"/>
  <c r="K4642" i="18"/>
  <c r="L4869" i="18"/>
  <c r="M4869" i="18" s="1"/>
  <c r="L787" i="18"/>
  <c r="L1795" i="18"/>
  <c r="L2103" i="18"/>
  <c r="N5342" i="18"/>
  <c r="O5342" i="18" s="1"/>
  <c r="O5374" i="18"/>
  <c r="P5374" i="18" s="1"/>
  <c r="L1403" i="18"/>
  <c r="L1405" i="18" s="1"/>
  <c r="L1406" i="18" s="1"/>
  <c r="O5378" i="18"/>
  <c r="P5378" i="18" s="1"/>
  <c r="H1320" i="18"/>
  <c r="H1322" i="18" s="1"/>
  <c r="H1323" i="18" s="1"/>
  <c r="L2825" i="18"/>
  <c r="L2824" i="18"/>
  <c r="N2222" i="18"/>
  <c r="H350" i="18"/>
  <c r="H352" i="18" s="1"/>
  <c r="H353" i="18" s="1"/>
  <c r="K3764" i="18"/>
  <c r="L15" i="18"/>
  <c r="O1644" i="18"/>
  <c r="N1625" i="18"/>
  <c r="L4865" i="18"/>
  <c r="M4865" i="18" s="1"/>
  <c r="N2917" i="18"/>
  <c r="L4884" i="18"/>
  <c r="M4884" i="18" s="1"/>
  <c r="N5324" i="18"/>
  <c r="O5324" i="18" s="1"/>
  <c r="O5365" i="18"/>
  <c r="P5365" i="18" s="1"/>
  <c r="N1629" i="18"/>
  <c r="J186" i="18"/>
  <c r="J188" i="18" s="1"/>
  <c r="J189" i="18" s="1"/>
  <c r="H230" i="18"/>
  <c r="H232" i="18" s="1"/>
  <c r="H233" i="18" s="1"/>
  <c r="M344" i="18"/>
  <c r="H529" i="18"/>
  <c r="H531" i="18" s="1"/>
  <c r="H532" i="18" s="1"/>
  <c r="K533" i="18" s="1"/>
  <c r="L533" i="18" s="1"/>
  <c r="K939" i="18"/>
  <c r="N1485" i="18"/>
  <c r="N1487" i="18" s="1"/>
  <c r="N1488" i="18" s="1"/>
  <c r="M1030" i="18"/>
  <c r="M1051" i="18"/>
  <c r="M1139" i="18"/>
  <c r="I1271" i="18"/>
  <c r="I1273" i="18" s="1"/>
  <c r="I1274" i="18" s="1"/>
  <c r="J1025" i="18"/>
  <c r="H1921" i="18"/>
  <c r="H1923" i="18" s="1"/>
  <c r="H1924" i="18" s="1"/>
  <c r="K1925" i="18" s="1"/>
  <c r="L1925" i="18" s="1"/>
  <c r="L2066" i="18"/>
  <c r="M2245" i="18"/>
  <c r="L2223" i="18"/>
  <c r="I2309" i="18"/>
  <c r="I2311" i="18" s="1"/>
  <c r="I2312" i="18" s="1"/>
  <c r="K2643" i="18"/>
  <c r="I3651" i="18"/>
  <c r="I3653" i="18" s="1"/>
  <c r="I3654" i="18" s="1"/>
  <c r="K3675" i="18"/>
  <c r="K3932" i="18"/>
  <c r="H4131" i="18"/>
  <c r="K4534" i="18"/>
  <c r="I4557" i="18"/>
  <c r="I4559" i="18" s="1"/>
  <c r="I4560" i="18" s="1"/>
  <c r="L3731" i="18"/>
  <c r="K4637" i="18"/>
  <c r="K4781" i="18"/>
  <c r="H4937" i="18"/>
  <c r="H4939" i="18" s="1"/>
  <c r="H4940" i="18" s="1"/>
  <c r="J756" i="18"/>
  <c r="J758" i="18" s="1"/>
  <c r="J759" i="18" s="1"/>
  <c r="K760" i="18" s="1"/>
  <c r="L760" i="18" s="1"/>
  <c r="L790" i="18"/>
  <c r="L1793" i="18"/>
  <c r="N2131" i="18"/>
  <c r="N2133" i="18" s="1"/>
  <c r="N2134" i="18" s="1"/>
  <c r="K2135" i="18" s="1"/>
  <c r="L2135" i="18" s="1"/>
  <c r="K251" i="5"/>
  <c r="K220" i="5"/>
  <c r="K464" i="5"/>
  <c r="K206" i="5"/>
  <c r="K227" i="5"/>
  <c r="H682" i="5"/>
  <c r="K734" i="5"/>
  <c r="L629" i="5"/>
  <c r="K651" i="5"/>
  <c r="K231" i="5"/>
  <c r="L530" i="5"/>
  <c r="L204" i="5"/>
  <c r="K639" i="5"/>
  <c r="K222" i="5"/>
  <c r="L92" i="5"/>
  <c r="L634" i="5"/>
  <c r="P41" i="13"/>
  <c r="R41" i="13"/>
  <c r="P4" i="13" s="1"/>
  <c r="L545" i="5"/>
  <c r="L224" i="5"/>
  <c r="G682" i="5"/>
  <c r="K530" i="5"/>
  <c r="M346" i="5"/>
  <c r="T23" i="71" s="1"/>
  <c r="M533" i="5"/>
  <c r="M624" i="5"/>
  <c r="M123" i="5"/>
  <c r="D97" i="51" s="1"/>
  <c r="I97" i="51" s="1"/>
  <c r="J97" i="51" s="1"/>
  <c r="M647" i="5"/>
  <c r="M654" i="5"/>
  <c r="I688" i="5"/>
  <c r="M449" i="5"/>
  <c r="W28" i="75" s="1"/>
  <c r="M352" i="5"/>
  <c r="T28" i="75" s="1"/>
  <c r="M321" i="5"/>
  <c r="S28" i="75" s="1"/>
  <c r="M310" i="5"/>
  <c r="S18" i="75" s="1"/>
  <c r="M279" i="5"/>
  <c r="M332" i="5"/>
  <c r="M270" i="5"/>
  <c r="M619" i="5"/>
  <c r="M609" i="5"/>
  <c r="M592" i="5"/>
  <c r="M574" i="5"/>
  <c r="AA22" i="71" s="1"/>
  <c r="M503" i="5"/>
  <c r="M470" i="5"/>
  <c r="M417" i="5"/>
  <c r="M406" i="5"/>
  <c r="M373" i="5"/>
  <c r="M247" i="5"/>
  <c r="Q17" i="71" s="1"/>
  <c r="I705" i="5"/>
  <c r="M118" i="5"/>
  <c r="K290" i="50" s="1"/>
  <c r="M85" i="5"/>
  <c r="K241" i="50" s="1"/>
  <c r="L651" i="5"/>
  <c r="M99" i="5"/>
  <c r="M462" i="5"/>
  <c r="M532" i="5"/>
  <c r="I712" i="5"/>
  <c r="M445" i="5"/>
  <c r="W24" i="75" s="1"/>
  <c r="M358" i="5"/>
  <c r="T34" i="75" s="1"/>
  <c r="M348" i="5"/>
  <c r="T24" i="75" s="1"/>
  <c r="M327" i="5"/>
  <c r="S34" i="75" s="1"/>
  <c r="M317" i="5"/>
  <c r="S24" i="75" s="1"/>
  <c r="M296" i="5"/>
  <c r="R34" i="75" s="1"/>
  <c r="M430" i="5"/>
  <c r="W11" i="75" s="1"/>
  <c r="M302" i="5"/>
  <c r="S11" i="75" s="1"/>
  <c r="M615" i="5"/>
  <c r="AB29" i="75" s="1"/>
  <c r="M604" i="5"/>
  <c r="M581" i="5"/>
  <c r="AA29" i="71" s="1"/>
  <c r="M520" i="5"/>
  <c r="Y33" i="75" s="1"/>
  <c r="M493" i="5"/>
  <c r="M487" i="5"/>
  <c r="X33" i="75" s="1"/>
  <c r="M460" i="5"/>
  <c r="X10" i="75" s="1"/>
  <c r="M423" i="5"/>
  <c r="M413" i="5"/>
  <c r="V23" i="75" s="1"/>
  <c r="M396" i="5"/>
  <c r="V10" i="75" s="1"/>
  <c r="M390" i="5"/>
  <c r="U33" i="75" s="1"/>
  <c r="M380" i="5"/>
  <c r="U23" i="75" s="1"/>
  <c r="M363" i="5"/>
  <c r="M264" i="5"/>
  <c r="M237" i="5"/>
  <c r="Q10" i="75" s="1"/>
  <c r="M81" i="5"/>
  <c r="D64" i="47" s="1"/>
  <c r="M42" i="5"/>
  <c r="H29" i="72" s="1"/>
  <c r="M40" i="5"/>
  <c r="K136" i="50" s="1"/>
  <c r="M67" i="5"/>
  <c r="L9" i="68" s="1"/>
  <c r="M77" i="5"/>
  <c r="L17" i="68" s="1"/>
  <c r="M114" i="5"/>
  <c r="L50" i="68" s="1"/>
  <c r="S52" i="71" s="1"/>
  <c r="M636" i="5"/>
  <c r="M643" i="5"/>
  <c r="M653" i="5"/>
  <c r="K172" i="5"/>
  <c r="L606" i="5"/>
  <c r="M12" i="5"/>
  <c r="H9" i="68" s="1"/>
  <c r="M22" i="5"/>
  <c r="H18" i="68" s="1"/>
  <c r="M80" i="5"/>
  <c r="L20" i="68" s="1"/>
  <c r="M272" i="5"/>
  <c r="M526" i="5"/>
  <c r="Z10" i="71" s="1"/>
  <c r="M529" i="5"/>
  <c r="Z12" i="71" s="1"/>
  <c r="M542" i="5"/>
  <c r="Z23" i="71" s="1"/>
  <c r="M547" i="5"/>
  <c r="Z28" i="71" s="1"/>
  <c r="M626" i="5"/>
  <c r="M632" i="5"/>
  <c r="M448" i="5"/>
  <c r="W27" i="75" s="1"/>
  <c r="M351" i="5"/>
  <c r="T27" i="75" s="1"/>
  <c r="M340" i="5"/>
  <c r="T17" i="75" s="1"/>
  <c r="M309" i="5"/>
  <c r="S17" i="75" s="1"/>
  <c r="M289" i="5"/>
  <c r="R27" i="75" s="1"/>
  <c r="M331" i="5"/>
  <c r="M269" i="5"/>
  <c r="R9" i="75" s="1"/>
  <c r="M607" i="5"/>
  <c r="AB22" i="75" s="1"/>
  <c r="M572" i="5"/>
  <c r="AA20" i="71" s="1"/>
  <c r="M489" i="5"/>
  <c r="M480" i="5"/>
  <c r="M425" i="5"/>
  <c r="M392" i="5"/>
  <c r="M383" i="5"/>
  <c r="U27" i="71" s="1"/>
  <c r="M266" i="5"/>
  <c r="M600" i="5"/>
  <c r="K501" i="5"/>
  <c r="M276" i="5"/>
  <c r="I707" i="5"/>
  <c r="M34" i="5"/>
  <c r="K115" i="50" s="1"/>
  <c r="M32" i="5"/>
  <c r="K111" i="50" s="1"/>
  <c r="M30" i="5"/>
  <c r="M303" i="5"/>
  <c r="M635" i="5"/>
  <c r="M642" i="5"/>
  <c r="M649" i="5"/>
  <c r="M652" i="5"/>
  <c r="M454" i="5"/>
  <c r="M444" i="5"/>
  <c r="M357" i="5"/>
  <c r="M347" i="5"/>
  <c r="M326" i="5"/>
  <c r="M295" i="5"/>
  <c r="M285" i="5"/>
  <c r="R23" i="75" s="1"/>
  <c r="M301" i="5"/>
  <c r="S10" i="75" s="1"/>
  <c r="M614" i="5"/>
  <c r="M603" i="5"/>
  <c r="M580" i="5"/>
  <c r="AA28" i="71" s="1"/>
  <c r="M569" i="5"/>
  <c r="Z17" i="75" s="1"/>
  <c r="M508" i="5"/>
  <c r="M485" i="5"/>
  <c r="X31" i="75" s="1"/>
  <c r="M475" i="5"/>
  <c r="X22" i="75" s="1"/>
  <c r="M459" i="5"/>
  <c r="M388" i="5"/>
  <c r="M378" i="5"/>
  <c r="U22" i="75" s="1"/>
  <c r="M362" i="5"/>
  <c r="M262" i="5"/>
  <c r="K158" i="5"/>
  <c r="K161" i="5" s="1"/>
  <c r="K163" i="5" s="1"/>
  <c r="K169" i="5" s="1"/>
  <c r="L172" i="5"/>
  <c r="M103" i="5"/>
  <c r="L30" i="72" s="1"/>
  <c r="M90" i="5"/>
  <c r="M54" i="5"/>
  <c r="K187" i="50" s="1"/>
  <c r="M20" i="5"/>
  <c r="K52" i="50" s="1"/>
  <c r="L552" i="5"/>
  <c r="M43" i="5"/>
  <c r="D35" i="47" s="1"/>
  <c r="M79" i="5"/>
  <c r="L19" i="68" s="1"/>
  <c r="M284" i="5"/>
  <c r="R23" i="71" s="1"/>
  <c r="F313" i="5"/>
  <c r="M334" i="5"/>
  <c r="M365" i="5"/>
  <c r="M536" i="5"/>
  <c r="Z17" i="71" s="1"/>
  <c r="M541" i="5"/>
  <c r="Z22" i="71" s="1"/>
  <c r="M544" i="5"/>
  <c r="Z25" i="71" s="1"/>
  <c r="M549" i="5"/>
  <c r="Z30" i="71" s="1"/>
  <c r="M554" i="5"/>
  <c r="Z35" i="71" s="1"/>
  <c r="M561" i="5"/>
  <c r="M450" i="5"/>
  <c r="W29" i="75" s="1"/>
  <c r="M439" i="5"/>
  <c r="W19" i="75" s="1"/>
  <c r="M353" i="5"/>
  <c r="T29" i="75" s="1"/>
  <c r="M342" i="5"/>
  <c r="T19" i="75" s="1"/>
  <c r="M322" i="5"/>
  <c r="S29" i="75" s="1"/>
  <c r="M280" i="5"/>
  <c r="M271" i="5"/>
  <c r="M610" i="5"/>
  <c r="M593" i="5"/>
  <c r="M586" i="5"/>
  <c r="AA34" i="71" s="1"/>
  <c r="M482" i="5"/>
  <c r="M471" i="5"/>
  <c r="M418" i="5"/>
  <c r="M385" i="5"/>
  <c r="M374" i="5"/>
  <c r="M259" i="5"/>
  <c r="M338" i="5"/>
  <c r="T15" i="75" s="1"/>
  <c r="I687" i="5"/>
  <c r="I680" i="5"/>
  <c r="M101" i="5"/>
  <c r="K268" i="50" s="1"/>
  <c r="M51" i="5"/>
  <c r="K179" i="50" s="1"/>
  <c r="M44" i="5"/>
  <c r="K156" i="50" s="1"/>
  <c r="M17" i="5"/>
  <c r="M37" i="5"/>
  <c r="H33" i="68" s="1"/>
  <c r="M495" i="5"/>
  <c r="M525" i="5"/>
  <c r="Z9" i="71" s="1"/>
  <c r="M528" i="5"/>
  <c r="M546" i="5"/>
  <c r="Z27" i="71" s="1"/>
  <c r="M638" i="5"/>
  <c r="M641" i="5"/>
  <c r="M648" i="5"/>
  <c r="M456" i="5"/>
  <c r="W35" i="75" s="1"/>
  <c r="M447" i="5"/>
  <c r="M359" i="5"/>
  <c r="M328" i="5"/>
  <c r="M288" i="5"/>
  <c r="M432" i="5"/>
  <c r="M605" i="5"/>
  <c r="AB20" i="75" s="1"/>
  <c r="M571" i="5"/>
  <c r="AA19" i="71" s="1"/>
  <c r="M521" i="5"/>
  <c r="M511" i="5"/>
  <c r="M478" i="5"/>
  <c r="M461" i="5"/>
  <c r="X11" i="71" s="1"/>
  <c r="M424" i="5"/>
  <c r="M414" i="5"/>
  <c r="M364" i="5"/>
  <c r="U11" i="75" s="1"/>
  <c r="M265" i="5"/>
  <c r="M255" i="5"/>
  <c r="I691" i="5"/>
  <c r="M52" i="5"/>
  <c r="K181" i="50" s="1"/>
  <c r="E14" i="6"/>
  <c r="E15" i="6" s="1"/>
  <c r="F16" i="6" s="1"/>
  <c r="F13" i="6"/>
  <c r="D10" i="6"/>
  <c r="D11" i="6" s="1"/>
  <c r="G10" i="6"/>
  <c r="F19" i="6"/>
  <c r="F21" i="6"/>
  <c r="F26" i="6"/>
  <c r="F35" i="6"/>
  <c r="F37" i="6"/>
  <c r="F28" i="6"/>
  <c r="J367" i="5"/>
  <c r="M84" i="5"/>
  <c r="L18" i="72" s="1"/>
  <c r="Q14" i="2"/>
  <c r="F861" i="5"/>
  <c r="AB40" i="2"/>
  <c r="AB54" i="2" s="1"/>
  <c r="AB56" i="2" s="1"/>
  <c r="AB57" i="2" s="1"/>
  <c r="J585" i="5"/>
  <c r="J502" i="5"/>
  <c r="J791" i="5"/>
  <c r="J865" i="5"/>
  <c r="F849" i="5"/>
  <c r="J861" i="5"/>
  <c r="F857" i="5"/>
  <c r="J833" i="5"/>
  <c r="J805" i="5"/>
  <c r="J837" i="5"/>
  <c r="F873" i="5"/>
  <c r="F108" i="5"/>
  <c r="J453" i="5"/>
  <c r="M74" i="5"/>
  <c r="K222" i="50" s="1"/>
  <c r="M115" i="5"/>
  <c r="F66" i="51"/>
  <c r="J263" i="5"/>
  <c r="F519" i="5"/>
  <c r="F389" i="5"/>
  <c r="F845" i="5"/>
  <c r="J377" i="5"/>
  <c r="F497" i="5"/>
  <c r="K6082" i="18"/>
  <c r="L6083" i="18" s="1"/>
  <c r="J422" i="5"/>
  <c r="J415" i="5" s="1"/>
  <c r="F72" i="5"/>
  <c r="F92" i="5" s="1"/>
  <c r="M120" i="5"/>
  <c r="M86" i="5"/>
  <c r="N3828" i="18" s="1"/>
  <c r="M73" i="5"/>
  <c r="L12" i="72" s="1"/>
  <c r="J241" i="5"/>
  <c r="F433" i="5"/>
  <c r="F68" i="51"/>
  <c r="M111" i="5"/>
  <c r="M107" i="5"/>
  <c r="K281" i="50" s="1"/>
  <c r="M89" i="5"/>
  <c r="M82" i="5"/>
  <c r="K237" i="50" s="1"/>
  <c r="J573" i="5"/>
  <c r="E72" i="74"/>
  <c r="H5124" i="18" s="1"/>
  <c r="M631" i="5"/>
  <c r="J405" i="5"/>
  <c r="M105" i="5"/>
  <c r="K280" i="50" s="1"/>
  <c r="M100" i="5"/>
  <c r="M95" i="5"/>
  <c r="K259" i="50" s="1"/>
  <c r="M71" i="5"/>
  <c r="M70" i="5"/>
  <c r="M68" i="5"/>
  <c r="L10" i="68" s="1"/>
  <c r="M113" i="5"/>
  <c r="M87" i="5"/>
  <c r="L26" i="68" s="1"/>
  <c r="J372" i="5"/>
  <c r="M98" i="5"/>
  <c r="M75" i="5"/>
  <c r="K225" i="50" s="1"/>
  <c r="K6091" i="18"/>
  <c r="L6092" i="18" s="1"/>
  <c r="E74" i="70"/>
  <c r="M88" i="5"/>
  <c r="L27" i="68" s="1"/>
  <c r="F486" i="5"/>
  <c r="J519" i="5"/>
  <c r="F761" i="5"/>
  <c r="I761" i="5" s="1"/>
  <c r="M94" i="5"/>
  <c r="L33" i="68" s="1"/>
  <c r="F585" i="5"/>
  <c r="J486" i="5"/>
  <c r="F573" i="5"/>
  <c r="M97" i="5"/>
  <c r="M116" i="5"/>
  <c r="M112" i="5"/>
  <c r="M102" i="5"/>
  <c r="K270" i="50" s="1"/>
  <c r="M66" i="5"/>
  <c r="K211" i="50" s="1"/>
  <c r="M106" i="5"/>
  <c r="F464" i="5"/>
  <c r="E73" i="70"/>
  <c r="J596" i="5"/>
  <c r="F80" i="70"/>
  <c r="J464" i="5"/>
  <c r="F74" i="70"/>
  <c r="F82" i="70"/>
  <c r="F325" i="5"/>
  <c r="F507" i="5"/>
  <c r="M311" i="5"/>
  <c r="M575" i="5"/>
  <c r="AA23" i="71" s="1"/>
  <c r="J433" i="5"/>
  <c r="J203" i="5"/>
  <c r="J611" i="5"/>
  <c r="J227" i="5"/>
  <c r="J563" i="5"/>
  <c r="F568" i="5"/>
  <c r="J339" i="5"/>
  <c r="M48" i="5"/>
  <c r="H34" i="72" s="1"/>
  <c r="E77" i="70"/>
  <c r="K6124" i="18"/>
  <c r="L6125" i="18" s="1"/>
  <c r="F479" i="5"/>
  <c r="J479" i="5"/>
  <c r="F422" i="5"/>
  <c r="F415" i="5" s="1"/>
  <c r="K6144" i="18"/>
  <c r="L6145" i="18" s="1"/>
  <c r="J601" i="5"/>
  <c r="F502" i="5"/>
  <c r="M429" i="5"/>
  <c r="K6062" i="18"/>
  <c r="L6063" i="18" s="1"/>
  <c r="J446" i="5"/>
  <c r="F84" i="70"/>
  <c r="F207" i="5"/>
  <c r="M53" i="5"/>
  <c r="M41" i="5"/>
  <c r="K138" i="50" s="1"/>
  <c r="M315" i="5"/>
  <c r="S23" i="71" s="1"/>
  <c r="F226" i="5"/>
  <c r="E71" i="70"/>
  <c r="J474" i="5"/>
  <c r="J540" i="5"/>
  <c r="J552" i="5"/>
  <c r="Q5156" i="18"/>
  <c r="M239" i="5"/>
  <c r="J308" i="5"/>
  <c r="E61" i="74"/>
  <c r="H5109" i="18" s="1"/>
  <c r="E78" i="70"/>
  <c r="K6135" i="18"/>
  <c r="L6136" i="18" s="1"/>
  <c r="E70" i="74"/>
  <c r="H5122" i="18" s="1"/>
  <c r="E87" i="70"/>
  <c r="E55" i="74"/>
  <c r="H5103" i="18" s="1"/>
  <c r="K6073" i="18"/>
  <c r="L6074" i="18" s="1"/>
  <c r="F214" i="5"/>
  <c r="J578" i="5"/>
  <c r="M21" i="5"/>
  <c r="K61" i="50" s="1"/>
  <c r="J211" i="5"/>
  <c r="M236" i="5"/>
  <c r="K6184" i="18"/>
  <c r="L6185" i="18" s="1"/>
  <c r="E75" i="70"/>
  <c r="F256" i="5"/>
  <c r="J277" i="5"/>
  <c r="M248" i="5"/>
  <c r="M45" i="5"/>
  <c r="K159" i="50" s="1"/>
  <c r="M594" i="5"/>
  <c r="M431" i="5"/>
  <c r="M628" i="5"/>
  <c r="M476" i="5"/>
  <c r="X23" i="71" s="1"/>
  <c r="F356" i="5"/>
  <c r="J63" i="5"/>
  <c r="F274" i="5"/>
  <c r="J313" i="5"/>
  <c r="M57" i="5"/>
  <c r="K193" i="50" s="1"/>
  <c r="K6105" i="18"/>
  <c r="L6106" i="18" s="1"/>
  <c r="J274" i="5"/>
  <c r="J629" i="5"/>
  <c r="F634" i="5"/>
  <c r="F639" i="5"/>
  <c r="F224" i="5"/>
  <c r="E82" i="70"/>
  <c r="F382" i="5"/>
  <c r="J214" i="5"/>
  <c r="J382" i="5"/>
  <c r="E91" i="70"/>
  <c r="F216" i="5"/>
  <c r="F46" i="52"/>
  <c r="F618" i="5"/>
  <c r="F372" i="5"/>
  <c r="J512" i="5"/>
  <c r="M504" i="5"/>
  <c r="Y18" i="75" s="1"/>
  <c r="M416" i="5"/>
  <c r="E66" i="74"/>
  <c r="H5114" i="18" s="1"/>
  <c r="E83" i="70"/>
  <c r="K6211" i="18"/>
  <c r="L6212" i="18" s="1"/>
  <c r="E59" i="74"/>
  <c r="H5107" i="18" s="1"/>
  <c r="E76" i="70"/>
  <c r="F474" i="5"/>
  <c r="F222" i="5"/>
  <c r="I763" i="5"/>
  <c r="F55" i="74"/>
  <c r="I5103" i="18" s="1"/>
  <c r="F72" i="70"/>
  <c r="F545" i="5"/>
  <c r="F535" i="5"/>
  <c r="F228" i="5"/>
  <c r="F211" i="5"/>
  <c r="K37" i="50"/>
  <c r="J251" i="5"/>
  <c r="F227" i="5"/>
  <c r="F287" i="5"/>
  <c r="F436" i="5"/>
  <c r="F318" i="5"/>
  <c r="E88" i="70"/>
  <c r="E71" i="74"/>
  <c r="H5123" i="18" s="1"/>
  <c r="F282" i="5"/>
  <c r="J507" i="5"/>
  <c r="M509" i="5"/>
  <c r="Y23" i="71" s="1"/>
  <c r="M539" i="5"/>
  <c r="J217" i="5"/>
  <c r="F606" i="5"/>
  <c r="F72" i="74"/>
  <c r="I5124" i="18" s="1"/>
  <c r="F89" i="70"/>
  <c r="E67" i="74"/>
  <c r="H5115" i="18" s="1"/>
  <c r="E84" i="70"/>
  <c r="F221" i="5"/>
  <c r="N1616" i="18"/>
  <c r="O1617" i="18" s="1"/>
  <c r="F263" i="5"/>
  <c r="M496" i="5"/>
  <c r="M62" i="5"/>
  <c r="F530" i="5"/>
  <c r="F204" i="5"/>
  <c r="J282" i="5"/>
  <c r="F853" i="5"/>
  <c r="J857" i="5"/>
  <c r="E98" i="8"/>
  <c r="L1857" i="18"/>
  <c r="M15" i="5"/>
  <c r="H10" i="72" s="1"/>
  <c r="M379" i="5"/>
  <c r="U23" i="71" s="1"/>
  <c r="M627" i="5"/>
  <c r="J356" i="5"/>
  <c r="F251" i="5"/>
  <c r="F231" i="5"/>
  <c r="F837" i="5"/>
  <c r="J853" i="5"/>
  <c r="J873" i="5"/>
  <c r="F344" i="5"/>
  <c r="J497" i="5"/>
  <c r="M341" i="5"/>
  <c r="F69" i="70"/>
  <c r="F76" i="70"/>
  <c r="J336" i="5"/>
  <c r="F841" i="5"/>
  <c r="J849" i="5"/>
  <c r="J349" i="5"/>
  <c r="E79" i="70"/>
  <c r="F349" i="5"/>
  <c r="F336" i="5"/>
  <c r="J325" i="5"/>
  <c r="F651" i="5"/>
  <c r="J606" i="5"/>
  <c r="J841" i="5"/>
  <c r="J845" i="5"/>
  <c r="F400" i="5"/>
  <c r="F818" i="5"/>
  <c r="F796" i="5"/>
  <c r="F277" i="5"/>
  <c r="M281" i="5"/>
  <c r="J618" i="5"/>
  <c r="M582" i="5"/>
  <c r="AA29" i="75" s="1"/>
  <c r="M387" i="5"/>
  <c r="E72" i="70"/>
  <c r="F83" i="70"/>
  <c r="F73" i="70"/>
  <c r="F596" i="5"/>
  <c r="F241" i="5"/>
  <c r="J294" i="5"/>
  <c r="F833" i="5"/>
  <c r="F865" i="5"/>
  <c r="J869" i="5"/>
  <c r="J792" i="5"/>
  <c r="F377" i="5"/>
  <c r="F540" i="5"/>
  <c r="J545" i="5"/>
  <c r="J818" i="5"/>
  <c r="J222" i="5"/>
  <c r="J225" i="5"/>
  <c r="F797" i="5"/>
  <c r="M477" i="5"/>
  <c r="F203" i="5"/>
  <c r="M38" i="5"/>
  <c r="K122" i="50" s="1"/>
  <c r="M553" i="5"/>
  <c r="F63" i="5"/>
  <c r="E53" i="74"/>
  <c r="H5101" i="18" s="1"/>
  <c r="E70" i="70"/>
  <c r="F308" i="5"/>
  <c r="F232" i="5"/>
  <c r="F35" i="5"/>
  <c r="J644" i="5"/>
  <c r="M645" i="5"/>
  <c r="F75" i="74"/>
  <c r="F62" i="74"/>
  <c r="I5110" i="18" s="1"/>
  <c r="F79" i="70"/>
  <c r="E52" i="74"/>
  <c r="H5100" i="18" s="1"/>
  <c r="E69" i="70"/>
  <c r="M398" i="5"/>
  <c r="J651" i="5"/>
  <c r="F54" i="74"/>
  <c r="I5102" i="18" s="1"/>
  <c r="F71" i="70"/>
  <c r="F225" i="5"/>
  <c r="M291" i="5"/>
  <c r="J287" i="5"/>
  <c r="F563" i="5"/>
  <c r="F629" i="5"/>
  <c r="F71" i="74"/>
  <c r="I5123" i="18" s="1"/>
  <c r="F88" i="70"/>
  <c r="E64" i="74"/>
  <c r="H5112" i="18" s="1"/>
  <c r="E81" i="70"/>
  <c r="F339" i="5"/>
  <c r="F552" i="5"/>
  <c r="F405" i="5"/>
  <c r="M319" i="5"/>
  <c r="J318" i="5"/>
  <c r="M543" i="5"/>
  <c r="M646" i="5"/>
  <c r="J232" i="5"/>
  <c r="F51" i="52"/>
  <c r="F60" i="74"/>
  <c r="I5108" i="18" s="1"/>
  <c r="F77" i="70"/>
  <c r="F53" i="74"/>
  <c r="I5101" i="18" s="1"/>
  <c r="F70" i="70"/>
  <c r="E63" i="74"/>
  <c r="H5111" i="18" s="1"/>
  <c r="K6153" i="18"/>
  <c r="L6154" i="18" s="1"/>
  <c r="M438" i="5"/>
  <c r="J436" i="5"/>
  <c r="J207" i="5"/>
  <c r="J220" i="5"/>
  <c r="J410" i="5"/>
  <c r="M412" i="5"/>
  <c r="J530" i="5"/>
  <c r="M527" i="5"/>
  <c r="J226" i="5"/>
  <c r="M548" i="5"/>
  <c r="J634" i="5"/>
  <c r="M637" i="5"/>
  <c r="J639" i="5"/>
  <c r="J219" i="5"/>
  <c r="M640" i="5"/>
  <c r="F611" i="5"/>
  <c r="F446" i="5"/>
  <c r="F469" i="5"/>
  <c r="F84" i="51"/>
  <c r="E76" i="74"/>
  <c r="E93" i="70"/>
  <c r="F453" i="5"/>
  <c r="F512" i="5"/>
  <c r="F233" i="5"/>
  <c r="J305" i="5"/>
  <c r="F305" i="5"/>
  <c r="J441" i="5"/>
  <c r="M443" i="5"/>
  <c r="J535" i="5"/>
  <c r="J215" i="5"/>
  <c r="M550" i="5"/>
  <c r="Z31" i="71" s="1"/>
  <c r="J228" i="5"/>
  <c r="J233" i="5"/>
  <c r="M555" i="5"/>
  <c r="Z36" i="71" s="1"/>
  <c r="F77" i="74"/>
  <c r="I5133" i="18" s="1"/>
  <c r="F94" i="70"/>
  <c r="F118" i="70" s="1"/>
  <c r="F64" i="74"/>
  <c r="I5112" i="18" s="1"/>
  <c r="F81" i="70"/>
  <c r="F246" i="5"/>
  <c r="J224" i="5"/>
  <c r="J204" i="5"/>
  <c r="F367" i="5"/>
  <c r="J35" i="5"/>
  <c r="J64" i="5" s="1"/>
  <c r="J786" i="5" s="1"/>
  <c r="F28" i="51"/>
  <c r="F441" i="5"/>
  <c r="J796" i="5"/>
  <c r="M333" i="5"/>
  <c r="M240" i="5"/>
  <c r="M61" i="5"/>
  <c r="M49" i="5"/>
  <c r="K170" i="50" s="1"/>
  <c r="M286" i="5"/>
  <c r="M397" i="5"/>
  <c r="M253" i="5"/>
  <c r="Q23" i="71" s="1"/>
  <c r="J389" i="5"/>
  <c r="J256" i="5"/>
  <c r="J229" i="5"/>
  <c r="F578" i="5"/>
  <c r="F205" i="5"/>
  <c r="F217" i="5"/>
  <c r="M304" i="5"/>
  <c r="M484" i="5"/>
  <c r="M46" i="5"/>
  <c r="K162" i="50" s="1"/>
  <c r="L1856" i="18"/>
  <c r="J216" i="5"/>
  <c r="M510" i="5"/>
  <c r="M345" i="5"/>
  <c r="M254" i="5"/>
  <c r="J344" i="5"/>
  <c r="F219" i="5"/>
  <c r="M595" i="5"/>
  <c r="M376" i="5"/>
  <c r="F53" i="52"/>
  <c r="F644" i="5"/>
  <c r="J221" i="5"/>
  <c r="F206" i="5"/>
  <c r="J231" i="5"/>
  <c r="J205" i="5"/>
  <c r="F601" i="5"/>
  <c r="H40" i="72"/>
  <c r="M56" i="5"/>
  <c r="F220" i="5"/>
  <c r="K148" i="50"/>
  <c r="K147" i="50"/>
  <c r="F215" i="5"/>
  <c r="J206" i="5"/>
  <c r="M616" i="5"/>
  <c r="M481" i="5"/>
  <c r="M395" i="5"/>
  <c r="M58" i="5"/>
  <c r="M50" i="5"/>
  <c r="K178" i="50" s="1"/>
  <c r="M33" i="5"/>
  <c r="K113" i="50" s="1"/>
  <c r="M25" i="5"/>
  <c r="M437" i="5"/>
  <c r="M297" i="5"/>
  <c r="M494" i="5"/>
  <c r="M488" i="5"/>
  <c r="M391" i="5"/>
  <c r="M27" i="5"/>
  <c r="K67" i="50" s="1"/>
  <c r="M587" i="5"/>
  <c r="AA34" i="75" s="1"/>
  <c r="M472" i="5"/>
  <c r="M258" i="5"/>
  <c r="M307" i="5"/>
  <c r="M47" i="5"/>
  <c r="K166" i="50" s="1"/>
  <c r="M39" i="5"/>
  <c r="K126" i="50" s="1"/>
  <c r="M11" i="5"/>
  <c r="K9" i="50" s="1"/>
  <c r="M320" i="5"/>
  <c r="M290" i="5"/>
  <c r="M620" i="5"/>
  <c r="M559" i="5"/>
  <c r="M513" i="5"/>
  <c r="M411" i="5"/>
  <c r="M399" i="5"/>
  <c r="M381" i="5"/>
  <c r="M249" i="5"/>
  <c r="F78" i="69"/>
  <c r="M350" i="5"/>
  <c r="M316" i="5"/>
  <c r="M518" i="5"/>
  <c r="M463" i="5"/>
  <c r="M407" i="5"/>
  <c r="M257" i="5"/>
  <c r="M18" i="5"/>
  <c r="K26" i="50" s="1"/>
  <c r="F87" i="70"/>
  <c r="F70" i="74"/>
  <c r="I5122" i="18" s="1"/>
  <c r="F410" i="5"/>
  <c r="F54" i="51"/>
  <c r="I694" i="5"/>
  <c r="I669" i="5"/>
  <c r="M455" i="5"/>
  <c r="M300" i="5"/>
  <c r="M355" i="5"/>
  <c r="M278" i="5"/>
  <c r="M584" i="5"/>
  <c r="M570" i="5"/>
  <c r="M522" i="5"/>
  <c r="M515" i="5"/>
  <c r="M505" i="5"/>
  <c r="M238" i="5"/>
  <c r="M579" i="5"/>
  <c r="M558" i="5"/>
  <c r="M492" i="5"/>
  <c r="M384" i="5"/>
  <c r="M617" i="5"/>
  <c r="M583" i="5"/>
  <c r="M576" i="5"/>
  <c r="M514" i="5"/>
  <c r="M366" i="5"/>
  <c r="M591" i="5"/>
  <c r="M252" i="5"/>
  <c r="M560" i="5"/>
  <c r="M421" i="5"/>
  <c r="L404" i="5"/>
  <c r="M104" i="5"/>
  <c r="L178" i="5"/>
  <c r="M119" i="5"/>
  <c r="M69" i="5"/>
  <c r="M60" i="5"/>
  <c r="M55" i="5"/>
  <c r="K152" i="50"/>
  <c r="K36" i="50"/>
  <c r="M157" i="5"/>
  <c r="M153" i="5"/>
  <c r="M148" i="5"/>
  <c r="M142" i="5"/>
  <c r="M160" i="5"/>
  <c r="M28" i="5"/>
  <c r="M155" i="5"/>
  <c r="M150" i="5"/>
  <c r="M144" i="5"/>
  <c r="M133" i="5"/>
  <c r="Q3657" i="18" l="1"/>
  <c r="K3652" i="18"/>
  <c r="K3653" i="18" s="1"/>
  <c r="K3654" i="18" s="1"/>
  <c r="K3655" i="18" s="1"/>
  <c r="L3655" i="18" s="1"/>
  <c r="K3628" i="18"/>
  <c r="K3043" i="18"/>
  <c r="P3108" i="18"/>
  <c r="P3109" i="18" s="1"/>
  <c r="P3110" i="18" s="1"/>
  <c r="K3111" i="18"/>
  <c r="L3111" i="18" s="1"/>
  <c r="Q3043" i="18"/>
  <c r="P2696" i="18"/>
  <c r="K171" i="5"/>
  <c r="K170" i="5" s="1"/>
  <c r="H709" i="5"/>
  <c r="L121" i="5"/>
  <c r="L169" i="5"/>
  <c r="M169" i="5" s="1"/>
  <c r="K197" i="50"/>
  <c r="L29" i="68"/>
  <c r="K251" i="50"/>
  <c r="K49" i="50"/>
  <c r="K50" i="50"/>
  <c r="K56" i="50"/>
  <c r="L109" i="5"/>
  <c r="D24" i="47"/>
  <c r="K109" i="50"/>
  <c r="K102" i="50"/>
  <c r="K108" i="50"/>
  <c r="K59" i="50"/>
  <c r="K109" i="5"/>
  <c r="H11" i="68"/>
  <c r="M792" i="5"/>
  <c r="K53" i="50"/>
  <c r="K261" i="50"/>
  <c r="M769" i="5"/>
  <c r="H11" i="72"/>
  <c r="L597" i="5"/>
  <c r="L622" i="5" s="1"/>
  <c r="L64" i="5"/>
  <c r="G697" i="5"/>
  <c r="G327" i="50"/>
  <c r="K43" i="50"/>
  <c r="F39" i="74"/>
  <c r="J92" i="5"/>
  <c r="J109" i="5" s="1"/>
  <c r="J125" i="5" s="1"/>
  <c r="J787" i="5" s="1"/>
  <c r="J788" i="5" s="1"/>
  <c r="J789" i="5" s="1"/>
  <c r="F41" i="73"/>
  <c r="K123" i="50"/>
  <c r="D122" i="47"/>
  <c r="K167" i="50"/>
  <c r="F63" i="69"/>
  <c r="M194" i="5"/>
  <c r="M802" i="5" s="1"/>
  <c r="D77" i="47"/>
  <c r="F169" i="5"/>
  <c r="F791" i="5" s="1"/>
  <c r="L41" i="72"/>
  <c r="S51" i="75" s="1"/>
  <c r="L4540" i="18"/>
  <c r="F40" i="70"/>
  <c r="F16" i="74"/>
  <c r="F52" i="70"/>
  <c r="F57" i="70" s="1"/>
  <c r="F120" i="70"/>
  <c r="F121" i="70" s="1"/>
  <c r="M709" i="5"/>
  <c r="F35" i="74"/>
  <c r="F11" i="74"/>
  <c r="F683" i="5"/>
  <c r="F825" i="5" s="1"/>
  <c r="J683" i="5"/>
  <c r="J825" i="5" s="1"/>
  <c r="F21" i="70"/>
  <c r="F32" i="70"/>
  <c r="F46" i="70"/>
  <c r="G336" i="50"/>
  <c r="M697" i="5"/>
  <c r="F24" i="74"/>
  <c r="E19" i="74"/>
  <c r="E36" i="70"/>
  <c r="K5933" i="18"/>
  <c r="L5934" i="18" s="1"/>
  <c r="F29" i="74"/>
  <c r="F709" i="5"/>
  <c r="F711" i="5" s="1"/>
  <c r="J709" i="5"/>
  <c r="J711" i="5" s="1"/>
  <c r="K5995" i="18"/>
  <c r="L5996" i="18" s="1"/>
  <c r="M683" i="5"/>
  <c r="E126" i="8"/>
  <c r="E65" i="8"/>
  <c r="E118" i="8" s="1"/>
  <c r="E119" i="8" s="1"/>
  <c r="E120" i="8" s="1"/>
  <c r="E89" i="21"/>
  <c r="E105" i="21"/>
  <c r="F58" i="69"/>
  <c r="F35" i="73"/>
  <c r="L465" i="5"/>
  <c r="L490" i="5" s="1"/>
  <c r="K306" i="5"/>
  <c r="K329" i="5" s="1"/>
  <c r="F64" i="69"/>
  <c r="K139" i="50"/>
  <c r="K240" i="50"/>
  <c r="D75" i="47"/>
  <c r="K48" i="50"/>
  <c r="K57" i="50"/>
  <c r="K142" i="50"/>
  <c r="H779" i="5"/>
  <c r="G414" i="5"/>
  <c r="H579" i="5"/>
  <c r="G43" i="5"/>
  <c r="G520" i="5"/>
  <c r="G279" i="5"/>
  <c r="G88" i="5"/>
  <c r="H554" i="5"/>
  <c r="H500" i="5"/>
  <c r="G553" i="5"/>
  <c r="H319" i="5"/>
  <c r="G612" i="5"/>
  <c r="H628" i="5"/>
  <c r="H776" i="5"/>
  <c r="G278" i="5"/>
  <c r="G359" i="5"/>
  <c r="G292" i="5"/>
  <c r="G543" i="5"/>
  <c r="G296" i="5"/>
  <c r="H448" i="5"/>
  <c r="G113" i="5"/>
  <c r="H447" i="5"/>
  <c r="G510" i="5"/>
  <c r="K257" i="50"/>
  <c r="K260" i="50"/>
  <c r="K258" i="50"/>
  <c r="N70" i="18"/>
  <c r="O71" i="18" s="1"/>
  <c r="H9" i="72"/>
  <c r="L230" i="5"/>
  <c r="D14" i="47"/>
  <c r="K66" i="50"/>
  <c r="K264" i="50"/>
  <c r="D70" i="47"/>
  <c r="D14" i="51"/>
  <c r="I14" i="51" s="1"/>
  <c r="J14" i="51" s="1"/>
  <c r="K208" i="50"/>
  <c r="K235" i="50"/>
  <c r="D64" i="51"/>
  <c r="I64" i="51" s="1"/>
  <c r="J64" i="51" s="1"/>
  <c r="L21" i="72"/>
  <c r="L23" i="68"/>
  <c r="K210" i="50"/>
  <c r="L22" i="72"/>
  <c r="L15" i="72"/>
  <c r="D92" i="51"/>
  <c r="I92" i="51" s="1"/>
  <c r="J92" i="51" s="1"/>
  <c r="K236" i="50"/>
  <c r="K207" i="50"/>
  <c r="K218" i="50"/>
  <c r="H594" i="5"/>
  <c r="G322" i="5"/>
  <c r="G119" i="5"/>
  <c r="H77" i="5"/>
  <c r="H604" i="5"/>
  <c r="F11" i="52"/>
  <c r="H185" i="5"/>
  <c r="H461" i="5"/>
  <c r="G118" i="5"/>
  <c r="H264" i="5"/>
  <c r="H252" i="5"/>
  <c r="H508" i="5"/>
  <c r="G236" i="5"/>
  <c r="G385" i="5"/>
  <c r="G482" i="5"/>
  <c r="G547" i="5"/>
  <c r="G289" i="5"/>
  <c r="H53" i="5"/>
  <c r="G254" i="5"/>
  <c r="G423" i="5"/>
  <c r="G521" i="5"/>
  <c r="G402" i="5"/>
  <c r="H335" i="5"/>
  <c r="H615" i="5"/>
  <c r="G603" i="5"/>
  <c r="G444" i="5"/>
  <c r="H353" i="5"/>
  <c r="G342" i="5"/>
  <c r="G316" i="5"/>
  <c r="H292" i="5"/>
  <c r="G280" i="5"/>
  <c r="G576" i="5"/>
  <c r="H551" i="5"/>
  <c r="H538" i="5"/>
  <c r="H260" i="5"/>
  <c r="H773" i="5"/>
  <c r="G412" i="5"/>
  <c r="G718" i="5"/>
  <c r="H643" i="5"/>
  <c r="G721" i="5"/>
  <c r="H17" i="5"/>
  <c r="H76" i="5"/>
  <c r="H68" i="5"/>
  <c r="G774" i="5"/>
  <c r="H608" i="5"/>
  <c r="H542" i="5"/>
  <c r="G431" i="5"/>
  <c r="H721" i="5"/>
  <c r="G650" i="5"/>
  <c r="G620" i="5"/>
  <c r="G610" i="5"/>
  <c r="G455" i="5"/>
  <c r="G445" i="5"/>
  <c r="G358" i="5"/>
  <c r="G348" i="5"/>
  <c r="H317" i="5"/>
  <c r="H286" i="5"/>
  <c r="H577" i="5"/>
  <c r="H504" i="5"/>
  <c r="H471" i="5"/>
  <c r="H407" i="5"/>
  <c r="H527" i="5"/>
  <c r="H731" i="5"/>
  <c r="G379" i="5"/>
  <c r="G781" i="5"/>
  <c r="G654" i="5"/>
  <c r="G648" i="5"/>
  <c r="G77" i="5"/>
  <c r="I77" i="5" s="1"/>
  <c r="K17" i="68" s="1"/>
  <c r="H649" i="5"/>
  <c r="G726" i="5"/>
  <c r="H635" i="5"/>
  <c r="G775" i="5"/>
  <c r="G462" i="5"/>
  <c r="G730" i="5"/>
  <c r="G642" i="5"/>
  <c r="G467" i="5"/>
  <c r="G181" i="5"/>
  <c r="H388" i="5"/>
  <c r="H30" i="5"/>
  <c r="G592" i="5"/>
  <c r="G407" i="5"/>
  <c r="G504" i="5"/>
  <c r="G569" i="5"/>
  <c r="G309" i="5"/>
  <c r="H97" i="5"/>
  <c r="G380" i="5"/>
  <c r="G477" i="5"/>
  <c r="G544" i="5"/>
  <c r="G494" i="5"/>
  <c r="H432" i="5"/>
  <c r="G614" i="5"/>
  <c r="G454" i="5"/>
  <c r="G453" i="5" s="1"/>
  <c r="H439" i="5"/>
  <c r="G352" i="5"/>
  <c r="G326" i="5"/>
  <c r="H312" i="5"/>
  <c r="G291" i="5"/>
  <c r="G586" i="5"/>
  <c r="H572" i="5"/>
  <c r="H549" i="5"/>
  <c r="H521" i="5"/>
  <c r="I521" i="5" s="1"/>
  <c r="L34" i="75" s="1"/>
  <c r="H257" i="5"/>
  <c r="G628" i="5"/>
  <c r="I628" i="5" s="1"/>
  <c r="H726" i="5"/>
  <c r="G67" i="5"/>
  <c r="H774" i="5"/>
  <c r="H509" i="5"/>
  <c r="H626" i="5"/>
  <c r="H632" i="5"/>
  <c r="G23" i="5"/>
  <c r="G720" i="5"/>
  <c r="H722" i="5"/>
  <c r="G641" i="5"/>
  <c r="G637" i="5"/>
  <c r="G653" i="5"/>
  <c r="H616" i="5"/>
  <c r="H605" i="5"/>
  <c r="H451" i="5"/>
  <c r="H440" i="5"/>
  <c r="H354" i="5"/>
  <c r="G343" i="5"/>
  <c r="G312" i="5"/>
  <c r="G281" i="5"/>
  <c r="G572" i="5"/>
  <c r="G488" i="5"/>
  <c r="G424" i="5"/>
  <c r="G391" i="5"/>
  <c r="H271" i="5"/>
  <c r="G731" i="5"/>
  <c r="G284" i="5"/>
  <c r="G769" i="5"/>
  <c r="H723" i="5"/>
  <c r="G542" i="5"/>
  <c r="G37" i="5"/>
  <c r="G627" i="5"/>
  <c r="G76" i="5"/>
  <c r="G724" i="5"/>
  <c r="H724" i="5"/>
  <c r="H561" i="5"/>
  <c r="H730" i="5"/>
  <c r="H781" i="5"/>
  <c r="H636" i="5"/>
  <c r="H617" i="5"/>
  <c r="H607" i="5"/>
  <c r="H452" i="5"/>
  <c r="H442" i="5"/>
  <c r="H355" i="5"/>
  <c r="H345" i="5"/>
  <c r="H324" i="5"/>
  <c r="H314" i="5"/>
  <c r="H293" i="5"/>
  <c r="H283" i="5"/>
  <c r="H584" i="5"/>
  <c r="H574" i="5"/>
  <c r="G51" i="5"/>
  <c r="H33" i="5"/>
  <c r="H463" i="5"/>
  <c r="H411" i="5"/>
  <c r="G91" i="5"/>
  <c r="G430" i="5"/>
  <c r="G418" i="5"/>
  <c r="G515" i="5"/>
  <c r="G580" i="5"/>
  <c r="G320" i="5"/>
  <c r="G459" i="5"/>
  <c r="G390" i="5"/>
  <c r="G487" i="5"/>
  <c r="G554" i="5"/>
  <c r="G552" i="5" s="1"/>
  <c r="H560" i="5"/>
  <c r="H529" i="5"/>
  <c r="G609" i="5"/>
  <c r="H450" i="5"/>
  <c r="G438" i="5"/>
  <c r="G347" i="5"/>
  <c r="H323" i="5"/>
  <c r="G311" i="5"/>
  <c r="G285" i="5"/>
  <c r="H583" i="5"/>
  <c r="G571" i="5"/>
  <c r="H544" i="5"/>
  <c r="H518" i="5"/>
  <c r="H249" i="5"/>
  <c r="H303" i="5"/>
  <c r="H720" i="5"/>
  <c r="H769" i="5"/>
  <c r="H725" i="5"/>
  <c r="H43" i="5"/>
  <c r="H728" i="5"/>
  <c r="G778" i="5"/>
  <c r="G772" i="5"/>
  <c r="H114" i="5"/>
  <c r="H412" i="5"/>
  <c r="H772" i="5"/>
  <c r="G626" i="5"/>
  <c r="H528" i="5"/>
  <c r="G615" i="5"/>
  <c r="I615" i="5" s="1"/>
  <c r="O29" i="75" s="1"/>
  <c r="G604" i="5"/>
  <c r="I604" i="5" s="1"/>
  <c r="O19" i="75" s="1"/>
  <c r="G450" i="5"/>
  <c r="G439" i="5"/>
  <c r="G353" i="5"/>
  <c r="H327" i="5"/>
  <c r="H296" i="5"/>
  <c r="H587" i="5"/>
  <c r="H515" i="5"/>
  <c r="H482" i="5"/>
  <c r="H418" i="5"/>
  <c r="H385" i="5"/>
  <c r="G461" i="5"/>
  <c r="I461" i="5" s="1"/>
  <c r="K11" i="75" s="1"/>
  <c r="H253" i="5"/>
  <c r="H645" i="5"/>
  <c r="H732" i="5"/>
  <c r="G723" i="5"/>
  <c r="I723" i="5" s="1"/>
  <c r="H599" i="5"/>
  <c r="H379" i="5"/>
  <c r="G780" i="5"/>
  <c r="H640" i="5"/>
  <c r="H87" i="5"/>
  <c r="H718" i="5"/>
  <c r="H729" i="5"/>
  <c r="H462" i="5"/>
  <c r="H767" i="5"/>
  <c r="H768" i="5"/>
  <c r="G616" i="5"/>
  <c r="G605" i="5"/>
  <c r="D12" i="80"/>
  <c r="D13" i="80" s="1"/>
  <c r="K12" i="80"/>
  <c r="K13" i="80" s="1"/>
  <c r="I12" i="80"/>
  <c r="I13" i="80" s="1"/>
  <c r="H12" i="80"/>
  <c r="H13" i="80" s="1"/>
  <c r="F12" i="80"/>
  <c r="F13" i="80" s="1"/>
  <c r="E12" i="80"/>
  <c r="E13" i="80" s="1"/>
  <c r="J12" i="80"/>
  <c r="J13" i="80" s="1"/>
  <c r="G364" i="5"/>
  <c r="H261" i="5"/>
  <c r="G522" i="5"/>
  <c r="G546" i="5"/>
  <c r="G555" i="5"/>
  <c r="G581" i="5"/>
  <c r="G286" i="5"/>
  <c r="H297" i="5"/>
  <c r="G321" i="5"/>
  <c r="G350" i="5"/>
  <c r="H437" i="5"/>
  <c r="G451" i="5"/>
  <c r="H613" i="5"/>
  <c r="H495" i="5"/>
  <c r="H334" i="5"/>
  <c r="G79" i="5"/>
  <c r="H12" i="5"/>
  <c r="G478" i="5"/>
  <c r="G323" i="5"/>
  <c r="H456" i="5"/>
  <c r="H646" i="5"/>
  <c r="G608" i="5"/>
  <c r="G561" i="5"/>
  <c r="G111" i="5"/>
  <c r="G582" i="5"/>
  <c r="H343" i="5"/>
  <c r="I343" i="5" s="1"/>
  <c r="G619" i="5"/>
  <c r="G618" i="5" s="1"/>
  <c r="G413" i="5"/>
  <c r="G536" i="5"/>
  <c r="H485" i="5"/>
  <c r="H138" i="5"/>
  <c r="H187" i="5"/>
  <c r="H430" i="5"/>
  <c r="H265" i="5"/>
  <c r="G537" i="5"/>
  <c r="G548" i="5"/>
  <c r="G570" i="5"/>
  <c r="G587" i="5"/>
  <c r="H288" i="5"/>
  <c r="G310" i="5"/>
  <c r="G327" i="5"/>
  <c r="H351" i="5"/>
  <c r="G440" i="5"/>
  <c r="G456" i="5"/>
  <c r="I456" i="5" s="1"/>
  <c r="J36" i="71" s="1"/>
  <c r="G621" i="5"/>
  <c r="H775" i="5"/>
  <c r="H24" i="5"/>
  <c r="H770" i="5"/>
  <c r="H765" i="5"/>
  <c r="G511" i="5"/>
  <c r="H350" i="5"/>
  <c r="H612" i="5"/>
  <c r="G146" i="5"/>
  <c r="G768" i="5"/>
  <c r="G624" i="5"/>
  <c r="H375" i="5"/>
  <c r="H281" i="5"/>
  <c r="G357" i="5"/>
  <c r="H273" i="5"/>
  <c r="G332" i="5"/>
  <c r="G471" i="5"/>
  <c r="I471" i="5" s="1"/>
  <c r="K18" i="71" s="1"/>
  <c r="H525" i="5"/>
  <c r="G84" i="5"/>
  <c r="G244" i="5"/>
  <c r="H250" i="5"/>
  <c r="H376" i="5"/>
  <c r="G539" i="5"/>
  <c r="G550" i="5"/>
  <c r="G577" i="5"/>
  <c r="H588" i="5"/>
  <c r="G290" i="5"/>
  <c r="G317" i="5"/>
  <c r="H328" i="5"/>
  <c r="G354" i="5"/>
  <c r="G447" i="5"/>
  <c r="H602" i="5"/>
  <c r="G12" i="80"/>
  <c r="G13" i="80" s="1"/>
  <c r="H780" i="5"/>
  <c r="G767" i="5"/>
  <c r="G147" i="5"/>
  <c r="G381" i="5"/>
  <c r="G583" i="5"/>
  <c r="H359" i="5"/>
  <c r="I359" i="5" s="1"/>
  <c r="G35" i="75" s="1"/>
  <c r="H621" i="5"/>
  <c r="G253" i="5"/>
  <c r="H146" i="5"/>
  <c r="G779" i="5"/>
  <c r="H541" i="5"/>
  <c r="G295" i="5"/>
  <c r="G449" i="5"/>
  <c r="G48" i="5"/>
  <c r="G340" i="5"/>
  <c r="G260" i="5"/>
  <c r="G270" i="5"/>
  <c r="G155" i="5"/>
  <c r="H100" i="5"/>
  <c r="H487" i="5"/>
  <c r="G156" i="5"/>
  <c r="G607" i="5"/>
  <c r="M764" i="5"/>
  <c r="M830" i="5" s="1"/>
  <c r="H141" i="5"/>
  <c r="H342" i="5"/>
  <c r="G13" i="5"/>
  <c r="G53" i="5"/>
  <c r="H40" i="5"/>
  <c r="H307" i="5"/>
  <c r="H475" i="5"/>
  <c r="H378" i="5"/>
  <c r="H331" i="5"/>
  <c r="H366" i="5"/>
  <c r="G82" i="5"/>
  <c r="H254" i="5"/>
  <c r="H370" i="5"/>
  <c r="H133" i="5"/>
  <c r="G243" i="5"/>
  <c r="H175" i="5"/>
  <c r="H91" i="5"/>
  <c r="G42" i="5"/>
  <c r="G145" i="5"/>
  <c r="H364" i="5"/>
  <c r="G131" i="5"/>
  <c r="H86" i="5"/>
  <c r="H45" i="5"/>
  <c r="G144" i="5"/>
  <c r="G187" i="5"/>
  <c r="G69" i="5"/>
  <c r="G21" i="5"/>
  <c r="H592" i="5"/>
  <c r="H571" i="5"/>
  <c r="G355" i="5"/>
  <c r="G617" i="5"/>
  <c r="G495" i="5"/>
  <c r="G189" i="5"/>
  <c r="H144" i="5"/>
  <c r="H421" i="5"/>
  <c r="H262" i="5"/>
  <c r="H270" i="5"/>
  <c r="H532" i="5"/>
  <c r="H32" i="5"/>
  <c r="H526" i="5"/>
  <c r="H191" i="5"/>
  <c r="G399" i="5"/>
  <c r="H168" i="5"/>
  <c r="G177" i="5"/>
  <c r="H73" i="5"/>
  <c r="H27" i="5"/>
  <c r="G162" i="5"/>
  <c r="G600" i="5"/>
  <c r="H182" i="5"/>
  <c r="G74" i="5"/>
  <c r="G33" i="5"/>
  <c r="H152" i="5"/>
  <c r="H104" i="5"/>
  <c r="G55" i="5"/>
  <c r="H14" i="5"/>
  <c r="H390" i="5"/>
  <c r="H280" i="5"/>
  <c r="G442" i="5"/>
  <c r="G719" i="5"/>
  <c r="H559" i="5"/>
  <c r="G98" i="5"/>
  <c r="H142" i="5"/>
  <c r="H332" i="5"/>
  <c r="H89" i="5"/>
  <c r="G240" i="5"/>
  <c r="G139" i="5"/>
  <c r="H111" i="5"/>
  <c r="H59" i="5"/>
  <c r="H15" i="5"/>
  <c r="H562" i="5"/>
  <c r="G369" i="5"/>
  <c r="G184" i="5"/>
  <c r="G62" i="5"/>
  <c r="H20" i="5"/>
  <c r="G136" i="5"/>
  <c r="G100" i="5"/>
  <c r="G46" i="5"/>
  <c r="H151" i="5"/>
  <c r="H423" i="5"/>
  <c r="H311" i="5"/>
  <c r="G452" i="5"/>
  <c r="G632" i="5"/>
  <c r="F115" i="51"/>
  <c r="F118" i="51" s="1"/>
  <c r="F120" i="51" s="1"/>
  <c r="J817" i="5"/>
  <c r="J819" i="5" s="1"/>
  <c r="J820" i="5" s="1"/>
  <c r="F805" i="5"/>
  <c r="F50" i="69"/>
  <c r="F52" i="69"/>
  <c r="F60" i="69"/>
  <c r="F91" i="70"/>
  <c r="F95" i="70" s="1"/>
  <c r="F122" i="70" s="1"/>
  <c r="F161" i="5"/>
  <c r="F163" i="5" s="1"/>
  <c r="F65" i="52" s="1"/>
  <c r="J171" i="5"/>
  <c r="J193" i="5" s="1"/>
  <c r="J801" i="5" s="1"/>
  <c r="F44" i="73"/>
  <c r="F47" i="73"/>
  <c r="F38" i="73"/>
  <c r="F171" i="5"/>
  <c r="J18" i="2" s="1"/>
  <c r="E114" i="21" s="1"/>
  <c r="E115" i="21" s="1"/>
  <c r="E116" i="21" s="1"/>
  <c r="F802" i="5"/>
  <c r="F26" i="69"/>
  <c r="M633" i="5"/>
  <c r="M818" i="5" s="1"/>
  <c r="F61" i="69"/>
  <c r="M127" i="5"/>
  <c r="F71" i="8"/>
  <c r="J821" i="5"/>
  <c r="J795" i="5"/>
  <c r="J798" i="5" s="1"/>
  <c r="J799" i="5" s="1"/>
  <c r="J790" i="5"/>
  <c r="J793" i="5" s="1"/>
  <c r="J794" i="5" s="1"/>
  <c r="M178" i="5"/>
  <c r="Y30" i="71"/>
  <c r="F62" i="69"/>
  <c r="E117" i="21"/>
  <c r="E96" i="21"/>
  <c r="N16" i="2"/>
  <c r="F121" i="51"/>
  <c r="F66" i="52"/>
  <c r="N18" i="2"/>
  <c r="J764" i="5"/>
  <c r="J830" i="5" s="1"/>
  <c r="F97" i="74"/>
  <c r="E90" i="21"/>
  <c r="E91" i="21" s="1"/>
  <c r="E97" i="21"/>
  <c r="E121" i="21"/>
  <c r="K54" i="50"/>
  <c r="K149" i="50"/>
  <c r="K144" i="50"/>
  <c r="M841" i="5"/>
  <c r="D92" i="47"/>
  <c r="L54" i="68"/>
  <c r="X52" i="71" s="1"/>
  <c r="D66" i="51"/>
  <c r="I66" i="51" s="1"/>
  <c r="J66" i="51" s="1"/>
  <c r="K238" i="50"/>
  <c r="K465" i="5"/>
  <c r="K490" i="5" s="1"/>
  <c r="G340" i="50"/>
  <c r="K401" i="5"/>
  <c r="K426" i="5" s="1"/>
  <c r="H697" i="5"/>
  <c r="F43" i="73"/>
  <c r="F56" i="69"/>
  <c r="K153" i="50"/>
  <c r="K154" i="50"/>
  <c r="K116" i="50"/>
  <c r="K163" i="50"/>
  <c r="L171" i="5"/>
  <c r="L170" i="5" s="1"/>
  <c r="L192" i="5" s="1"/>
  <c r="K141" i="50"/>
  <c r="K279" i="50"/>
  <c r="K143" i="50"/>
  <c r="K55" i="50"/>
  <c r="K155" i="50"/>
  <c r="K20" i="50"/>
  <c r="K120" i="50"/>
  <c r="K227" i="50"/>
  <c r="K140" i="50"/>
  <c r="I696" i="5"/>
  <c r="K150" i="50"/>
  <c r="K145" i="50"/>
  <c r="K151" i="50"/>
  <c r="H14" i="72"/>
  <c r="AA20" i="75"/>
  <c r="U22" i="71"/>
  <c r="M857" i="5"/>
  <c r="N4412" i="18"/>
  <c r="O4413" i="18" s="1"/>
  <c r="D66" i="47"/>
  <c r="K5062" i="18"/>
  <c r="L5063" i="18" s="1"/>
  <c r="K5944" i="18"/>
  <c r="L5945" i="18" s="1"/>
  <c r="M172" i="5"/>
  <c r="D45" i="52"/>
  <c r="F49" i="69"/>
  <c r="K47" i="50"/>
  <c r="K51" i="50"/>
  <c r="K119" i="50"/>
  <c r="K146" i="50"/>
  <c r="L17" i="72"/>
  <c r="L45" i="72"/>
  <c r="X51" i="75" s="1"/>
  <c r="G683" i="5"/>
  <c r="K368" i="5"/>
  <c r="K393" i="5" s="1"/>
  <c r="K5889" i="18"/>
  <c r="L5890" i="18" s="1"/>
  <c r="E22" i="70"/>
  <c r="Z22" i="75"/>
  <c r="I764" i="5"/>
  <c r="I830" i="5" s="1"/>
  <c r="Z28" i="75"/>
  <c r="Y34" i="71"/>
  <c r="X32" i="71"/>
  <c r="Z20" i="75"/>
  <c r="AA19" i="75"/>
  <c r="AB30" i="71"/>
  <c r="V24" i="71"/>
  <c r="S17" i="71"/>
  <c r="F764" i="5"/>
  <c r="F830" i="5" s="1"/>
  <c r="X11" i="75"/>
  <c r="T25" i="71"/>
  <c r="K1447" i="18"/>
  <c r="L1447" i="18" s="1"/>
  <c r="K4536" i="18"/>
  <c r="K4537" i="18" s="1"/>
  <c r="K1346" i="18"/>
  <c r="L1346" i="18" s="1"/>
  <c r="K212" i="18"/>
  <c r="L212" i="18" s="1"/>
  <c r="I4132" i="18"/>
  <c r="I4133" i="18" s="1"/>
  <c r="K1187" i="18"/>
  <c r="L1187" i="18" s="1"/>
  <c r="AA17" i="75"/>
  <c r="AA28" i="75"/>
  <c r="AA17" i="71"/>
  <c r="F15" i="6"/>
  <c r="X10" i="71"/>
  <c r="F14" i="6"/>
  <c r="M211" i="5"/>
  <c r="Z19" i="75"/>
  <c r="Q10" i="71"/>
  <c r="AB27" i="71"/>
  <c r="U34" i="71"/>
  <c r="Q34" i="71"/>
  <c r="Q33" i="75"/>
  <c r="H4132" i="18"/>
  <c r="H4133" i="18" s="1"/>
  <c r="K1714" i="18"/>
  <c r="L1714" i="18" s="1"/>
  <c r="K599" i="18"/>
  <c r="L599" i="18" s="1"/>
  <c r="K1426" i="18"/>
  <c r="L1426" i="18" s="1"/>
  <c r="G599" i="5"/>
  <c r="G303" i="5"/>
  <c r="H123" i="5"/>
  <c r="G29" i="5"/>
  <c r="G24" i="5"/>
  <c r="G80" i="5"/>
  <c r="G56" i="5"/>
  <c r="G22" i="5"/>
  <c r="H733" i="5"/>
  <c r="G635" i="5"/>
  <c r="H575" i="5"/>
  <c r="G346" i="5"/>
  <c r="H315" i="5"/>
  <c r="G625" i="5"/>
  <c r="H650" i="5"/>
  <c r="H719" i="5"/>
  <c r="H625" i="5"/>
  <c r="G777" i="5"/>
  <c r="G68" i="5"/>
  <c r="H365" i="5"/>
  <c r="H94" i="5"/>
  <c r="H647" i="5"/>
  <c r="H398" i="5"/>
  <c r="H778" i="5"/>
  <c r="G776" i="5"/>
  <c r="G87" i="5"/>
  <c r="H79" i="5"/>
  <c r="G727" i="5"/>
  <c r="H631" i="5"/>
  <c r="G652" i="5"/>
  <c r="G765" i="5"/>
  <c r="H598" i="5"/>
  <c r="G766" i="5"/>
  <c r="H654" i="5"/>
  <c r="H147" i="5"/>
  <c r="H37" i="5"/>
  <c r="G729" i="5"/>
  <c r="H653" i="5"/>
  <c r="H31" i="5"/>
  <c r="G239" i="5"/>
  <c r="H648" i="5"/>
  <c r="G770" i="5"/>
  <c r="G575" i="5"/>
  <c r="I575" i="5" s="1"/>
  <c r="N23" i="71" s="1"/>
  <c r="H56" i="5"/>
  <c r="H72" i="5"/>
  <c r="G728" i="5"/>
  <c r="G31" i="5"/>
  <c r="I31" i="5" s="1"/>
  <c r="H22" i="5"/>
  <c r="H78" i="5"/>
  <c r="H431" i="5"/>
  <c r="G528" i="5"/>
  <c r="G638" i="5"/>
  <c r="H766" i="5"/>
  <c r="G594" i="5"/>
  <c r="G636" i="5"/>
  <c r="G645" i="5"/>
  <c r="G72" i="5"/>
  <c r="I72" i="5" s="1"/>
  <c r="H624" i="5"/>
  <c r="G631" i="5"/>
  <c r="G598" i="5"/>
  <c r="I598" i="5" s="1"/>
  <c r="H113" i="5"/>
  <c r="G99" i="5"/>
  <c r="G272" i="5"/>
  <c r="G365" i="5"/>
  <c r="I365" i="5" s="1"/>
  <c r="H23" i="5"/>
  <c r="G12" i="5"/>
  <c r="G509" i="5"/>
  <c r="G646" i="5"/>
  <c r="G649" i="5"/>
  <c r="H443" i="5"/>
  <c r="G398" i="5"/>
  <c r="I398" i="5" s="1"/>
  <c r="G733" i="5"/>
  <c r="H284" i="5"/>
  <c r="H88" i="5"/>
  <c r="H80" i="5"/>
  <c r="H637" i="5"/>
  <c r="G722" i="5"/>
  <c r="G123" i="5"/>
  <c r="H627" i="5"/>
  <c r="H777" i="5"/>
  <c r="H99" i="5"/>
  <c r="H13" i="5"/>
  <c r="G640" i="5"/>
  <c r="H29" i="5"/>
  <c r="H67" i="5"/>
  <c r="G94" i="5"/>
  <c r="G476" i="5"/>
  <c r="G17" i="5"/>
  <c r="G725" i="5"/>
  <c r="G647" i="5"/>
  <c r="I647" i="5" s="1"/>
  <c r="G613" i="5"/>
  <c r="G602" i="5"/>
  <c r="G448" i="5"/>
  <c r="G437" i="5"/>
  <c r="G351" i="5"/>
  <c r="H322" i="5"/>
  <c r="H291" i="5"/>
  <c r="H582" i="5"/>
  <c r="H510" i="5"/>
  <c r="H477" i="5"/>
  <c r="H413" i="5"/>
  <c r="H380" i="5"/>
  <c r="H162" i="5"/>
  <c r="H145" i="5"/>
  <c r="H156" i="5"/>
  <c r="H19" i="5"/>
  <c r="G38" i="5"/>
  <c r="H44" i="5"/>
  <c r="H51" i="5"/>
  <c r="H58" i="5"/>
  <c r="H71" i="5"/>
  <c r="G86" i="5"/>
  <c r="H102" i="5"/>
  <c r="G179" i="5"/>
  <c r="H176" i="5"/>
  <c r="H118" i="5"/>
  <c r="H131" i="5"/>
  <c r="G133" i="5"/>
  <c r="G150" i="5"/>
  <c r="G16" i="5"/>
  <c r="G30" i="5"/>
  <c r="H38" i="5"/>
  <c r="G47" i="5"/>
  <c r="H55" i="5"/>
  <c r="H69" i="5"/>
  <c r="H84" i="5"/>
  <c r="H90" i="5"/>
  <c r="G175" i="5"/>
  <c r="H173" i="5"/>
  <c r="H190" i="5"/>
  <c r="G152" i="5"/>
  <c r="H243" i="5"/>
  <c r="H499" i="5"/>
  <c r="H238" i="5"/>
  <c r="H397" i="5"/>
  <c r="H494" i="5"/>
  <c r="H595" i="5"/>
  <c r="G141" i="5"/>
  <c r="G151" i="5"/>
  <c r="H11" i="5"/>
  <c r="G25" i="5"/>
  <c r="G39" i="5"/>
  <c r="H48" i="5"/>
  <c r="G57" i="5"/>
  <c r="H61" i="5"/>
  <c r="G81" i="5"/>
  <c r="G101" i="5"/>
  <c r="H105" i="5"/>
  <c r="H115" i="5"/>
  <c r="G186" i="5"/>
  <c r="H184" i="5"/>
  <c r="G129" i="5"/>
  <c r="H136" i="5"/>
  <c r="H98" i="5"/>
  <c r="H338" i="5"/>
  <c r="H533" i="5"/>
  <c r="G366" i="5"/>
  <c r="G463" i="5"/>
  <c r="H16" i="5"/>
  <c r="H74" i="5"/>
  <c r="G176" i="5"/>
  <c r="H135" i="5"/>
  <c r="G559" i="5"/>
  <c r="H301" i="5"/>
  <c r="H429" i="5"/>
  <c r="H248" i="5"/>
  <c r="H259" i="5"/>
  <c r="H374" i="5"/>
  <c r="G11" i="5"/>
  <c r="G52" i="5"/>
  <c r="G105" i="5"/>
  <c r="G134" i="5"/>
  <c r="G338" i="5"/>
  <c r="H240" i="5"/>
  <c r="H399" i="5"/>
  <c r="G496" i="5"/>
  <c r="H593" i="5"/>
  <c r="H300" i="5"/>
  <c r="H428" i="5"/>
  <c r="H247" i="5"/>
  <c r="H258" i="5"/>
  <c r="H373" i="5"/>
  <c r="H384" i="5"/>
  <c r="H406" i="5"/>
  <c r="H417" i="5"/>
  <c r="H470" i="5"/>
  <c r="H481" i="5"/>
  <c r="H503" i="5"/>
  <c r="H514" i="5"/>
  <c r="G15" i="5"/>
  <c r="H62" i="5"/>
  <c r="G185" i="5"/>
  <c r="H148" i="5"/>
  <c r="G370" i="5"/>
  <c r="G492" i="5"/>
  <c r="G302" i="5"/>
  <c r="G249" i="5"/>
  <c r="G375" i="5"/>
  <c r="G388" i="5"/>
  <c r="G411" i="5"/>
  <c r="G421" i="5"/>
  <c r="G475" i="5"/>
  <c r="G485" i="5"/>
  <c r="G508" i="5"/>
  <c r="G518" i="5"/>
  <c r="G541" i="5"/>
  <c r="G551" i="5"/>
  <c r="G574" i="5"/>
  <c r="G584" i="5"/>
  <c r="G283" i="5"/>
  <c r="G293" i="5"/>
  <c r="G314" i="5"/>
  <c r="G324" i="5"/>
  <c r="G345" i="5"/>
  <c r="H83" i="5"/>
  <c r="G466" i="5"/>
  <c r="H269" i="5"/>
  <c r="G526" i="5"/>
  <c r="G264" i="5"/>
  <c r="G384" i="5"/>
  <c r="G406" i="5"/>
  <c r="G417" i="5"/>
  <c r="G470" i="5"/>
  <c r="G481" i="5"/>
  <c r="G503" i="5"/>
  <c r="G514" i="5"/>
  <c r="G538" i="5"/>
  <c r="G549" i="5"/>
  <c r="H160" i="5"/>
  <c r="H96" i="5"/>
  <c r="G238" i="5"/>
  <c r="H239" i="5"/>
  <c r="G78" i="5"/>
  <c r="I78" i="5" s="1"/>
  <c r="K18" i="68" s="1"/>
  <c r="G771" i="5"/>
  <c r="H641" i="5"/>
  <c r="G643" i="5"/>
  <c r="G315" i="5"/>
  <c r="I315" i="5" s="1"/>
  <c r="F23" i="71" s="1"/>
  <c r="H727" i="5"/>
  <c r="H619" i="5"/>
  <c r="H609" i="5"/>
  <c r="H454" i="5"/>
  <c r="H444" i="5"/>
  <c r="H357" i="5"/>
  <c r="H347" i="5"/>
  <c r="G319" i="5"/>
  <c r="G288" i="5"/>
  <c r="G579" i="5"/>
  <c r="G505" i="5"/>
  <c r="G472" i="5"/>
  <c r="G408" i="5"/>
  <c r="H333" i="5"/>
  <c r="H128" i="5"/>
  <c r="H149" i="5"/>
  <c r="H159" i="5"/>
  <c r="G20" i="5"/>
  <c r="H39" i="5"/>
  <c r="G45" i="5"/>
  <c r="G54" i="5"/>
  <c r="G66" i="5"/>
  <c r="H81" i="5"/>
  <c r="G90" i="5"/>
  <c r="H103" i="5"/>
  <c r="I103" i="5" s="1"/>
  <c r="K30" i="72" s="1"/>
  <c r="G183" i="5"/>
  <c r="H181" i="5"/>
  <c r="G130" i="5"/>
  <c r="H137" i="5"/>
  <c r="G142" i="5"/>
  <c r="G153" i="5"/>
  <c r="H18" i="5"/>
  <c r="G32" i="5"/>
  <c r="G41" i="5"/>
  <c r="G49" i="5"/>
  <c r="G106" i="5"/>
  <c r="H70" i="5"/>
  <c r="H85" i="5"/>
  <c r="G96" i="5"/>
  <c r="G180" i="5"/>
  <c r="H177" i="5"/>
  <c r="G120" i="5"/>
  <c r="H134" i="5"/>
  <c r="H276" i="5"/>
  <c r="G533" i="5"/>
  <c r="G363" i="5"/>
  <c r="G460" i="5"/>
  <c r="G560" i="5"/>
  <c r="G271" i="5"/>
  <c r="G143" i="5"/>
  <c r="G154" i="5"/>
  <c r="G14" i="5"/>
  <c r="H26" i="5"/>
  <c r="G40" i="5"/>
  <c r="G50" i="5"/>
  <c r="G58" i="5"/>
  <c r="G71" i="5"/>
  <c r="H82" i="5"/>
  <c r="G102" i="5"/>
  <c r="H107" i="5"/>
  <c r="G173" i="5"/>
  <c r="G190" i="5"/>
  <c r="H188" i="5"/>
  <c r="G135" i="5"/>
  <c r="H140" i="5"/>
  <c r="G403" i="5"/>
  <c r="H369" i="5"/>
  <c r="H236" i="5"/>
  <c r="H395" i="5"/>
  <c r="H492" i="5"/>
  <c r="G28" i="5"/>
  <c r="G75" i="5"/>
  <c r="H174" i="5"/>
  <c r="H402" i="5"/>
  <c r="H591" i="5"/>
  <c r="G331" i="5"/>
  <c r="G525" i="5"/>
  <c r="G252" i="5"/>
  <c r="G262" i="5"/>
  <c r="G378" i="5"/>
  <c r="G27" i="5"/>
  <c r="G61" i="5"/>
  <c r="G115" i="5"/>
  <c r="H139" i="5"/>
  <c r="G500" i="5"/>
  <c r="H363" i="5"/>
  <c r="H460" i="5"/>
  <c r="G558" i="5"/>
  <c r="G269" i="5"/>
  <c r="G304" i="5"/>
  <c r="G432" i="5"/>
  <c r="G250" i="5"/>
  <c r="G261" i="5"/>
  <c r="G376" i="5"/>
  <c r="G387" i="5"/>
  <c r="G409" i="5"/>
  <c r="G420" i="5"/>
  <c r="G473" i="5"/>
  <c r="G484" i="5"/>
  <c r="G506" i="5"/>
  <c r="G517" i="5"/>
  <c r="G26" i="5"/>
  <c r="G73" i="5"/>
  <c r="H183" i="5"/>
  <c r="H34" i="5"/>
  <c r="H600" i="5"/>
  <c r="H558" i="5"/>
  <c r="G333" i="5"/>
  <c r="G255" i="5"/>
  <c r="H383" i="5"/>
  <c r="H392" i="5"/>
  <c r="H416" i="5"/>
  <c r="H425" i="5"/>
  <c r="H480" i="5"/>
  <c r="H489" i="5"/>
  <c r="H513" i="5"/>
  <c r="H520" i="5"/>
  <c r="H543" i="5"/>
  <c r="H553" i="5"/>
  <c r="H576" i="5"/>
  <c r="H586" i="5"/>
  <c r="H285" i="5"/>
  <c r="H295" i="5"/>
  <c r="H316" i="5"/>
  <c r="H326" i="5"/>
  <c r="H157" i="5"/>
  <c r="G168" i="5"/>
  <c r="G362" i="5"/>
  <c r="G301" i="5"/>
  <c r="G248" i="5"/>
  <c r="G374" i="5"/>
  <c r="I374" i="5" s="1"/>
  <c r="H18" i="75" s="1"/>
  <c r="H387" i="5"/>
  <c r="H409" i="5"/>
  <c r="H420" i="5"/>
  <c r="H473" i="5"/>
  <c r="H484" i="5"/>
  <c r="H506" i="5"/>
  <c r="H517" i="5"/>
  <c r="H539" i="5"/>
  <c r="H550" i="5"/>
  <c r="H47" i="5"/>
  <c r="H116" i="5"/>
  <c r="G397" i="5"/>
  <c r="H304" i="5"/>
  <c r="H620" i="5"/>
  <c r="H610" i="5"/>
  <c r="H455" i="5"/>
  <c r="H445" i="5"/>
  <c r="H358" i="5"/>
  <c r="H348" i="5"/>
  <c r="H340" i="5"/>
  <c r="H320" i="5"/>
  <c r="H309" i="5"/>
  <c r="H289" i="5"/>
  <c r="H278" i="5"/>
  <c r="H580" i="5"/>
  <c r="H569" i="5"/>
  <c r="H547" i="5"/>
  <c r="H536" i="5"/>
  <c r="H266" i="5"/>
  <c r="H302" i="5"/>
  <c r="H638" i="5"/>
  <c r="G334" i="5"/>
  <c r="G773" i="5"/>
  <c r="G732" i="5"/>
  <c r="H476" i="5"/>
  <c r="H346" i="5"/>
  <c r="G114" i="5"/>
  <c r="H642" i="5"/>
  <c r="H771" i="5"/>
  <c r="G443" i="5"/>
  <c r="H614" i="5"/>
  <c r="H603" i="5"/>
  <c r="H449" i="5"/>
  <c r="H438" i="5"/>
  <c r="H352" i="5"/>
  <c r="G328" i="5"/>
  <c r="G297" i="5"/>
  <c r="G588" i="5"/>
  <c r="G516" i="5"/>
  <c r="G483" i="5"/>
  <c r="G419" i="5"/>
  <c r="G386" i="5"/>
  <c r="H496" i="5"/>
  <c r="H143" i="5"/>
  <c r="H154" i="5"/>
  <c r="G18" i="5"/>
  <c r="H25" i="5"/>
  <c r="H42" i="5"/>
  <c r="H50" i="5"/>
  <c r="H57" i="5"/>
  <c r="G70" i="5"/>
  <c r="G85" i="5"/>
  <c r="H101" i="5"/>
  <c r="G174" i="5"/>
  <c r="G191" i="5"/>
  <c r="H189" i="5"/>
  <c r="G140" i="5"/>
  <c r="G160" i="5"/>
  <c r="G148" i="5"/>
  <c r="I148" i="5" s="1"/>
  <c r="G315" i="50" s="1"/>
  <c r="G157" i="5"/>
  <c r="H21" i="5"/>
  <c r="G34" i="5"/>
  <c r="H46" i="5"/>
  <c r="H54" i="5"/>
  <c r="H66" i="5"/>
  <c r="G83" i="5"/>
  <c r="G89" i="5"/>
  <c r="G116" i="5"/>
  <c r="G188" i="5"/>
  <c r="H186" i="5"/>
  <c r="G137" i="5"/>
  <c r="H403" i="5"/>
  <c r="H467" i="5"/>
  <c r="G237" i="5"/>
  <c r="G396" i="5"/>
  <c r="G493" i="5"/>
  <c r="G593" i="5"/>
  <c r="G128" i="5"/>
  <c r="G149" i="5"/>
  <c r="I149" i="5" s="1"/>
  <c r="K4798" i="18" s="1"/>
  <c r="L4799" i="18" s="1"/>
  <c r="G159" i="5"/>
  <c r="I159" i="5" s="1"/>
  <c r="G323" i="50" s="1"/>
  <c r="G19" i="5"/>
  <c r="H28" i="5"/>
  <c r="G44" i="5"/>
  <c r="H52" i="5"/>
  <c r="H60" i="5"/>
  <c r="H75" i="5"/>
  <c r="H95" i="5"/>
  <c r="G104" i="5"/>
  <c r="H112" i="5"/>
  <c r="G182" i="5"/>
  <c r="H180" i="5"/>
  <c r="I180" i="5" s="1"/>
  <c r="H119" i="5"/>
  <c r="H130" i="5"/>
  <c r="G97" i="5"/>
  <c r="G307" i="5"/>
  <c r="G499" i="5"/>
  <c r="H362" i="5"/>
  <c r="H459" i="5"/>
  <c r="H150" i="5"/>
  <c r="H41" i="5"/>
  <c r="G107" i="5"/>
  <c r="H120" i="5"/>
  <c r="G532" i="5"/>
  <c r="G300" i="5"/>
  <c r="G428" i="5"/>
  <c r="G247" i="5"/>
  <c r="G258" i="5"/>
  <c r="G373" i="5"/>
  <c r="H153" i="5"/>
  <c r="H49" i="5"/>
  <c r="G95" i="5"/>
  <c r="I95" i="5" s="1"/>
  <c r="G258" i="50" s="1"/>
  <c r="H179" i="5"/>
  <c r="G276" i="5"/>
  <c r="H237" i="5"/>
  <c r="H396" i="5"/>
  <c r="H493" i="5"/>
  <c r="G562" i="5"/>
  <c r="G273" i="5"/>
  <c r="G335" i="5"/>
  <c r="G529" i="5"/>
  <c r="G257" i="5"/>
  <c r="G266" i="5"/>
  <c r="G383" i="5"/>
  <c r="G392" i="5"/>
  <c r="G416" i="5"/>
  <c r="G425" i="5"/>
  <c r="G480" i="5"/>
  <c r="G489" i="5"/>
  <c r="G513" i="5"/>
  <c r="H155" i="5"/>
  <c r="G60" i="5"/>
  <c r="G112" i="5"/>
  <c r="G138" i="5"/>
  <c r="H129" i="5"/>
  <c r="G395" i="5"/>
  <c r="G595" i="5"/>
  <c r="G527" i="5"/>
  <c r="G265" i="5"/>
  <c r="H386" i="5"/>
  <c r="H408" i="5"/>
  <c r="H419" i="5"/>
  <c r="H472" i="5"/>
  <c r="H483" i="5"/>
  <c r="H505" i="5"/>
  <c r="H516" i="5"/>
  <c r="H537" i="5"/>
  <c r="H548" i="5"/>
  <c r="H570" i="5"/>
  <c r="H581" i="5"/>
  <c r="H279" i="5"/>
  <c r="H290" i="5"/>
  <c r="H310" i="5"/>
  <c r="H321" i="5"/>
  <c r="H341" i="5"/>
  <c r="I341" i="5" s="1"/>
  <c r="G18" i="75" s="1"/>
  <c r="G59" i="5"/>
  <c r="H244" i="5"/>
  <c r="G591" i="5"/>
  <c r="G429" i="5"/>
  <c r="G259" i="5"/>
  <c r="H381" i="5"/>
  <c r="H391" i="5"/>
  <c r="H414" i="5"/>
  <c r="H424" i="5"/>
  <c r="H478" i="5"/>
  <c r="H488" i="5"/>
  <c r="H511" i="5"/>
  <c r="H522" i="5"/>
  <c r="H546" i="5"/>
  <c r="H555" i="5"/>
  <c r="H106" i="5"/>
  <c r="H466" i="5"/>
  <c r="H272" i="5"/>
  <c r="M325" i="5"/>
  <c r="H652" i="5"/>
  <c r="T17" i="71"/>
  <c r="K1275" i="18"/>
  <c r="L1275" i="18" s="1"/>
  <c r="K3767" i="18"/>
  <c r="K3854" i="18"/>
  <c r="L3854" i="18" s="1"/>
  <c r="P856" i="18"/>
  <c r="R22" i="71"/>
  <c r="T12" i="71"/>
  <c r="W30" i="71"/>
  <c r="K376" i="18"/>
  <c r="L376" i="18" s="1"/>
  <c r="S18" i="71"/>
  <c r="K1165" i="18"/>
  <c r="L1165" i="18" s="1"/>
  <c r="R12" i="71"/>
  <c r="W31" i="71"/>
  <c r="S31" i="71"/>
  <c r="M356" i="5"/>
  <c r="K1324" i="18"/>
  <c r="L1324" i="18" s="1"/>
  <c r="F9" i="73"/>
  <c r="K306" i="50"/>
  <c r="K305" i="50"/>
  <c r="N4632" i="18"/>
  <c r="O4633" i="18" s="1"/>
  <c r="F21" i="69"/>
  <c r="D103" i="47"/>
  <c r="D103" i="51"/>
  <c r="I103" i="51" s="1"/>
  <c r="J103" i="51" s="1"/>
  <c r="K34" i="50"/>
  <c r="K226" i="50"/>
  <c r="K263" i="50"/>
  <c r="G329" i="50"/>
  <c r="K58" i="50"/>
  <c r="K46" i="50"/>
  <c r="K106" i="50"/>
  <c r="K104" i="50"/>
  <c r="K231" i="50"/>
  <c r="K253" i="50"/>
  <c r="K229" i="50"/>
  <c r="K228" i="50"/>
  <c r="K254" i="50"/>
  <c r="K230" i="50"/>
  <c r="K271" i="50"/>
  <c r="K262" i="50"/>
  <c r="K121" i="5"/>
  <c r="M121" i="5" s="1"/>
  <c r="K294" i="50" s="1"/>
  <c r="K42" i="50"/>
  <c r="K33" i="50"/>
  <c r="K39" i="50"/>
  <c r="K30" i="50"/>
  <c r="K44" i="50"/>
  <c r="K157" i="50"/>
  <c r="K45" i="50"/>
  <c r="K41" i="50"/>
  <c r="D24" i="51"/>
  <c r="I24" i="51" s="1"/>
  <c r="J24" i="51" s="1"/>
  <c r="D18" i="51"/>
  <c r="I18" i="51" s="1"/>
  <c r="J18" i="51" s="1"/>
  <c r="M263" i="5"/>
  <c r="S20" i="71"/>
  <c r="V10" i="71"/>
  <c r="N3926" i="18"/>
  <c r="O3947" i="18" s="1"/>
  <c r="N3617" i="18"/>
  <c r="O3618" i="18" s="1"/>
  <c r="L26" i="72"/>
  <c r="D75" i="51"/>
  <c r="I75" i="51" s="1"/>
  <c r="J75" i="51" s="1"/>
  <c r="L630" i="5"/>
  <c r="L655" i="5" s="1"/>
  <c r="N1034" i="18"/>
  <c r="H3677" i="18"/>
  <c r="H3678" i="18" s="1"/>
  <c r="L242" i="5"/>
  <c r="L267" i="5" s="1"/>
  <c r="F7" i="73"/>
  <c r="K296" i="50"/>
  <c r="D61" i="52"/>
  <c r="F26" i="52" s="1"/>
  <c r="D10" i="48"/>
  <c r="D45" i="48" s="1"/>
  <c r="D101" i="47"/>
  <c r="F8" i="69"/>
  <c r="F7" i="69" s="1"/>
  <c r="K301" i="50"/>
  <c r="K303" i="50"/>
  <c r="D101" i="51"/>
  <c r="I101" i="51" s="1"/>
  <c r="J101" i="51" s="1"/>
  <c r="N4486" i="18"/>
  <c r="O4498" i="18" s="1"/>
  <c r="F17" i="73"/>
  <c r="K316" i="50"/>
  <c r="N4798" i="18"/>
  <c r="O4799" i="18" s="1"/>
  <c r="D12" i="48"/>
  <c r="D63" i="52"/>
  <c r="D109" i="47"/>
  <c r="D109" i="51"/>
  <c r="I109" i="51" s="1"/>
  <c r="J109" i="51" s="1"/>
  <c r="F29" i="69"/>
  <c r="F26" i="73"/>
  <c r="K322" i="50"/>
  <c r="D116" i="47"/>
  <c r="F39" i="69"/>
  <c r="N4912" i="18"/>
  <c r="O4913" i="18" s="1"/>
  <c r="D116" i="51"/>
  <c r="I116" i="51" s="1"/>
  <c r="J116" i="51" s="1"/>
  <c r="K323" i="50"/>
  <c r="F19" i="73"/>
  <c r="F31" i="69"/>
  <c r="K110" i="50"/>
  <c r="K105" i="50"/>
  <c r="K233" i="50"/>
  <c r="K28" i="50"/>
  <c r="K64" i="50"/>
  <c r="D76" i="48"/>
  <c r="D78" i="48" s="1"/>
  <c r="D79" i="48" s="1"/>
  <c r="D23" i="48" s="1"/>
  <c r="D49" i="52"/>
  <c r="D51" i="52" s="1"/>
  <c r="D52" i="52" s="1"/>
  <c r="D16" i="52" s="1"/>
  <c r="X30" i="71"/>
  <c r="D70" i="51"/>
  <c r="I70" i="51" s="1"/>
  <c r="J70" i="51" s="1"/>
  <c r="K252" i="50"/>
  <c r="L21" i="68"/>
  <c r="K232" i="50"/>
  <c r="L35" i="68"/>
  <c r="S35" i="71"/>
  <c r="F55" i="69"/>
  <c r="M734" i="5"/>
  <c r="M501" i="5"/>
  <c r="Y15" i="75" s="1"/>
  <c r="F11" i="73"/>
  <c r="N4693" i="18"/>
  <c r="O4694" i="18" s="1"/>
  <c r="K310" i="50"/>
  <c r="K309" i="50"/>
  <c r="D105" i="47"/>
  <c r="D105" i="51"/>
  <c r="I105" i="51" s="1"/>
  <c r="J105" i="51" s="1"/>
  <c r="D108" i="48"/>
  <c r="F23" i="69"/>
  <c r="D69" i="52"/>
  <c r="F21" i="73"/>
  <c r="F34" i="69"/>
  <c r="D111" i="47"/>
  <c r="K318" i="50"/>
  <c r="N4834" i="18"/>
  <c r="O4835" i="18" s="1"/>
  <c r="D111" i="51"/>
  <c r="I111" i="51" s="1"/>
  <c r="J111" i="51" s="1"/>
  <c r="D16" i="51"/>
  <c r="I16" i="51" s="1"/>
  <c r="J16" i="51" s="1"/>
  <c r="H13" i="68"/>
  <c r="D16" i="47"/>
  <c r="N108" i="18"/>
  <c r="O109" i="18" s="1"/>
  <c r="H15" i="68"/>
  <c r="D44" i="52"/>
  <c r="N316" i="18"/>
  <c r="K266" i="50"/>
  <c r="AA22" i="75"/>
  <c r="K62" i="50"/>
  <c r="K35" i="50"/>
  <c r="K103" i="50"/>
  <c r="K101" i="50"/>
  <c r="K121" i="50"/>
  <c r="K234" i="50"/>
  <c r="K265" i="50"/>
  <c r="K29" i="50"/>
  <c r="H13" i="72"/>
  <c r="K40" i="50"/>
  <c r="K31" i="50"/>
  <c r="K32" i="50"/>
  <c r="H19" i="72"/>
  <c r="M468" i="5"/>
  <c r="X15" i="75" s="1"/>
  <c r="H25" i="68"/>
  <c r="K107" i="50"/>
  <c r="D71" i="48"/>
  <c r="D73" i="48" s="1"/>
  <c r="K38" i="50"/>
  <c r="X34" i="71"/>
  <c r="AB22" i="71"/>
  <c r="K230" i="5"/>
  <c r="L337" i="5"/>
  <c r="L360" i="5" s="1"/>
  <c r="M534" i="5"/>
  <c r="Z15" i="71" s="1"/>
  <c r="N3187" i="18"/>
  <c r="O3188" i="18" s="1"/>
  <c r="D50" i="47"/>
  <c r="H49" i="68"/>
  <c r="D50" i="51"/>
  <c r="I50" i="51" s="1"/>
  <c r="J50" i="51" s="1"/>
  <c r="F29" i="73"/>
  <c r="D119" i="51"/>
  <c r="I119" i="51" s="1"/>
  <c r="J119" i="51" s="1"/>
  <c r="K326" i="50"/>
  <c r="K325" i="50"/>
  <c r="D119" i="47"/>
  <c r="F42" i="69"/>
  <c r="N4956" i="18"/>
  <c r="F13" i="73"/>
  <c r="F25" i="69"/>
  <c r="D107" i="47"/>
  <c r="K313" i="50"/>
  <c r="K314" i="50"/>
  <c r="D107" i="51"/>
  <c r="I107" i="51" s="1"/>
  <c r="J107" i="51" s="1"/>
  <c r="N4749" i="18"/>
  <c r="O4750" i="18" s="1"/>
  <c r="F23" i="73"/>
  <c r="N4875" i="18"/>
  <c r="O4876" i="18" s="1"/>
  <c r="K320" i="50"/>
  <c r="D113" i="51"/>
  <c r="I113" i="51" s="1"/>
  <c r="J113" i="51" s="1"/>
  <c r="D113" i="47"/>
  <c r="F36" i="69"/>
  <c r="F46" i="73"/>
  <c r="F59" i="69"/>
  <c r="K4284" i="18"/>
  <c r="L4284" i="18" s="1"/>
  <c r="K234" i="18"/>
  <c r="L234" i="18" s="1"/>
  <c r="K3677" i="18"/>
  <c r="K3678" i="18" s="1"/>
  <c r="L2645" i="18"/>
  <c r="K1407" i="18"/>
  <c r="L1407" i="18" s="1"/>
  <c r="L2225" i="18"/>
  <c r="K4580" i="18"/>
  <c r="L4580" i="18" s="1"/>
  <c r="K3556" i="18"/>
  <c r="L3556" i="18" s="1"/>
  <c r="K17" i="18"/>
  <c r="L3767" i="18"/>
  <c r="K1099" i="18"/>
  <c r="L1099" i="18" s="1"/>
  <c r="K3469" i="18"/>
  <c r="L3469" i="18" s="1"/>
  <c r="S25" i="71"/>
  <c r="R28" i="71"/>
  <c r="K3994" i="18"/>
  <c r="L3994" i="18" s="1"/>
  <c r="L368" i="5"/>
  <c r="L393" i="5" s="1"/>
  <c r="L498" i="5"/>
  <c r="L523" i="5" s="1"/>
  <c r="K24" i="50"/>
  <c r="AB17" i="75"/>
  <c r="N4117" i="18"/>
  <c r="O4118" i="18" s="1"/>
  <c r="AB36" i="71"/>
  <c r="K16" i="50"/>
  <c r="T31" i="71"/>
  <c r="K174" i="50"/>
  <c r="K132" i="50"/>
  <c r="M371" i="5"/>
  <c r="U15" i="75" s="1"/>
  <c r="E114" i="70"/>
  <c r="H35" i="72"/>
  <c r="W32" i="71"/>
  <c r="D35" i="51"/>
  <c r="I35" i="51" s="1"/>
  <c r="J35" i="51" s="1"/>
  <c r="K269" i="50"/>
  <c r="L30" i="68"/>
  <c r="K531" i="5"/>
  <c r="K556" i="5" s="1"/>
  <c r="G333" i="50"/>
  <c r="L275" i="5"/>
  <c r="L298" i="5" s="1"/>
  <c r="K337" i="5"/>
  <c r="K360" i="5" s="1"/>
  <c r="K597" i="5"/>
  <c r="K622" i="5" s="1"/>
  <c r="F27" i="69"/>
  <c r="F15" i="73"/>
  <c r="K256" i="50"/>
  <c r="K172" i="50"/>
  <c r="K135" i="50"/>
  <c r="D77" i="51"/>
  <c r="I77" i="51" s="1"/>
  <c r="J77" i="51" s="1"/>
  <c r="D71" i="47"/>
  <c r="L223" i="5"/>
  <c r="J3677" i="18"/>
  <c r="J3678" i="18" s="1"/>
  <c r="K218" i="5"/>
  <c r="L39" i="68"/>
  <c r="K276" i="50"/>
  <c r="K129" i="50"/>
  <c r="N3967" i="18"/>
  <c r="O3968" i="18" s="1"/>
  <c r="M629" i="5"/>
  <c r="K160" i="50"/>
  <c r="K274" i="50"/>
  <c r="K128" i="50"/>
  <c r="L32" i="72"/>
  <c r="Q17" i="75"/>
  <c r="D71" i="51"/>
  <c r="I71" i="51" s="1"/>
  <c r="J71" i="51" s="1"/>
  <c r="K498" i="5"/>
  <c r="K523" i="5" s="1"/>
  <c r="E51" i="70"/>
  <c r="K5073" i="18"/>
  <c r="L5074" i="18" s="1"/>
  <c r="K176" i="50"/>
  <c r="H17" i="72"/>
  <c r="K21" i="50"/>
  <c r="W20" i="71"/>
  <c r="M422" i="5"/>
  <c r="M415" i="5" s="1"/>
  <c r="L2827" i="18"/>
  <c r="K1697" i="18"/>
  <c r="L1697" i="18" s="1"/>
  <c r="K941" i="18"/>
  <c r="K4561" i="18"/>
  <c r="L4561" i="18" s="1"/>
  <c r="K2313" i="18"/>
  <c r="L2313" i="18" s="1"/>
  <c r="M245" i="5"/>
  <c r="Q15" i="75" s="1"/>
  <c r="K1385" i="18"/>
  <c r="L1385" i="18" s="1"/>
  <c r="K271" i="18"/>
  <c r="L271" i="18" s="1"/>
  <c r="L941" i="18"/>
  <c r="K2429" i="18"/>
  <c r="L2429" i="18" s="1"/>
  <c r="N2225" i="18"/>
  <c r="K17" i="50"/>
  <c r="D68" i="51"/>
  <c r="I68" i="51" s="1"/>
  <c r="J68" i="51" s="1"/>
  <c r="L306" i="5"/>
  <c r="L329" i="5" s="1"/>
  <c r="K19" i="50"/>
  <c r="K15" i="50"/>
  <c r="K118" i="50"/>
  <c r="H30" i="72"/>
  <c r="M634" i="5"/>
  <c r="K23" i="50"/>
  <c r="K117" i="50"/>
  <c r="J368" i="5"/>
  <c r="J393" i="5" s="1"/>
  <c r="J846" i="5" s="1"/>
  <c r="J847" i="5" s="1"/>
  <c r="J848" i="5" s="1"/>
  <c r="L19" i="72"/>
  <c r="L208" i="5"/>
  <c r="K223" i="5"/>
  <c r="U11" i="71"/>
  <c r="K242" i="50"/>
  <c r="K1253" i="18"/>
  <c r="L1253" i="18" s="1"/>
  <c r="H36" i="72"/>
  <c r="D68" i="47"/>
  <c r="K242" i="5"/>
  <c r="K267" i="5" s="1"/>
  <c r="K2347" i="18"/>
  <c r="L2347" i="18" s="1"/>
  <c r="I4536" i="18"/>
  <c r="I4537" i="18" s="1"/>
  <c r="K27" i="50"/>
  <c r="M873" i="5"/>
  <c r="K186" i="50"/>
  <c r="AB20" i="71"/>
  <c r="T35" i="71"/>
  <c r="N3800" i="18"/>
  <c r="O3801" i="18" s="1"/>
  <c r="E26" i="74"/>
  <c r="K191" i="50"/>
  <c r="K25" i="50"/>
  <c r="Z27" i="75"/>
  <c r="M639" i="5"/>
  <c r="L25" i="68"/>
  <c r="E42" i="70"/>
  <c r="L1797" i="18"/>
  <c r="K354" i="18"/>
  <c r="L354" i="18" s="1"/>
  <c r="K557" i="18"/>
  <c r="L557" i="18" s="1"/>
  <c r="K177" i="50"/>
  <c r="K22" i="50"/>
  <c r="D97" i="47"/>
  <c r="K18" i="50"/>
  <c r="K124" i="50"/>
  <c r="AA27" i="75"/>
  <c r="R31" i="71"/>
  <c r="K630" i="5"/>
  <c r="K655" i="5" s="1"/>
  <c r="J807" i="5"/>
  <c r="J808" i="5" s="1"/>
  <c r="W36" i="71"/>
  <c r="M2225" i="18"/>
  <c r="K1797" i="18"/>
  <c r="N1860" i="18"/>
  <c r="U26" i="75"/>
  <c r="M519" i="5"/>
  <c r="E45" i="70"/>
  <c r="G337" i="50"/>
  <c r="E29" i="70"/>
  <c r="E13" i="74"/>
  <c r="K5900" i="18"/>
  <c r="L5901" i="18" s="1"/>
  <c r="AA12" i="75"/>
  <c r="AA12" i="71"/>
  <c r="S31" i="75"/>
  <c r="S32" i="71"/>
  <c r="G331" i="50"/>
  <c r="E23" i="74"/>
  <c r="E39" i="70"/>
  <c r="K5051" i="18"/>
  <c r="L5052" i="18" s="1"/>
  <c r="K125" i="50"/>
  <c r="K131" i="50"/>
  <c r="E8" i="74"/>
  <c r="E28" i="74"/>
  <c r="Q30" i="75"/>
  <c r="Q31" i="71"/>
  <c r="Q29" i="75"/>
  <c r="Q30" i="71"/>
  <c r="K127" i="50"/>
  <c r="X22" i="71"/>
  <c r="U24" i="71"/>
  <c r="V20" i="75"/>
  <c r="V20" i="71"/>
  <c r="AB27" i="75"/>
  <c r="AB28" i="71"/>
  <c r="D22" i="47"/>
  <c r="H22" i="68"/>
  <c r="N943" i="18"/>
  <c r="O944" i="18" s="1"/>
  <c r="D22" i="51"/>
  <c r="I22" i="51" s="1"/>
  <c r="J22" i="51" s="1"/>
  <c r="U19" i="75"/>
  <c r="U19" i="71"/>
  <c r="AA24" i="75"/>
  <c r="K134" i="50"/>
  <c r="H22" i="72"/>
  <c r="K184" i="50"/>
  <c r="Z24" i="75"/>
  <c r="H27" i="72"/>
  <c r="K130" i="50"/>
  <c r="V30" i="75"/>
  <c r="V31" i="71"/>
  <c r="W9" i="75"/>
  <c r="W9" i="71"/>
  <c r="L567" i="5"/>
  <c r="L564" i="5" s="1"/>
  <c r="L589" i="5" s="1"/>
  <c r="L565" i="5"/>
  <c r="L210" i="5" s="1"/>
  <c r="U29" i="75"/>
  <c r="U30" i="71"/>
  <c r="W22" i="75"/>
  <c r="W22" i="71"/>
  <c r="K5867" i="18"/>
  <c r="L5868" i="18" s="1"/>
  <c r="E8" i="70"/>
  <c r="F44" i="48"/>
  <c r="E32" i="74"/>
  <c r="E49" i="70"/>
  <c r="I703" i="5"/>
  <c r="K171" i="50"/>
  <c r="Z35" i="75"/>
  <c r="K137" i="50"/>
  <c r="M606" i="5"/>
  <c r="K208" i="5"/>
  <c r="X20" i="75"/>
  <c r="X20" i="71"/>
  <c r="G345" i="50"/>
  <c r="E53" i="70"/>
  <c r="E36" i="74"/>
  <c r="K6018" i="18"/>
  <c r="L6019" i="18" s="1"/>
  <c r="E20" i="70"/>
  <c r="K5878" i="18"/>
  <c r="L5879" i="18" s="1"/>
  <c r="E10" i="74"/>
  <c r="K5019" i="18"/>
  <c r="L5020" i="18" s="1"/>
  <c r="V19" i="75"/>
  <c r="V19" i="71"/>
  <c r="K275" i="5"/>
  <c r="K298" i="5" s="1"/>
  <c r="K213" i="5"/>
  <c r="E41" i="74"/>
  <c r="E58" i="70"/>
  <c r="Q20" i="75"/>
  <c r="Q20" i="71"/>
  <c r="K169" i="50"/>
  <c r="K243" i="50"/>
  <c r="I671" i="5"/>
  <c r="AA35" i="75"/>
  <c r="K133" i="50"/>
  <c r="Y20" i="75"/>
  <c r="Y20" i="71"/>
  <c r="R31" i="75"/>
  <c r="R32" i="71"/>
  <c r="V29" i="75"/>
  <c r="V30" i="71"/>
  <c r="L213" i="5"/>
  <c r="H683" i="5"/>
  <c r="K2461" i="18"/>
  <c r="L2461" i="18" s="1"/>
  <c r="L1034" i="18"/>
  <c r="H4794" i="18"/>
  <c r="H4795" i="18" s="1"/>
  <c r="K4796" i="18" s="1"/>
  <c r="L4796" i="18" s="1"/>
  <c r="T20" i="71"/>
  <c r="Y30" i="75"/>
  <c r="Y31" i="71"/>
  <c r="S22" i="75"/>
  <c r="S22" i="71"/>
  <c r="G344" i="50"/>
  <c r="K6006" i="18"/>
  <c r="L6007" i="18" s="1"/>
  <c r="E50" i="70"/>
  <c r="E33" i="74"/>
  <c r="K5922" i="18"/>
  <c r="L5923" i="18" s="1"/>
  <c r="K5035" i="18"/>
  <c r="L5036" i="18" s="1"/>
  <c r="E15" i="74"/>
  <c r="E31" i="70"/>
  <c r="T28" i="71"/>
  <c r="K466" i="18"/>
  <c r="L466" i="18" s="1"/>
  <c r="O1653" i="18"/>
  <c r="K1489" i="18"/>
  <c r="L1489" i="18" s="1"/>
  <c r="W29" i="71"/>
  <c r="L17" i="18"/>
  <c r="K4650" i="18"/>
  <c r="I3677" i="18"/>
  <c r="I3678" i="18" s="1"/>
  <c r="J4536" i="18"/>
  <c r="J4537" i="18" s="1"/>
  <c r="T19" i="71"/>
  <c r="S11" i="71"/>
  <c r="O5334" i="18"/>
  <c r="H4536" i="18"/>
  <c r="H4537" i="18" s="1"/>
  <c r="K2232" i="18"/>
  <c r="L2232" i="18" s="1"/>
  <c r="M1860" i="18"/>
  <c r="K1077" i="18"/>
  <c r="L1077" i="18" s="1"/>
  <c r="F819" i="5"/>
  <c r="F820" i="5" s="1"/>
  <c r="S29" i="71"/>
  <c r="K446" i="18"/>
  <c r="L446" i="18" s="1"/>
  <c r="T15" i="71"/>
  <c r="M651" i="5"/>
  <c r="P5367" i="18"/>
  <c r="K4941" i="18"/>
  <c r="L4941" i="18" s="1"/>
  <c r="L3935" i="18"/>
  <c r="K398" i="18"/>
  <c r="L398" i="18" s="1"/>
  <c r="K1011" i="18"/>
  <c r="L1011" i="18" s="1"/>
  <c r="J242" i="5"/>
  <c r="J267" i="5" s="1"/>
  <c r="J834" i="5" s="1"/>
  <c r="J835" i="5" s="1"/>
  <c r="J836" i="5" s="1"/>
  <c r="M294" i="5"/>
  <c r="R35" i="71"/>
  <c r="R24" i="71"/>
  <c r="K190" i="18"/>
  <c r="L190" i="18" s="1"/>
  <c r="O5351" i="18"/>
  <c r="K1041" i="18"/>
  <c r="L1041" i="18" s="1"/>
  <c r="T30" i="71"/>
  <c r="P5383" i="18"/>
  <c r="M1034" i="18"/>
  <c r="K3303" i="18"/>
  <c r="L3303" i="18" s="1"/>
  <c r="K2291" i="18"/>
  <c r="L2291" i="18" s="1"/>
  <c r="P1653" i="18"/>
  <c r="K3935" i="18"/>
  <c r="M4895" i="18"/>
  <c r="K1867" i="18"/>
  <c r="L1867" i="18" s="1"/>
  <c r="L2070" i="18"/>
  <c r="M4873" i="18"/>
  <c r="K2827" i="18"/>
  <c r="M446" i="5"/>
  <c r="W25" i="71"/>
  <c r="W28" i="71"/>
  <c r="M308" i="5"/>
  <c r="S30" i="71"/>
  <c r="N2829" i="18"/>
  <c r="D44" i="47"/>
  <c r="X24" i="75"/>
  <c r="X25" i="71"/>
  <c r="T35" i="75"/>
  <c r="T36" i="71"/>
  <c r="G341" i="50"/>
  <c r="E21" i="74"/>
  <c r="K5955" i="18"/>
  <c r="L5956" i="18" s="1"/>
  <c r="E37" i="70"/>
  <c r="I690" i="5"/>
  <c r="K182" i="50"/>
  <c r="K161" i="50"/>
  <c r="K275" i="50"/>
  <c r="K190" i="50"/>
  <c r="K219" i="50"/>
  <c r="K249" i="50"/>
  <c r="K273" i="50"/>
  <c r="K183" i="50"/>
  <c r="F72" i="51"/>
  <c r="F85" i="51" s="1"/>
  <c r="G342" i="50"/>
  <c r="E25" i="74"/>
  <c r="K5974" i="18"/>
  <c r="L5975" i="18" s="1"/>
  <c r="E41" i="70"/>
  <c r="Y24" i="75"/>
  <c r="Y25" i="71"/>
  <c r="W26" i="75"/>
  <c r="W25" i="75" s="1"/>
  <c r="W27" i="71"/>
  <c r="AB11" i="75"/>
  <c r="AB11" i="71"/>
  <c r="H28" i="68"/>
  <c r="N1811" i="18"/>
  <c r="O1812" i="18" s="1"/>
  <c r="D27" i="47"/>
  <c r="D27" i="51"/>
  <c r="I27" i="51" s="1"/>
  <c r="J27" i="51" s="1"/>
  <c r="T9" i="75"/>
  <c r="T9" i="71"/>
  <c r="D32" i="47"/>
  <c r="H36" i="68"/>
  <c r="D32" i="51"/>
  <c r="I32" i="51" s="1"/>
  <c r="J32" i="51" s="1"/>
  <c r="N2031" i="18"/>
  <c r="O2032" i="18" s="1"/>
  <c r="AB23" i="75"/>
  <c r="AB24" i="71"/>
  <c r="K272" i="50"/>
  <c r="D79" i="51"/>
  <c r="I79" i="51" s="1"/>
  <c r="J79" i="51" s="1"/>
  <c r="N4167" i="18"/>
  <c r="O4168" i="18" s="1"/>
  <c r="D79" i="47"/>
  <c r="X9" i="75"/>
  <c r="X9" i="71"/>
  <c r="K112" i="50"/>
  <c r="H26" i="68"/>
  <c r="N1763" i="18"/>
  <c r="D25" i="51"/>
  <c r="I25" i="51" s="1"/>
  <c r="J25" i="51" s="1"/>
  <c r="D25" i="47"/>
  <c r="Q35" i="75"/>
  <c r="Q36" i="71"/>
  <c r="U10" i="75"/>
  <c r="U10" i="71"/>
  <c r="Y10" i="75"/>
  <c r="Y10" i="71"/>
  <c r="AB10" i="75"/>
  <c r="AB10" i="71"/>
  <c r="K173" i="50"/>
  <c r="K277" i="50"/>
  <c r="K217" i="50"/>
  <c r="Q24" i="75"/>
  <c r="Q25" i="71"/>
  <c r="Y34" i="75"/>
  <c r="Y32" i="75" s="1"/>
  <c r="Y35" i="71"/>
  <c r="Q28" i="75"/>
  <c r="Q29" i="71"/>
  <c r="AB24" i="75"/>
  <c r="AB25" i="71"/>
  <c r="R33" i="75"/>
  <c r="R32" i="75" s="1"/>
  <c r="R34" i="71"/>
  <c r="U35" i="75"/>
  <c r="U36" i="71"/>
  <c r="D34" i="51"/>
  <c r="I34" i="51" s="1"/>
  <c r="J34" i="51" s="1"/>
  <c r="D34" i="47"/>
  <c r="H38" i="68"/>
  <c r="N2201" i="18"/>
  <c r="U17" i="75"/>
  <c r="U17" i="71"/>
  <c r="AB33" i="75"/>
  <c r="AB34" i="71"/>
  <c r="E22" i="74"/>
  <c r="E38" i="70"/>
  <c r="L218" i="5"/>
  <c r="K223" i="50"/>
  <c r="K246" i="50"/>
  <c r="M274" i="5"/>
  <c r="Q34" i="75"/>
  <c r="Q35" i="71"/>
  <c r="U18" i="75"/>
  <c r="U18" i="71"/>
  <c r="R11" i="75"/>
  <c r="R11" i="71"/>
  <c r="K567" i="5"/>
  <c r="K565" i="5"/>
  <c r="Y22" i="75"/>
  <c r="Y22" i="71"/>
  <c r="S33" i="75"/>
  <c r="S32" i="75" s="1"/>
  <c r="S34" i="71"/>
  <c r="V35" i="75"/>
  <c r="V36" i="71"/>
  <c r="AB19" i="75"/>
  <c r="AB19" i="71"/>
  <c r="V17" i="75"/>
  <c r="V17" i="71"/>
  <c r="R10" i="75"/>
  <c r="R10" i="71"/>
  <c r="K221" i="50"/>
  <c r="S10" i="71"/>
  <c r="N2411" i="18"/>
  <c r="D36" i="51"/>
  <c r="I36" i="51" s="1"/>
  <c r="J36" i="51" s="1"/>
  <c r="H39" i="68"/>
  <c r="D36" i="47"/>
  <c r="U28" i="75"/>
  <c r="U29" i="71"/>
  <c r="R19" i="75"/>
  <c r="R19" i="71"/>
  <c r="H16" i="68"/>
  <c r="N697" i="18"/>
  <c r="O698" i="18" s="1"/>
  <c r="D19" i="47"/>
  <c r="D19" i="51"/>
  <c r="I19" i="51" s="1"/>
  <c r="J19" i="51" s="1"/>
  <c r="Q31" i="75"/>
  <c r="Q32" i="71"/>
  <c r="T23" i="75"/>
  <c r="T24" i="71"/>
  <c r="G334" i="50"/>
  <c r="E55" i="70"/>
  <c r="E38" i="74"/>
  <c r="K5084" i="18"/>
  <c r="L5085" i="18" s="1"/>
  <c r="X26" i="75"/>
  <c r="X27" i="71"/>
  <c r="V27" i="75"/>
  <c r="V28" i="71"/>
  <c r="T10" i="75"/>
  <c r="T10" i="71"/>
  <c r="L531" i="5"/>
  <c r="L556" i="5" s="1"/>
  <c r="K164" i="50"/>
  <c r="K194" i="50"/>
  <c r="K244" i="50"/>
  <c r="W19" i="71"/>
  <c r="V24" i="75"/>
  <c r="V25" i="71"/>
  <c r="W12" i="75"/>
  <c r="W12" i="71"/>
  <c r="H44" i="68"/>
  <c r="N2820" i="18"/>
  <c r="D43" i="51"/>
  <c r="I43" i="51" s="1"/>
  <c r="J43" i="51" s="1"/>
  <c r="D43" i="47"/>
  <c r="V28" i="75"/>
  <c r="V29" i="71"/>
  <c r="N2919" i="18"/>
  <c r="O2982" i="18" s="1"/>
  <c r="D46" i="47"/>
  <c r="D46" i="51"/>
  <c r="I46" i="51" s="1"/>
  <c r="J46" i="51" s="1"/>
  <c r="H45" i="68"/>
  <c r="U9" i="75"/>
  <c r="U9" i="71"/>
  <c r="T33" i="75"/>
  <c r="T32" i="75" s="1"/>
  <c r="T34" i="71"/>
  <c r="R15" i="75"/>
  <c r="R15" i="71"/>
  <c r="X35" i="75"/>
  <c r="X36" i="71"/>
  <c r="V33" i="75"/>
  <c r="V34" i="71"/>
  <c r="E43" i="74"/>
  <c r="E60" i="70"/>
  <c r="X17" i="75"/>
  <c r="X17" i="71"/>
  <c r="R18" i="75"/>
  <c r="R18" i="71"/>
  <c r="K220" i="50"/>
  <c r="W11" i="71"/>
  <c r="V34" i="75"/>
  <c r="V35" i="71"/>
  <c r="R26" i="75"/>
  <c r="R27" i="71"/>
  <c r="X18" i="75"/>
  <c r="X18" i="71"/>
  <c r="AB18" i="75"/>
  <c r="AB18" i="71"/>
  <c r="M601" i="5"/>
  <c r="W23" i="75"/>
  <c r="W24" i="71"/>
  <c r="Y17" i="75"/>
  <c r="Y17" i="71"/>
  <c r="K189" i="50"/>
  <c r="K248" i="50"/>
  <c r="K192" i="50"/>
  <c r="K247" i="50"/>
  <c r="AA33" i="75"/>
  <c r="AA32" i="75" s="1"/>
  <c r="K180" i="50"/>
  <c r="K245" i="50"/>
  <c r="H20" i="72"/>
  <c r="Z33" i="75"/>
  <c r="D44" i="51"/>
  <c r="I44" i="51" s="1"/>
  <c r="J44" i="51" s="1"/>
  <c r="T29" i="71"/>
  <c r="R9" i="71"/>
  <c r="S35" i="75"/>
  <c r="S36" i="71"/>
  <c r="G338" i="50"/>
  <c r="E14" i="74"/>
  <c r="K5911" i="18"/>
  <c r="L5912" i="18" s="1"/>
  <c r="I682" i="5"/>
  <c r="E30" i="70"/>
  <c r="X28" i="75"/>
  <c r="X29" i="71"/>
  <c r="U31" i="75"/>
  <c r="U32" i="71"/>
  <c r="AB28" i="75"/>
  <c r="AB29" i="71"/>
  <c r="W33" i="75"/>
  <c r="W34" i="71"/>
  <c r="AB15" i="75"/>
  <c r="AB15" i="71"/>
  <c r="G346" i="50"/>
  <c r="E37" i="74"/>
  <c r="I708" i="5"/>
  <c r="K6030" i="18"/>
  <c r="L6031" i="18" s="1"/>
  <c r="F78" i="74"/>
  <c r="F105" i="74" s="1"/>
  <c r="M206" i="5"/>
  <c r="F498" i="5"/>
  <c r="F523" i="5" s="1"/>
  <c r="F862" i="5" s="1"/>
  <c r="F863" i="5" s="1"/>
  <c r="F864" i="5" s="1"/>
  <c r="E94" i="70"/>
  <c r="F306" i="5"/>
  <c r="F329" i="5" s="1"/>
  <c r="F842" i="5" s="1"/>
  <c r="F843" i="5" s="1"/>
  <c r="F844" i="5" s="1"/>
  <c r="K239" i="50"/>
  <c r="D67" i="47"/>
  <c r="L24" i="68"/>
  <c r="D67" i="51"/>
  <c r="I67" i="51" s="1"/>
  <c r="J67" i="51" s="1"/>
  <c r="N3769" i="18"/>
  <c r="O3770" i="18" s="1"/>
  <c r="Y18" i="71"/>
  <c r="J564" i="5"/>
  <c r="J589" i="5" s="1"/>
  <c r="J870" i="5" s="1"/>
  <c r="J871" i="5" s="1"/>
  <c r="J872" i="5" s="1"/>
  <c r="AE47" i="2"/>
  <c r="AB48" i="2"/>
  <c r="AB49" i="2" s="1"/>
  <c r="AB50" i="2" s="1"/>
  <c r="J597" i="5"/>
  <c r="J622" i="5" s="1"/>
  <c r="O4051" i="18"/>
  <c r="M433" i="5"/>
  <c r="J465" i="5"/>
  <c r="J490" i="5" s="1"/>
  <c r="J858" i="5" s="1"/>
  <c r="J859" i="5" s="1"/>
  <c r="J860" i="5" s="1"/>
  <c r="L15" i="68"/>
  <c r="D62" i="51"/>
  <c r="I62" i="51" s="1"/>
  <c r="J62" i="51" s="1"/>
  <c r="L13" i="72"/>
  <c r="N3442" i="18"/>
  <c r="D62" i="47"/>
  <c r="L1860" i="18"/>
  <c r="K1853" i="18" s="1"/>
  <c r="J401" i="5"/>
  <c r="J426" i="5" s="1"/>
  <c r="E77" i="74"/>
  <c r="H5133" i="18" s="1"/>
  <c r="K287" i="50"/>
  <c r="L51" i="68"/>
  <c r="U52" i="71" s="1"/>
  <c r="D89" i="47"/>
  <c r="L42" i="72"/>
  <c r="D89" i="51"/>
  <c r="I89" i="51" s="1"/>
  <c r="J89" i="51" s="1"/>
  <c r="M845" i="5"/>
  <c r="N4350" i="18"/>
  <c r="O4351" i="18" s="1"/>
  <c r="F368" i="5"/>
  <c r="F393" i="5" s="1"/>
  <c r="F846" i="5" s="1"/>
  <c r="F847" i="5" s="1"/>
  <c r="F848" i="5" s="1"/>
  <c r="K292" i="50"/>
  <c r="N4448" i="18"/>
  <c r="O4449" i="18" s="1"/>
  <c r="L56" i="68"/>
  <c r="Z52" i="71" s="1"/>
  <c r="L47" i="72"/>
  <c r="D94" i="51"/>
  <c r="I94" i="51" s="1"/>
  <c r="J94" i="51" s="1"/>
  <c r="D94" i="47"/>
  <c r="M865" i="5"/>
  <c r="J498" i="5"/>
  <c r="J523" i="5" s="1"/>
  <c r="J862" i="5" s="1"/>
  <c r="J863" i="5" s="1"/>
  <c r="J864" i="5" s="1"/>
  <c r="D65" i="51"/>
  <c r="I65" i="51" s="1"/>
  <c r="J65" i="51" s="1"/>
  <c r="N3726" i="18"/>
  <c r="O3727" i="18" s="1"/>
  <c r="L16" i="72"/>
  <c r="D65" i="47"/>
  <c r="L22" i="68"/>
  <c r="F57" i="52"/>
  <c r="F22" i="52" s="1"/>
  <c r="F109" i="5"/>
  <c r="J337" i="5"/>
  <c r="J360" i="5" s="1"/>
  <c r="K250" i="50"/>
  <c r="N3915" i="18"/>
  <c r="O3916" i="18" s="1"/>
  <c r="D69" i="51"/>
  <c r="I69" i="51" s="1"/>
  <c r="J69" i="51" s="1"/>
  <c r="L20" i="72"/>
  <c r="D69" i="47"/>
  <c r="L28" i="68"/>
  <c r="K282" i="50"/>
  <c r="L43" i="68"/>
  <c r="D83" i="47"/>
  <c r="D83" i="51"/>
  <c r="I83" i="51" s="1"/>
  <c r="J83" i="51" s="1"/>
  <c r="L34" i="72"/>
  <c r="N4286" i="18"/>
  <c r="O4287" i="18" s="1"/>
  <c r="K284" i="50"/>
  <c r="D87" i="47"/>
  <c r="L47" i="68"/>
  <c r="Q52" i="71" s="1"/>
  <c r="K283" i="50"/>
  <c r="D87" i="51"/>
  <c r="I87" i="51" s="1"/>
  <c r="J87" i="51" s="1"/>
  <c r="M833" i="5"/>
  <c r="L38" i="72"/>
  <c r="N4307" i="18"/>
  <c r="O4317" i="18" s="1"/>
  <c r="K216" i="50"/>
  <c r="N3431" i="18"/>
  <c r="O3432" i="18" s="1"/>
  <c r="D61" i="51"/>
  <c r="I61" i="51" s="1"/>
  <c r="J61" i="51" s="1"/>
  <c r="L14" i="68"/>
  <c r="D61" i="47"/>
  <c r="O3829" i="18"/>
  <c r="O3839" i="18"/>
  <c r="L27" i="72"/>
  <c r="L36" i="68"/>
  <c r="D81" i="51"/>
  <c r="I81" i="51" s="1"/>
  <c r="J81" i="51" s="1"/>
  <c r="N4260" i="18"/>
  <c r="O4261" i="18" s="1"/>
  <c r="L41" i="68"/>
  <c r="D81" i="47"/>
  <c r="F465" i="5"/>
  <c r="F490" i="5" s="1"/>
  <c r="F858" i="5" s="1"/>
  <c r="F859" i="5" s="1"/>
  <c r="F860" i="5" s="1"/>
  <c r="N3408" i="18"/>
  <c r="O3409" i="18" s="1"/>
  <c r="L12" i="68"/>
  <c r="K214" i="50"/>
  <c r="L10" i="72"/>
  <c r="D59" i="51"/>
  <c r="I59" i="51" s="1"/>
  <c r="J59" i="51" s="1"/>
  <c r="D59" i="47"/>
  <c r="K215" i="50"/>
  <c r="D60" i="51"/>
  <c r="I60" i="51" s="1"/>
  <c r="J60" i="51" s="1"/>
  <c r="L11" i="72"/>
  <c r="N3420" i="18"/>
  <c r="O3421" i="18" s="1"/>
  <c r="D60" i="47"/>
  <c r="L13" i="68"/>
  <c r="K201" i="50"/>
  <c r="L33" i="72"/>
  <c r="L42" i="68"/>
  <c r="D82" i="47"/>
  <c r="N3239" i="18"/>
  <c r="O3256" i="18" s="1"/>
  <c r="D82" i="51"/>
  <c r="I82" i="51" s="1"/>
  <c r="J82" i="51" s="1"/>
  <c r="L37" i="68"/>
  <c r="L28" i="72"/>
  <c r="L8" i="72"/>
  <c r="K206" i="50"/>
  <c r="L8" i="68"/>
  <c r="N3318" i="18"/>
  <c r="O3319" i="18" s="1"/>
  <c r="D57" i="47"/>
  <c r="K209" i="50"/>
  <c r="D57" i="51"/>
  <c r="I57" i="51" s="1"/>
  <c r="J57" i="51" s="1"/>
  <c r="K224" i="50"/>
  <c r="N3530" i="18"/>
  <c r="D63" i="51"/>
  <c r="I63" i="51" s="1"/>
  <c r="J63" i="51" s="1"/>
  <c r="D63" i="47"/>
  <c r="L14" i="72"/>
  <c r="L16" i="68"/>
  <c r="D78" i="47"/>
  <c r="N4146" i="18"/>
  <c r="O4147" i="18" s="1"/>
  <c r="D78" i="51"/>
  <c r="I78" i="51" s="1"/>
  <c r="J78" i="51" s="1"/>
  <c r="E75" i="74"/>
  <c r="E92" i="70"/>
  <c r="L34" i="68"/>
  <c r="N3996" i="18"/>
  <c r="O3997" i="18" s="1"/>
  <c r="D74" i="47"/>
  <c r="D74" i="51"/>
  <c r="I74" i="51" s="1"/>
  <c r="J74" i="51" s="1"/>
  <c r="L25" i="72"/>
  <c r="K286" i="50"/>
  <c r="N4329" i="18"/>
  <c r="O4340" i="18" s="1"/>
  <c r="D88" i="51"/>
  <c r="I88" i="51" s="1"/>
  <c r="J88" i="51" s="1"/>
  <c r="L48" i="68"/>
  <c r="D88" i="47"/>
  <c r="K285" i="50"/>
  <c r="L39" i="72"/>
  <c r="M837" i="5"/>
  <c r="L49" i="68"/>
  <c r="R52" i="71" s="1"/>
  <c r="L40" i="72"/>
  <c r="R51" i="75" s="1"/>
  <c r="K267" i="50"/>
  <c r="L38" i="68"/>
  <c r="N4106" i="18"/>
  <c r="D76" i="47"/>
  <c r="D76" i="51"/>
  <c r="I76" i="51" s="1"/>
  <c r="J76" i="51" s="1"/>
  <c r="L29" i="72"/>
  <c r="D90" i="47"/>
  <c r="N4359" i="18"/>
  <c r="O4360" i="18" s="1"/>
  <c r="K288" i="50"/>
  <c r="L43" i="72"/>
  <c r="M849" i="5"/>
  <c r="D90" i="51"/>
  <c r="I90" i="51" s="1"/>
  <c r="J90" i="51" s="1"/>
  <c r="L52" i="68"/>
  <c r="V52" i="71" s="1"/>
  <c r="Z34" i="75"/>
  <c r="J630" i="5"/>
  <c r="J655" i="5" s="1"/>
  <c r="J874" i="5" s="1"/>
  <c r="J875" i="5" s="1"/>
  <c r="J876" i="5" s="1"/>
  <c r="F55" i="51"/>
  <c r="G23" i="51" s="1"/>
  <c r="J223" i="5"/>
  <c r="F275" i="5"/>
  <c r="F298" i="5" s="1"/>
  <c r="F838" i="5" s="1"/>
  <c r="F839" i="5" s="1"/>
  <c r="F840" i="5" s="1"/>
  <c r="F242" i="5"/>
  <c r="F267" i="5" s="1"/>
  <c r="F834" i="5" s="1"/>
  <c r="F835" i="5" s="1"/>
  <c r="F836" i="5" s="1"/>
  <c r="F337" i="5"/>
  <c r="F360" i="5" s="1"/>
  <c r="F64" i="5"/>
  <c r="S19" i="75"/>
  <c r="S16" i="75" s="1"/>
  <c r="S19" i="71"/>
  <c r="F208" i="5"/>
  <c r="J218" i="5"/>
  <c r="K168" i="50"/>
  <c r="H43" i="68"/>
  <c r="N2638" i="18"/>
  <c r="O2639" i="18" s="1"/>
  <c r="D40" i="47"/>
  <c r="D40" i="51"/>
  <c r="I40" i="51" s="1"/>
  <c r="J40" i="51" s="1"/>
  <c r="J531" i="5"/>
  <c r="J556" i="5" s="1"/>
  <c r="J866" i="5" s="1"/>
  <c r="J867" i="5" s="1"/>
  <c r="J868" i="5" s="1"/>
  <c r="J306" i="5"/>
  <c r="J329" i="5" s="1"/>
  <c r="J842" i="5" s="1"/>
  <c r="J843" i="5" s="1"/>
  <c r="J844" i="5" s="1"/>
  <c r="F630" i="5"/>
  <c r="F655" i="5" s="1"/>
  <c r="F874" i="5" s="1"/>
  <c r="F875" i="5" s="1"/>
  <c r="F876" i="5" s="1"/>
  <c r="H28" i="72"/>
  <c r="N2156" i="18"/>
  <c r="D33" i="47"/>
  <c r="H37" i="68"/>
  <c r="D33" i="51"/>
  <c r="I33" i="51" s="1"/>
  <c r="J33" i="51" s="1"/>
  <c r="K185" i="50"/>
  <c r="N2907" i="18"/>
  <c r="O2908" i="18" s="1"/>
  <c r="D45" i="47"/>
  <c r="D45" i="51"/>
  <c r="I45" i="51" s="1"/>
  <c r="J45" i="51" s="1"/>
  <c r="W10" i="75"/>
  <c r="W10" i="71"/>
  <c r="J275" i="5"/>
  <c r="J298" i="5" s="1"/>
  <c r="J838" i="5" s="1"/>
  <c r="J839" i="5" s="1"/>
  <c r="J840" i="5" s="1"/>
  <c r="D37" i="47"/>
  <c r="H31" i="72"/>
  <c r="D37" i="51"/>
  <c r="I37" i="51" s="1"/>
  <c r="J37" i="51" s="1"/>
  <c r="N2496" i="18"/>
  <c r="O2497" i="18" s="1"/>
  <c r="H40" i="68"/>
  <c r="Q18" i="75"/>
  <c r="Q18" i="71"/>
  <c r="Q9" i="75"/>
  <c r="Q9" i="71"/>
  <c r="D48" i="51"/>
  <c r="I48" i="51" s="1"/>
  <c r="J48" i="51" s="1"/>
  <c r="H38" i="72"/>
  <c r="D48" i="47"/>
  <c r="N3042" i="18"/>
  <c r="O3149" i="18" s="1"/>
  <c r="H47" i="68"/>
  <c r="K60" i="50"/>
  <c r="D20" i="51"/>
  <c r="I20" i="51" s="1"/>
  <c r="J20" i="51" s="1"/>
  <c r="D20" i="47"/>
  <c r="H15" i="72"/>
  <c r="H17" i="68"/>
  <c r="D48" i="52"/>
  <c r="N858" i="18"/>
  <c r="D75" i="48"/>
  <c r="J213" i="5"/>
  <c r="V26" i="75"/>
  <c r="V27" i="71"/>
  <c r="Y12" i="75"/>
  <c r="Y12" i="71"/>
  <c r="H25" i="72"/>
  <c r="D30" i="47"/>
  <c r="D30" i="51"/>
  <c r="I30" i="51" s="1"/>
  <c r="J30" i="51" s="1"/>
  <c r="H34" i="68"/>
  <c r="N1822" i="18"/>
  <c r="R20" i="75"/>
  <c r="R20" i="71"/>
  <c r="E125" i="8"/>
  <c r="Z20" i="71"/>
  <c r="Z16" i="71" s="1"/>
  <c r="M535" i="5"/>
  <c r="F230" i="5"/>
  <c r="X23" i="75"/>
  <c r="X24" i="71"/>
  <c r="M474" i="5"/>
  <c r="U30" i="75"/>
  <c r="U31" i="71"/>
  <c r="T18" i="75"/>
  <c r="T16" i="75" s="1"/>
  <c r="T18" i="71"/>
  <c r="M339" i="5"/>
  <c r="K13" i="50"/>
  <c r="H12" i="68"/>
  <c r="N89" i="18"/>
  <c r="O90" i="18" s="1"/>
  <c r="D15" i="51"/>
  <c r="I15" i="51" s="1"/>
  <c r="J15" i="51" s="1"/>
  <c r="D15" i="47"/>
  <c r="K205" i="50"/>
  <c r="H52" i="68"/>
  <c r="H43" i="72"/>
  <c r="D53" i="47"/>
  <c r="N3305" i="18"/>
  <c r="O3306" i="18" s="1"/>
  <c r="D53" i="51"/>
  <c r="I53" i="51" s="1"/>
  <c r="J53" i="51" s="1"/>
  <c r="F223" i="5"/>
  <c r="Z29" i="75"/>
  <c r="AA30" i="71"/>
  <c r="S12" i="75"/>
  <c r="S12" i="71"/>
  <c r="Q12" i="75"/>
  <c r="Q12" i="71"/>
  <c r="E97" i="74"/>
  <c r="H5132" i="18"/>
  <c r="V23" i="71"/>
  <c r="M220" i="5"/>
  <c r="U20" i="75"/>
  <c r="M217" i="5"/>
  <c r="M372" i="5"/>
  <c r="U20" i="71"/>
  <c r="Y23" i="75"/>
  <c r="M507" i="5"/>
  <c r="Y24" i="71"/>
  <c r="V11" i="75"/>
  <c r="V11" i="71"/>
  <c r="Z24" i="71"/>
  <c r="Z21" i="71" s="1"/>
  <c r="M540" i="5"/>
  <c r="I5131" i="18"/>
  <c r="I5134" i="18" s="1"/>
  <c r="F101" i="74"/>
  <c r="F103" i="74" s="1"/>
  <c r="F104" i="74" s="1"/>
  <c r="R24" i="75"/>
  <c r="R21" i="75" s="1"/>
  <c r="M282" i="5"/>
  <c r="R25" i="71"/>
  <c r="W23" i="71"/>
  <c r="M441" i="5"/>
  <c r="W18" i="75"/>
  <c r="W18" i="71"/>
  <c r="R29" i="75"/>
  <c r="R30" i="71"/>
  <c r="M227" i="5"/>
  <c r="M644" i="5"/>
  <c r="AB12" i="75"/>
  <c r="AB12" i="71"/>
  <c r="K175" i="50"/>
  <c r="D41" i="47"/>
  <c r="D41" i="51"/>
  <c r="I41" i="51" s="1"/>
  <c r="J41" i="51" s="1"/>
  <c r="N2647" i="18"/>
  <c r="T11" i="75"/>
  <c r="T11" i="71"/>
  <c r="M336" i="5"/>
  <c r="J230" i="5"/>
  <c r="Q23" i="75"/>
  <c r="Q24" i="71"/>
  <c r="H32" i="72"/>
  <c r="N2519" i="18"/>
  <c r="O2520" i="18" s="1"/>
  <c r="D38" i="51"/>
  <c r="I38" i="51" s="1"/>
  <c r="J38" i="51" s="1"/>
  <c r="D38" i="47"/>
  <c r="H41" i="68"/>
  <c r="K200" i="50"/>
  <c r="H42" i="72"/>
  <c r="D52" i="47"/>
  <c r="H51" i="68"/>
  <c r="D52" i="51"/>
  <c r="I52" i="51" s="1"/>
  <c r="J52" i="51" s="1"/>
  <c r="N3238" i="18"/>
  <c r="O3240" i="18" s="1"/>
  <c r="Z29" i="71"/>
  <c r="Z26" i="71" s="1"/>
  <c r="M545" i="5"/>
  <c r="T22" i="75"/>
  <c r="M344" i="5"/>
  <c r="T22" i="71"/>
  <c r="S26" i="75"/>
  <c r="S27" i="71"/>
  <c r="Z11" i="71"/>
  <c r="Z13" i="71" s="1"/>
  <c r="M530" i="5"/>
  <c r="Z34" i="71"/>
  <c r="M552" i="5"/>
  <c r="M231" i="5"/>
  <c r="X30" i="75"/>
  <c r="X31" i="71"/>
  <c r="F531" i="5"/>
  <c r="F556" i="5" s="1"/>
  <c r="F866" i="5" s="1"/>
  <c r="F867" i="5" s="1"/>
  <c r="F868" i="5" s="1"/>
  <c r="J208" i="5"/>
  <c r="H12" i="72"/>
  <c r="D17" i="51"/>
  <c r="I17" i="51" s="1"/>
  <c r="J17" i="51" s="1"/>
  <c r="D17" i="47"/>
  <c r="N119" i="18"/>
  <c r="H14" i="68"/>
  <c r="Z10" i="75"/>
  <c r="AA10" i="75"/>
  <c r="AA10" i="71"/>
  <c r="M204" i="5"/>
  <c r="K10" i="50"/>
  <c r="H8" i="72"/>
  <c r="K11" i="50"/>
  <c r="H8" i="68"/>
  <c r="D13" i="51"/>
  <c r="N9" i="18"/>
  <c r="D13" i="47"/>
  <c r="AA35" i="71"/>
  <c r="AA33" i="71" s="1"/>
  <c r="M585" i="5"/>
  <c r="K195" i="50"/>
  <c r="H39" i="72"/>
  <c r="D49" i="51"/>
  <c r="I49" i="51" s="1"/>
  <c r="J49" i="51" s="1"/>
  <c r="H48" i="68"/>
  <c r="N3174" i="18"/>
  <c r="O3175" i="18" s="1"/>
  <c r="D49" i="47"/>
  <c r="S23" i="75"/>
  <c r="S24" i="71"/>
  <c r="M313" i="5"/>
  <c r="R35" i="75"/>
  <c r="R36" i="71"/>
  <c r="T26" i="75"/>
  <c r="T27" i="71"/>
  <c r="AB34" i="75"/>
  <c r="M618" i="5"/>
  <c r="AB35" i="71"/>
  <c r="W17" i="75"/>
  <c r="W17" i="71"/>
  <c r="M436" i="5"/>
  <c r="K63" i="50"/>
  <c r="H16" i="72"/>
  <c r="D21" i="47"/>
  <c r="N933" i="18"/>
  <c r="D21" i="51"/>
  <c r="I21" i="51" s="1"/>
  <c r="J21" i="51" s="1"/>
  <c r="H21" i="68"/>
  <c r="F597" i="5"/>
  <c r="F622" i="5" s="1"/>
  <c r="F213" i="5"/>
  <c r="Q19" i="75"/>
  <c r="M246" i="5"/>
  <c r="Q19" i="71"/>
  <c r="R28" i="75"/>
  <c r="R29" i="71"/>
  <c r="M287" i="5"/>
  <c r="H26" i="72"/>
  <c r="D31" i="51"/>
  <c r="I31" i="51" s="1"/>
  <c r="J31" i="51" s="1"/>
  <c r="N1946" i="18"/>
  <c r="O1947" i="18" s="1"/>
  <c r="D31" i="47"/>
  <c r="H35" i="68"/>
  <c r="U34" i="75"/>
  <c r="U32" i="75" s="1"/>
  <c r="U35" i="71"/>
  <c r="M389" i="5"/>
  <c r="F54" i="52"/>
  <c r="Q26" i="75"/>
  <c r="Q27" i="71"/>
  <c r="M256" i="5"/>
  <c r="U24" i="75"/>
  <c r="U21" i="75" s="1"/>
  <c r="U25" i="71"/>
  <c r="M377" i="5"/>
  <c r="M222" i="5"/>
  <c r="S27" i="75"/>
  <c r="S28" i="71"/>
  <c r="M318" i="5"/>
  <c r="H33" i="72"/>
  <c r="K165" i="50"/>
  <c r="N2556" i="18"/>
  <c r="H42" i="68"/>
  <c r="D39" i="51"/>
  <c r="I39" i="51" s="1"/>
  <c r="J39" i="51" s="1"/>
  <c r="D39" i="47"/>
  <c r="S15" i="75"/>
  <c r="S15" i="71"/>
  <c r="K114" i="50"/>
  <c r="H21" i="72"/>
  <c r="D26" i="51"/>
  <c r="I26" i="51" s="1"/>
  <c r="J26" i="51" s="1"/>
  <c r="D26" i="47"/>
  <c r="H27" i="68"/>
  <c r="N1789" i="18"/>
  <c r="O1790" i="18" s="1"/>
  <c r="V9" i="75"/>
  <c r="V9" i="71"/>
  <c r="M400" i="5"/>
  <c r="F786" i="5"/>
  <c r="F55" i="52"/>
  <c r="V18" i="75"/>
  <c r="V18" i="71"/>
  <c r="M405" i="5"/>
  <c r="V12" i="75"/>
  <c r="V12" i="71"/>
  <c r="X12" i="75"/>
  <c r="M464" i="5"/>
  <c r="X12" i="71"/>
  <c r="V22" i="75"/>
  <c r="V22" i="71"/>
  <c r="M410" i="5"/>
  <c r="Q27" i="75"/>
  <c r="Q28" i="71"/>
  <c r="X34" i="75"/>
  <c r="X32" i="75" s="1"/>
  <c r="X35" i="71"/>
  <c r="M486" i="5"/>
  <c r="X27" i="75"/>
  <c r="M479" i="5"/>
  <c r="X28" i="71"/>
  <c r="Y31" i="75"/>
  <c r="Y32" i="71"/>
  <c r="Y26" i="75"/>
  <c r="Y27" i="71"/>
  <c r="X19" i="75"/>
  <c r="X19" i="71"/>
  <c r="M469" i="5"/>
  <c r="H18" i="72"/>
  <c r="D23" i="51"/>
  <c r="I23" i="51" s="1"/>
  <c r="J23" i="51" s="1"/>
  <c r="H23" i="68"/>
  <c r="N966" i="18"/>
  <c r="O967" i="18" s="1"/>
  <c r="D23" i="47"/>
  <c r="Y11" i="75"/>
  <c r="Y11" i="71"/>
  <c r="N2796" i="18"/>
  <c r="D42" i="51"/>
  <c r="I42" i="51" s="1"/>
  <c r="J42" i="51" s="1"/>
  <c r="D42" i="47"/>
  <c r="AB30" i="75"/>
  <c r="AB31" i="71"/>
  <c r="AA26" i="75"/>
  <c r="Z26" i="75"/>
  <c r="AA27" i="71"/>
  <c r="M578" i="5"/>
  <c r="M224" i="5"/>
  <c r="Y19" i="75"/>
  <c r="Y19" i="71"/>
  <c r="M216" i="5"/>
  <c r="M502" i="5"/>
  <c r="F12" i="73"/>
  <c r="K312" i="50"/>
  <c r="K311" i="50"/>
  <c r="N4724" i="18"/>
  <c r="D106" i="47"/>
  <c r="D106" i="51"/>
  <c r="I106" i="51" s="1"/>
  <c r="J106" i="51" s="1"/>
  <c r="F24" i="69"/>
  <c r="F20" i="73"/>
  <c r="K317" i="50"/>
  <c r="F33" i="69"/>
  <c r="D110" i="47"/>
  <c r="D110" i="51"/>
  <c r="I110" i="51" s="1"/>
  <c r="J110" i="51" s="1"/>
  <c r="N4820" i="18"/>
  <c r="O4821" i="18" s="1"/>
  <c r="K198" i="50"/>
  <c r="K199" i="50"/>
  <c r="H41" i="72"/>
  <c r="H50" i="68"/>
  <c r="N3212" i="18"/>
  <c r="O3213" i="18" s="1"/>
  <c r="D51" i="51"/>
  <c r="I51" i="51" s="1"/>
  <c r="J51" i="51" s="1"/>
  <c r="D51" i="47"/>
  <c r="K213" i="50"/>
  <c r="K212" i="50"/>
  <c r="L9" i="72"/>
  <c r="D58" i="51"/>
  <c r="N3380" i="18"/>
  <c r="L11" i="68"/>
  <c r="M92" i="5"/>
  <c r="D58" i="47"/>
  <c r="U27" i="75"/>
  <c r="U28" i="71"/>
  <c r="M382" i="5"/>
  <c r="M225" i="5"/>
  <c r="Q11" i="75"/>
  <c r="Q11" i="71"/>
  <c r="M205" i="5"/>
  <c r="M241" i="5"/>
  <c r="AA31" i="75"/>
  <c r="Z31" i="75"/>
  <c r="AA32" i="71"/>
  <c r="W34" i="75"/>
  <c r="W35" i="71"/>
  <c r="M453" i="5"/>
  <c r="M232" i="5"/>
  <c r="T31" i="75"/>
  <c r="T32" i="71"/>
  <c r="M349" i="5"/>
  <c r="F401" i="5"/>
  <c r="F218" i="5"/>
  <c r="F22" i="73"/>
  <c r="K319" i="50"/>
  <c r="F35" i="69"/>
  <c r="D112" i="47"/>
  <c r="D112" i="51"/>
  <c r="I112" i="51" s="1"/>
  <c r="J112" i="51" s="1"/>
  <c r="N4861" i="18"/>
  <c r="O4862" i="18" s="1"/>
  <c r="L31" i="72"/>
  <c r="K278" i="50"/>
  <c r="D80" i="47"/>
  <c r="N4246" i="18"/>
  <c r="O4247" i="18" s="1"/>
  <c r="M108" i="5"/>
  <c r="L40" i="68"/>
  <c r="D80" i="51"/>
  <c r="U12" i="75"/>
  <c r="U12" i="71"/>
  <c r="M367" i="5"/>
  <c r="M207" i="5"/>
  <c r="AA9" i="75"/>
  <c r="M563" i="5"/>
  <c r="AA9" i="71"/>
  <c r="F24" i="73"/>
  <c r="K321" i="50"/>
  <c r="F37" i="69"/>
  <c r="N4897" i="18"/>
  <c r="O4898" i="18" s="1"/>
  <c r="D114" i="51"/>
  <c r="I114" i="51" s="1"/>
  <c r="J114" i="51" s="1"/>
  <c r="D114" i="47"/>
  <c r="Q22" i="75"/>
  <c r="Q22" i="71"/>
  <c r="M251" i="5"/>
  <c r="M219" i="5"/>
  <c r="Y9" i="75"/>
  <c r="M497" i="5"/>
  <c r="M203" i="5"/>
  <c r="Y9" i="71"/>
  <c r="R17" i="75"/>
  <c r="R17" i="71"/>
  <c r="M214" i="5"/>
  <c r="M277" i="5"/>
  <c r="Y27" i="75"/>
  <c r="Y28" i="71"/>
  <c r="M512" i="5"/>
  <c r="F18" i="73"/>
  <c r="F30" i="69"/>
  <c r="F27" i="73"/>
  <c r="K324" i="50"/>
  <c r="D117" i="51"/>
  <c r="N4943" i="18"/>
  <c r="O4944" i="18" s="1"/>
  <c r="F40" i="69"/>
  <c r="D117" i="47"/>
  <c r="K193" i="5"/>
  <c r="AA11" i="75"/>
  <c r="Z11" i="75"/>
  <c r="AA11" i="71"/>
  <c r="AB9" i="75"/>
  <c r="AB9" i="71"/>
  <c r="M596" i="5"/>
  <c r="Z30" i="75"/>
  <c r="AA30" i="75"/>
  <c r="M228" i="5"/>
  <c r="AA31" i="71"/>
  <c r="Y28" i="75"/>
  <c r="Y29" i="71"/>
  <c r="M226" i="5"/>
  <c r="L401" i="5"/>
  <c r="Z23" i="75"/>
  <c r="AA23" i="75"/>
  <c r="AA24" i="71"/>
  <c r="M221" i="5"/>
  <c r="M573" i="5"/>
  <c r="F10" i="73"/>
  <c r="K308" i="50"/>
  <c r="K307" i="50"/>
  <c r="F22" i="69"/>
  <c r="D107" i="48"/>
  <c r="N4662" i="18"/>
  <c r="O4663" i="18" s="1"/>
  <c r="D104" i="47"/>
  <c r="D68" i="52"/>
  <c r="D104" i="51"/>
  <c r="I104" i="51" s="1"/>
  <c r="J104" i="51" s="1"/>
  <c r="AB31" i="75"/>
  <c r="M611" i="5"/>
  <c r="AB32" i="71"/>
  <c r="Y35" i="75"/>
  <c r="M233" i="5"/>
  <c r="Y36" i="71"/>
  <c r="S9" i="75"/>
  <c r="S9" i="71"/>
  <c r="M305" i="5"/>
  <c r="E9" i="74"/>
  <c r="E19" i="70"/>
  <c r="E27" i="74"/>
  <c r="E44" i="70"/>
  <c r="L117" i="5"/>
  <c r="K86" i="50"/>
  <c r="K88" i="50"/>
  <c r="K93" i="50"/>
  <c r="K95" i="50"/>
  <c r="K97" i="50"/>
  <c r="K99" i="50"/>
  <c r="K71" i="50"/>
  <c r="K85" i="50"/>
  <c r="K87" i="50"/>
  <c r="K94" i="50"/>
  <c r="K96" i="50"/>
  <c r="K98" i="50"/>
  <c r="K68" i="50"/>
  <c r="K70" i="50"/>
  <c r="K82" i="50"/>
  <c r="K90" i="50"/>
  <c r="K92" i="50"/>
  <c r="K100" i="50"/>
  <c r="K80" i="50"/>
  <c r="K73" i="50"/>
  <c r="K76" i="50"/>
  <c r="K78" i="50"/>
  <c r="K83" i="50"/>
  <c r="K81" i="50"/>
  <c r="K69" i="50"/>
  <c r="K72" i="50"/>
  <c r="K75" i="50"/>
  <c r="K84" i="50"/>
  <c r="K91" i="50"/>
  <c r="K77" i="50"/>
  <c r="K74" i="50"/>
  <c r="K79" i="50"/>
  <c r="K89" i="50"/>
  <c r="N987" i="18"/>
  <c r="M35" i="5"/>
  <c r="K188" i="50"/>
  <c r="H37" i="72"/>
  <c r="D47" i="47"/>
  <c r="H46" i="68"/>
  <c r="D47" i="51"/>
  <c r="N3005" i="18"/>
  <c r="O3006" i="18" s="1"/>
  <c r="M63" i="5"/>
  <c r="F8" i="73"/>
  <c r="K297" i="50"/>
  <c r="K302" i="50"/>
  <c r="K304" i="50"/>
  <c r="D67" i="52"/>
  <c r="N4487" i="18"/>
  <c r="O4507" i="18" s="1"/>
  <c r="F13" i="69"/>
  <c r="D106" i="48"/>
  <c r="D102" i="47"/>
  <c r="M132" i="5"/>
  <c r="D102" i="51"/>
  <c r="F16" i="73"/>
  <c r="K315" i="50"/>
  <c r="F28" i="69"/>
  <c r="D108" i="51"/>
  <c r="I108" i="51" s="1"/>
  <c r="J108" i="51" s="1"/>
  <c r="D108" i="47"/>
  <c r="N4775" i="18"/>
  <c r="O4776" i="18" s="1"/>
  <c r="K291" i="50"/>
  <c r="L46" i="72"/>
  <c r="D93" i="47"/>
  <c r="D93" i="51"/>
  <c r="I93" i="51" s="1"/>
  <c r="J93" i="51" s="1"/>
  <c r="M861" i="5"/>
  <c r="N4423" i="18"/>
  <c r="O4424" i="18" s="1"/>
  <c r="L55" i="68"/>
  <c r="Y52" i="71" s="1"/>
  <c r="K117" i="5"/>
  <c r="K435" i="5"/>
  <c r="K192" i="5"/>
  <c r="V31" i="75"/>
  <c r="M229" i="5"/>
  <c r="V32" i="71"/>
  <c r="AA18" i="75"/>
  <c r="Z18" i="75"/>
  <c r="AA18" i="71"/>
  <c r="M215" i="5"/>
  <c r="M568" i="5"/>
  <c r="M404" i="5"/>
  <c r="M158" i="5"/>
  <c r="H287" i="50"/>
  <c r="H77" i="50"/>
  <c r="L100" i="50"/>
  <c r="H21" i="50"/>
  <c r="L15" i="50"/>
  <c r="H313" i="50"/>
  <c r="H382" i="50"/>
  <c r="H304" i="50"/>
  <c r="L46" i="50"/>
  <c r="L215" i="50"/>
  <c r="L314" i="50"/>
  <c r="L262" i="50"/>
  <c r="H168" i="50"/>
  <c r="L61" i="50"/>
  <c r="H193" i="50"/>
  <c r="H284" i="50"/>
  <c r="L313" i="50"/>
  <c r="L43" i="46"/>
  <c r="H39" i="50"/>
  <c r="L243" i="50"/>
  <c r="L297" i="50"/>
  <c r="H136" i="50"/>
  <c r="L196" i="50"/>
  <c r="L181" i="50"/>
  <c r="H72" i="50"/>
  <c r="L225" i="50"/>
  <c r="H172" i="50"/>
  <c r="H192" i="50"/>
  <c r="L89" i="50"/>
  <c r="L10" i="46"/>
  <c r="H336" i="50"/>
  <c r="H339" i="50"/>
  <c r="H250" i="50"/>
  <c r="L312" i="50"/>
  <c r="L257" i="50"/>
  <c r="L233" i="50"/>
  <c r="H297" i="50"/>
  <c r="H316" i="50"/>
  <c r="H401" i="50"/>
  <c r="H152" i="50"/>
  <c r="H92" i="50"/>
  <c r="L124" i="50"/>
  <c r="H99" i="50"/>
  <c r="L372" i="50"/>
  <c r="L263" i="50"/>
  <c r="H342" i="50"/>
  <c r="H183" i="50"/>
  <c r="L23" i="46"/>
  <c r="L51" i="50"/>
  <c r="H73" i="50"/>
  <c r="H15" i="50"/>
  <c r="L374" i="50"/>
  <c r="L58" i="46"/>
  <c r="H180" i="50"/>
  <c r="G20" i="46"/>
  <c r="H309" i="50"/>
  <c r="H235" i="50"/>
  <c r="H245" i="50"/>
  <c r="L187" i="50"/>
  <c r="L406" i="50"/>
  <c r="H325" i="50"/>
  <c r="H121" i="50"/>
  <c r="L238" i="50"/>
  <c r="H364" i="50"/>
  <c r="H263" i="50"/>
  <c r="H219" i="50"/>
  <c r="H30" i="50"/>
  <c r="H33" i="50"/>
  <c r="L321" i="50"/>
  <c r="G9" i="46"/>
  <c r="L325" i="50"/>
  <c r="L189" i="50"/>
  <c r="L217" i="50"/>
  <c r="L308" i="50"/>
  <c r="H142" i="50"/>
  <c r="H52" i="50"/>
  <c r="L213" i="50"/>
  <c r="H290" i="50"/>
  <c r="H188" i="50"/>
  <c r="H278" i="50"/>
  <c r="H261" i="50"/>
  <c r="L69" i="50"/>
  <c r="H256" i="50"/>
  <c r="L42" i="46"/>
  <c r="L24" i="46"/>
  <c r="L255" i="50"/>
  <c r="H69" i="50"/>
  <c r="L62" i="50"/>
  <c r="L306" i="50"/>
  <c r="H198" i="50"/>
  <c r="H43" i="50"/>
  <c r="H119" i="50"/>
  <c r="H337" i="50"/>
  <c r="H375" i="50"/>
  <c r="H211" i="50"/>
  <c r="H131" i="50"/>
  <c r="L197" i="50"/>
  <c r="L159" i="50"/>
  <c r="H311" i="50"/>
  <c r="H210" i="50"/>
  <c r="L28" i="46"/>
  <c r="L253" i="50"/>
  <c r="L244" i="50"/>
  <c r="L291" i="50"/>
  <c r="H91" i="50"/>
  <c r="L44" i="46"/>
  <c r="L185" i="50"/>
  <c r="L141" i="50"/>
  <c r="H70" i="50"/>
  <c r="L33" i="46"/>
  <c r="H141" i="50"/>
  <c r="H324" i="50"/>
  <c r="H37" i="50"/>
  <c r="H171" i="50"/>
  <c r="H130" i="50"/>
  <c r="H226" i="50"/>
  <c r="H328" i="50"/>
  <c r="H363" i="50"/>
  <c r="L27" i="50"/>
  <c r="L231" i="50"/>
  <c r="L72" i="50"/>
  <c r="H220" i="50"/>
  <c r="L193" i="50"/>
  <c r="G27" i="46"/>
  <c r="H201" i="50"/>
  <c r="H294" i="50"/>
  <c r="L195" i="50"/>
  <c r="G29" i="46"/>
  <c r="H28" i="50"/>
  <c r="H289" i="50"/>
  <c r="H340" i="50"/>
  <c r="H42" i="50"/>
  <c r="H162" i="50"/>
  <c r="L130" i="50"/>
  <c r="H314" i="50"/>
  <c r="L19" i="46"/>
  <c r="H96" i="50"/>
  <c r="H14" i="50"/>
  <c r="L206" i="50"/>
  <c r="H13" i="50"/>
  <c r="H124" i="50"/>
  <c r="L138" i="50"/>
  <c r="L256" i="50"/>
  <c r="L169" i="50"/>
  <c r="L292" i="50"/>
  <c r="H365" i="50"/>
  <c r="L266" i="50"/>
  <c r="L268" i="50"/>
  <c r="H329" i="50"/>
  <c r="H94" i="50"/>
  <c r="G58" i="46"/>
  <c r="H257" i="50"/>
  <c r="H22" i="50"/>
  <c r="H282" i="50"/>
  <c r="L402" i="50"/>
  <c r="H16" i="50"/>
  <c r="L305" i="50"/>
  <c r="H308" i="50"/>
  <c r="H154" i="50"/>
  <c r="H83" i="50"/>
  <c r="L188" i="50"/>
  <c r="H266" i="50"/>
  <c r="H236" i="50"/>
  <c r="L198" i="50"/>
  <c r="L235" i="50"/>
  <c r="H209" i="50"/>
  <c r="L303" i="50"/>
  <c r="H322" i="50"/>
  <c r="H128" i="50"/>
  <c r="H59" i="50"/>
  <c r="G37" i="46"/>
  <c r="H20" i="50"/>
  <c r="H299" i="50"/>
  <c r="L377" i="50"/>
  <c r="L186" i="50"/>
  <c r="L241" i="50"/>
  <c r="H298" i="50"/>
  <c r="H50" i="50"/>
  <c r="H269" i="50"/>
  <c r="H333" i="50"/>
  <c r="H341" i="50"/>
  <c r="L322" i="50"/>
  <c r="G48" i="46"/>
  <c r="G32" i="46"/>
  <c r="H95" i="50"/>
  <c r="G25" i="46"/>
  <c r="L86" i="50"/>
  <c r="L270" i="50"/>
  <c r="H63" i="50"/>
  <c r="L56" i="50"/>
  <c r="L307" i="50"/>
  <c r="H344" i="50"/>
  <c r="H379" i="50"/>
  <c r="H61" i="50"/>
  <c r="L386" i="50"/>
  <c r="L304" i="50"/>
  <c r="H163" i="50"/>
  <c r="H115" i="50"/>
  <c r="L66" i="50"/>
  <c r="H101" i="50"/>
  <c r="H65" i="50"/>
  <c r="L401" i="50"/>
  <c r="G31" i="46"/>
  <c r="L387" i="50"/>
  <c r="L34" i="46"/>
  <c r="L290" i="50"/>
  <c r="H300" i="50"/>
  <c r="L31" i="46"/>
  <c r="H132" i="50"/>
  <c r="L22" i="46"/>
  <c r="L327" i="50"/>
  <c r="H147" i="50"/>
  <c r="L60" i="50"/>
  <c r="H291" i="50"/>
  <c r="H224" i="50"/>
  <c r="H120" i="50"/>
  <c r="L87" i="50"/>
  <c r="L272" i="50"/>
  <c r="L39" i="46"/>
  <c r="G17" i="46"/>
  <c r="L131" i="50"/>
  <c r="L375" i="50"/>
  <c r="L376" i="50"/>
  <c r="H164" i="50"/>
  <c r="H178" i="50"/>
  <c r="H90" i="50"/>
  <c r="H62" i="50"/>
  <c r="H51" i="50"/>
  <c r="L112" i="50"/>
  <c r="H320" i="50"/>
  <c r="L296" i="50"/>
  <c r="G73" i="46"/>
  <c r="H251" i="50"/>
  <c r="H406" i="50"/>
  <c r="G21" i="46"/>
  <c r="L64" i="50"/>
  <c r="L179" i="50"/>
  <c r="G30" i="46"/>
  <c r="H239" i="50"/>
  <c r="H151" i="50"/>
  <c r="L180" i="50"/>
  <c r="L162" i="50"/>
  <c r="L142" i="50"/>
  <c r="G42" i="46"/>
  <c r="L282" i="50"/>
  <c r="H246" i="50"/>
  <c r="H259" i="50"/>
  <c r="H57" i="50"/>
  <c r="H372" i="50"/>
  <c r="H58" i="50"/>
  <c r="L63" i="50"/>
  <c r="H319" i="50"/>
  <c r="H185" i="50"/>
  <c r="H208" i="50"/>
  <c r="H398" i="50"/>
  <c r="L316" i="50"/>
  <c r="H357" i="50"/>
  <c r="L27" i="46"/>
  <c r="H281" i="50"/>
  <c r="L57" i="50"/>
  <c r="H272" i="50"/>
  <c r="H47" i="50"/>
  <c r="H112" i="50"/>
  <c r="L99" i="50"/>
  <c r="H228" i="50"/>
  <c r="L34" i="50"/>
  <c r="L254" i="50"/>
  <c r="H176" i="50"/>
  <c r="H161" i="50"/>
  <c r="H170" i="50"/>
  <c r="H218" i="50"/>
  <c r="L30" i="46"/>
  <c r="H374" i="50"/>
  <c r="L165" i="50"/>
  <c r="L20" i="46"/>
  <c r="L32" i="46"/>
  <c r="L16" i="46"/>
  <c r="H25" i="50"/>
  <c r="H56" i="50"/>
  <c r="L35" i="46"/>
  <c r="H41" i="50"/>
  <c r="H84" i="50"/>
  <c r="L329" i="50"/>
  <c r="L35" i="50"/>
  <c r="L23" i="50"/>
  <c r="H155" i="50"/>
  <c r="G26" i="46"/>
  <c r="H160" i="50"/>
  <c r="L122" i="50"/>
  <c r="L85" i="50"/>
  <c r="L287" i="50"/>
  <c r="H231" i="50"/>
  <c r="H122" i="50"/>
  <c r="L76" i="50"/>
  <c r="H205" i="50"/>
  <c r="L239" i="50"/>
  <c r="H78" i="50"/>
  <c r="H31" i="50"/>
  <c r="H386" i="50"/>
  <c r="H60" i="50"/>
  <c r="H138" i="50"/>
  <c r="H330" i="50"/>
  <c r="H258" i="50"/>
  <c r="H64" i="50"/>
  <c r="H85" i="50"/>
  <c r="L164" i="50"/>
  <c r="H207" i="50"/>
  <c r="H310" i="50"/>
  <c r="L232" i="50"/>
  <c r="L204" i="50"/>
  <c r="L47" i="50"/>
  <c r="H230" i="50"/>
  <c r="H334" i="50"/>
  <c r="H18" i="50"/>
  <c r="H286" i="50"/>
  <c r="H378" i="50"/>
  <c r="H66" i="50"/>
  <c r="L265" i="50"/>
  <c r="H159" i="50"/>
  <c r="H234" i="50"/>
  <c r="H262" i="50"/>
  <c r="L211" i="50"/>
  <c r="H366" i="50"/>
  <c r="H267" i="50"/>
  <c r="H113" i="50"/>
  <c r="H104" i="50"/>
  <c r="L183" i="50"/>
  <c r="L333" i="50"/>
  <c r="H145" i="50"/>
  <c r="H144" i="50"/>
  <c r="L373" i="50"/>
  <c r="L150" i="50"/>
  <c r="L284" i="50"/>
  <c r="H74" i="50"/>
  <c r="H197" i="50"/>
  <c r="H285" i="50"/>
  <c r="L323" i="50"/>
  <c r="L300" i="50"/>
  <c r="H186" i="50"/>
  <c r="H380" i="50"/>
  <c r="H214" i="50"/>
  <c r="H307" i="50"/>
  <c r="L46" i="46"/>
  <c r="L228" i="50"/>
  <c r="H26" i="50"/>
  <c r="H343" i="50"/>
  <c r="H222" i="50"/>
  <c r="H288" i="50"/>
  <c r="H377" i="50"/>
  <c r="L201" i="50"/>
  <c r="H19" i="50"/>
  <c r="L200" i="50"/>
  <c r="L29" i="46"/>
  <c r="H181" i="50"/>
  <c r="H80" i="50"/>
  <c r="H179" i="50"/>
  <c r="H265" i="50"/>
  <c r="L332" i="50"/>
  <c r="L118" i="50"/>
  <c r="H318" i="50"/>
  <c r="H173" i="50"/>
  <c r="L28" i="50"/>
  <c r="L318" i="50"/>
  <c r="L279" i="50"/>
  <c r="H331" i="50"/>
  <c r="H402" i="50"/>
  <c r="L261" i="50"/>
  <c r="L12" i="50"/>
  <c r="L21" i="46"/>
  <c r="H345" i="50"/>
  <c r="L250" i="50"/>
  <c r="L298" i="50"/>
  <c r="H356" i="50"/>
  <c r="H317" i="50"/>
  <c r="H303" i="50"/>
  <c r="L331" i="50"/>
  <c r="H153" i="50"/>
  <c r="G35" i="46"/>
  <c r="L252" i="50"/>
  <c r="H75" i="50"/>
  <c r="L309" i="50"/>
  <c r="L161" i="50"/>
  <c r="L234" i="50"/>
  <c r="L237" i="50"/>
  <c r="L378" i="50"/>
  <c r="L288" i="50"/>
  <c r="H323" i="50"/>
  <c r="H327" i="50"/>
  <c r="H238" i="50"/>
  <c r="H54" i="50"/>
  <c r="L326" i="50"/>
  <c r="H254" i="50"/>
  <c r="H137" i="50"/>
  <c r="H29" i="50"/>
  <c r="H264" i="50"/>
  <c r="H368" i="50"/>
  <c r="L84" i="50"/>
  <c r="L212" i="50"/>
  <c r="H146" i="50"/>
  <c r="L92" i="50"/>
  <c r="H187" i="50"/>
  <c r="L10" i="50"/>
  <c r="L168" i="50"/>
  <c r="H361" i="50"/>
  <c r="H206" i="50"/>
  <c r="L281" i="50"/>
  <c r="H376" i="50"/>
  <c r="H116" i="50"/>
  <c r="H156" i="50"/>
  <c r="L37" i="46"/>
  <c r="L101" i="50"/>
  <c r="H177" i="50"/>
  <c r="H196" i="50"/>
  <c r="H190" i="50"/>
  <c r="H312" i="50"/>
  <c r="L156" i="50"/>
  <c r="H243" i="50"/>
  <c r="G14" i="46"/>
  <c r="H11" i="50"/>
  <c r="G12" i="46"/>
  <c r="G22" i="46"/>
  <c r="H260" i="50"/>
  <c r="L163" i="50"/>
  <c r="H242" i="50"/>
  <c r="H346" i="50"/>
  <c r="H244" i="50"/>
  <c r="H216" i="50"/>
  <c r="L41" i="46"/>
  <c r="H305" i="50"/>
  <c r="H184" i="50"/>
  <c r="H292" i="50"/>
  <c r="G23" i="46"/>
  <c r="H48" i="50"/>
  <c r="H40" i="50"/>
  <c r="H68" i="50"/>
  <c r="H32" i="50"/>
  <c r="L214" i="50"/>
  <c r="G34" i="46"/>
  <c r="H255" i="50"/>
  <c r="H46" i="50"/>
  <c r="H27" i="50"/>
  <c r="H241" i="50"/>
  <c r="H270" i="50"/>
  <c r="H23" i="50"/>
  <c r="L278" i="50"/>
  <c r="L37" i="50"/>
  <c r="G36" i="46"/>
  <c r="H338" i="50"/>
  <c r="L205" i="50"/>
  <c r="H360" i="50"/>
  <c r="H359" i="50"/>
  <c r="L115" i="50"/>
  <c r="G19" i="46"/>
  <c r="H321" i="50"/>
  <c r="L68" i="50"/>
  <c r="L311" i="50"/>
  <c r="L236" i="50"/>
  <c r="L286" i="50"/>
  <c r="L15" i="46"/>
  <c r="H373" i="50"/>
  <c r="L36" i="50"/>
  <c r="H315" i="50"/>
  <c r="H237" i="50"/>
  <c r="L14" i="50"/>
  <c r="L116" i="50"/>
  <c r="L36" i="46"/>
  <c r="L114" i="50"/>
  <c r="H111" i="50"/>
  <c r="H399" i="50"/>
  <c r="G15" i="46"/>
  <c r="L334" i="50"/>
  <c r="H383" i="50"/>
  <c r="H45" i="50"/>
  <c r="H212" i="50"/>
  <c r="H195" i="50"/>
  <c r="G47" i="46"/>
  <c r="L17" i="46"/>
  <c r="L47" i="46"/>
  <c r="L18" i="46"/>
  <c r="L177" i="50"/>
  <c r="H53" i="50"/>
  <c r="H71" i="50"/>
  <c r="H362" i="50"/>
  <c r="G13" i="46"/>
  <c r="L22" i="50"/>
  <c r="H268" i="50"/>
  <c r="H296" i="50"/>
  <c r="G11" i="46"/>
  <c r="G16" i="46"/>
  <c r="H9" i="50"/>
  <c r="L113" i="50"/>
  <c r="H143" i="50"/>
  <c r="H217" i="50"/>
  <c r="L317" i="50"/>
  <c r="H335" i="50"/>
  <c r="L88" i="50"/>
  <c r="H97" i="50"/>
  <c r="H165" i="50"/>
  <c r="L90" i="50"/>
  <c r="L299" i="50"/>
  <c r="G28" i="46"/>
  <c r="H215" i="50"/>
  <c r="H81" i="50"/>
  <c r="G10" i="46"/>
  <c r="L320" i="50"/>
  <c r="L154" i="50"/>
  <c r="L26" i="46"/>
  <c r="H10" i="50"/>
  <c r="H358" i="50"/>
  <c r="H354" i="50"/>
  <c r="H89" i="50"/>
  <c r="L224" i="50"/>
  <c r="H79" i="50"/>
  <c r="L324" i="50"/>
  <c r="H253" i="50"/>
  <c r="H295" i="50"/>
  <c r="L289" i="50"/>
  <c r="H227" i="50"/>
  <c r="H223" i="50"/>
  <c r="L12" i="46"/>
  <c r="L310" i="50"/>
  <c r="L173" i="50"/>
  <c r="H249" i="50"/>
  <c r="H93" i="50"/>
  <c r="H49" i="50"/>
  <c r="L398" i="50"/>
  <c r="L295" i="50"/>
  <c r="H204" i="50"/>
  <c r="L45" i="46"/>
  <c r="L178" i="50"/>
  <c r="L45" i="50"/>
  <c r="H252" i="50"/>
  <c r="L147" i="50"/>
  <c r="H200" i="50"/>
  <c r="H271" i="50"/>
  <c r="L379" i="50"/>
  <c r="L9" i="50"/>
  <c r="H100" i="50"/>
  <c r="L267" i="50"/>
  <c r="H387" i="50"/>
  <c r="L251" i="50"/>
  <c r="H332" i="50"/>
  <c r="H67" i="50"/>
  <c r="L148" i="50"/>
  <c r="H279" i="50"/>
  <c r="H24" i="50"/>
  <c r="H213" i="50"/>
  <c r="H225" i="50"/>
  <c r="H149" i="50"/>
  <c r="L380" i="50"/>
  <c r="L216" i="50"/>
  <c r="H367" i="50"/>
  <c r="H135" i="50"/>
  <c r="H233" i="50"/>
  <c r="L218" i="50"/>
  <c r="H247" i="50"/>
  <c r="H117" i="50"/>
  <c r="G33" i="46"/>
  <c r="L315" i="50"/>
  <c r="H76" i="50"/>
  <c r="G18" i="46"/>
  <c r="H306" i="50"/>
  <c r="H134" i="50"/>
  <c r="H82" i="50"/>
  <c r="H12" i="50"/>
  <c r="L13" i="50"/>
  <c r="L399" i="50"/>
  <c r="H355" i="50"/>
  <c r="L319" i="50"/>
  <c r="H55" i="50"/>
  <c r="L157" i="50"/>
  <c r="L117" i="50"/>
  <c r="H150" i="50"/>
  <c r="H114" i="50"/>
  <c r="H123" i="50"/>
  <c r="H98" i="50"/>
  <c r="L48" i="46"/>
  <c r="H44" i="50"/>
  <c r="H157" i="50"/>
  <c r="H158" i="50"/>
  <c r="G24" i="46"/>
  <c r="H133" i="50"/>
  <c r="H38" i="50"/>
  <c r="G39" i="46"/>
  <c r="H232" i="50"/>
  <c r="L11" i="46"/>
  <c r="L71" i="46"/>
  <c r="L63" i="46"/>
  <c r="G44" i="46"/>
  <c r="G84" i="46"/>
  <c r="H189" i="50"/>
  <c r="G78" i="46"/>
  <c r="L67" i="46"/>
  <c r="L65" i="46"/>
  <c r="L69" i="46"/>
  <c r="H118" i="50"/>
  <c r="L73" i="46"/>
  <c r="M39" i="46" l="1"/>
  <c r="N39" i="46" s="1"/>
  <c r="M24" i="46"/>
  <c r="N24" i="46" s="1"/>
  <c r="M18" i="46"/>
  <c r="N18" i="46" s="1"/>
  <c r="M33" i="46"/>
  <c r="N33" i="46" s="1"/>
  <c r="I332" i="50"/>
  <c r="J332" i="50" s="1"/>
  <c r="M9" i="50"/>
  <c r="N9" i="50" s="1"/>
  <c r="M10" i="46"/>
  <c r="N10" i="46" s="1"/>
  <c r="M28" i="46"/>
  <c r="N28" i="46" s="1"/>
  <c r="M113" i="50"/>
  <c r="N113" i="50" s="1"/>
  <c r="M16" i="46"/>
  <c r="N16" i="46" s="1"/>
  <c r="M47" i="46"/>
  <c r="N47" i="46" s="1"/>
  <c r="M334" i="50"/>
  <c r="N334" i="50" s="1"/>
  <c r="M15" i="46"/>
  <c r="N15" i="46" s="1"/>
  <c r="M14" i="50"/>
  <c r="N14" i="50" s="1"/>
  <c r="M19" i="46"/>
  <c r="N19" i="46" s="1"/>
  <c r="M115" i="50"/>
  <c r="N115" i="50" s="1"/>
  <c r="M36" i="46"/>
  <c r="N36" i="46" s="1"/>
  <c r="M34" i="46"/>
  <c r="N34" i="46" s="1"/>
  <c r="M23" i="46"/>
  <c r="N23" i="46" s="1"/>
  <c r="M22" i="46"/>
  <c r="N22" i="46" s="1"/>
  <c r="M12" i="46"/>
  <c r="N12" i="46" s="1"/>
  <c r="M156" i="50"/>
  <c r="N156" i="50" s="1"/>
  <c r="M281" i="50"/>
  <c r="N281" i="50" s="1"/>
  <c r="M35" i="46"/>
  <c r="N35" i="46" s="1"/>
  <c r="M331" i="50"/>
  <c r="N331" i="50" s="1"/>
  <c r="M12" i="50"/>
  <c r="N12" i="50" s="1"/>
  <c r="M332" i="50"/>
  <c r="N332" i="50" s="1"/>
  <c r="M333" i="50"/>
  <c r="N333" i="50" s="1"/>
  <c r="M26" i="46"/>
  <c r="N26" i="46" s="1"/>
  <c r="M329" i="50"/>
  <c r="N329" i="50" s="1"/>
  <c r="M42" i="46"/>
  <c r="N42" i="46" s="1"/>
  <c r="M30" i="46"/>
  <c r="N30" i="46" s="1"/>
  <c r="M179" i="50"/>
  <c r="N179" i="50" s="1"/>
  <c r="M21" i="46"/>
  <c r="N21" i="46" s="1"/>
  <c r="M17" i="46"/>
  <c r="N17" i="46" s="1"/>
  <c r="M327" i="50"/>
  <c r="N327" i="50" s="1"/>
  <c r="M290" i="50"/>
  <c r="N290" i="50" s="1"/>
  <c r="M31" i="46"/>
  <c r="N31" i="46" s="1"/>
  <c r="M270" i="50"/>
  <c r="N270" i="50" s="1"/>
  <c r="M32" i="46"/>
  <c r="N32" i="46" s="1"/>
  <c r="M48" i="46"/>
  <c r="N48" i="46" s="1"/>
  <c r="M241" i="50"/>
  <c r="N241" i="50" s="1"/>
  <c r="M37" i="46"/>
  <c r="N37" i="46" s="1"/>
  <c r="M58" i="46"/>
  <c r="N58" i="46" s="1"/>
  <c r="M268" i="50"/>
  <c r="N268" i="50" s="1"/>
  <c r="M138" i="50"/>
  <c r="N138" i="50" s="1"/>
  <c r="M29" i="46"/>
  <c r="N29" i="46" s="1"/>
  <c r="M27" i="46"/>
  <c r="N27" i="46" s="1"/>
  <c r="M159" i="50"/>
  <c r="N159" i="50" s="1"/>
  <c r="M255" i="50"/>
  <c r="N255" i="50" s="1"/>
  <c r="M20" i="46"/>
  <c r="N20" i="46" s="1"/>
  <c r="M225" i="50"/>
  <c r="N225" i="50" s="1"/>
  <c r="M196" i="50"/>
  <c r="N196" i="50" s="1"/>
  <c r="M315" i="50"/>
  <c r="N315" i="50" s="1"/>
  <c r="M13" i="50"/>
  <c r="N13" i="50" s="1"/>
  <c r="M288" i="50"/>
  <c r="N288" i="50" s="1"/>
  <c r="M267" i="50"/>
  <c r="N267" i="50" s="1"/>
  <c r="M189" i="50"/>
  <c r="N189" i="50" s="1"/>
  <c r="I334" i="50"/>
  <c r="J334" i="50" s="1"/>
  <c r="M186" i="50"/>
  <c r="N186" i="50" s="1"/>
  <c r="M15" i="50"/>
  <c r="N15" i="50" s="1"/>
  <c r="I333" i="50"/>
  <c r="J333" i="50" s="1"/>
  <c r="M325" i="50"/>
  <c r="N325" i="50" s="1"/>
  <c r="M28" i="50"/>
  <c r="N28" i="50" s="1"/>
  <c r="M231" i="50"/>
  <c r="N231" i="50" s="1"/>
  <c r="M279" i="50"/>
  <c r="N279" i="50" s="1"/>
  <c r="M116" i="50"/>
  <c r="N116" i="50" s="1"/>
  <c r="M257" i="50"/>
  <c r="N257" i="50" s="1"/>
  <c r="M195" i="50"/>
  <c r="N195" i="50" s="1"/>
  <c r="M200" i="50"/>
  <c r="N200" i="50" s="1"/>
  <c r="M60" i="50"/>
  <c r="N60" i="50" s="1"/>
  <c r="M201" i="50"/>
  <c r="N201" i="50" s="1"/>
  <c r="M296" i="50"/>
  <c r="N296" i="50" s="1"/>
  <c r="M262" i="50"/>
  <c r="N262" i="50" s="1"/>
  <c r="I329" i="50"/>
  <c r="J329" i="50" s="1"/>
  <c r="M305" i="50"/>
  <c r="N305" i="50" s="1"/>
  <c r="M238" i="50"/>
  <c r="N238" i="50" s="1"/>
  <c r="M57" i="50"/>
  <c r="N57" i="50" s="1"/>
  <c r="M251" i="50"/>
  <c r="N251" i="50" s="1"/>
  <c r="M69" i="50"/>
  <c r="N69" i="50" s="1"/>
  <c r="M68" i="50"/>
  <c r="N68" i="50" s="1"/>
  <c r="M321" i="50"/>
  <c r="N321" i="50" s="1"/>
  <c r="M319" i="50"/>
  <c r="N319" i="50" s="1"/>
  <c r="M212" i="50"/>
  <c r="N212" i="50" s="1"/>
  <c r="M198" i="50"/>
  <c r="N198" i="50" s="1"/>
  <c r="M312" i="50"/>
  <c r="N312" i="50" s="1"/>
  <c r="M63" i="50"/>
  <c r="N63" i="50" s="1"/>
  <c r="M10" i="50"/>
  <c r="N10" i="50" s="1"/>
  <c r="M185" i="50"/>
  <c r="N185" i="50" s="1"/>
  <c r="M286" i="50"/>
  <c r="N286" i="50" s="1"/>
  <c r="M224" i="50"/>
  <c r="N224" i="50" s="1"/>
  <c r="M239" i="50"/>
  <c r="N239" i="50" s="1"/>
  <c r="M272" i="50"/>
  <c r="N272" i="50" s="1"/>
  <c r="M243" i="50"/>
  <c r="N243" i="50" s="1"/>
  <c r="I331" i="50"/>
  <c r="J331" i="50" s="1"/>
  <c r="M124" i="50"/>
  <c r="N124" i="50" s="1"/>
  <c r="M177" i="50"/>
  <c r="N177" i="50" s="1"/>
  <c r="M318" i="50"/>
  <c r="N318" i="50" s="1"/>
  <c r="M218" i="50"/>
  <c r="N218" i="50" s="1"/>
  <c r="M278" i="50"/>
  <c r="N278" i="50" s="1"/>
  <c r="M206" i="50"/>
  <c r="N206" i="50" s="1"/>
  <c r="M161" i="50"/>
  <c r="N161" i="50" s="1"/>
  <c r="M236" i="50"/>
  <c r="N236" i="50" s="1"/>
  <c r="M142" i="50"/>
  <c r="N142" i="50" s="1"/>
  <c r="M217" i="50"/>
  <c r="N217" i="50" s="1"/>
  <c r="M313" i="50"/>
  <c r="N313" i="50" s="1"/>
  <c r="M47" i="50"/>
  <c r="N47" i="50" s="1"/>
  <c r="M66" i="50"/>
  <c r="N66" i="50" s="1"/>
  <c r="M291" i="50"/>
  <c r="N291" i="50" s="1"/>
  <c r="M297" i="50"/>
  <c r="N297" i="50" s="1"/>
  <c r="M188" i="50"/>
  <c r="N188" i="50" s="1"/>
  <c r="L122" i="5"/>
  <c r="L124" i="5" s="1"/>
  <c r="L125" i="5" s="1"/>
  <c r="M307" i="50"/>
  <c r="N307" i="50" s="1"/>
  <c r="M324" i="50"/>
  <c r="N324" i="50" s="1"/>
  <c r="M317" i="50"/>
  <c r="N317" i="50" s="1"/>
  <c r="M205" i="50"/>
  <c r="N205" i="50" s="1"/>
  <c r="M168" i="50"/>
  <c r="N168" i="50" s="1"/>
  <c r="M215" i="50"/>
  <c r="N215" i="50" s="1"/>
  <c r="M214" i="50"/>
  <c r="N214" i="50" s="1"/>
  <c r="M216" i="50"/>
  <c r="N216" i="50" s="1"/>
  <c r="M284" i="50"/>
  <c r="N284" i="50" s="1"/>
  <c r="M250" i="50"/>
  <c r="N250" i="50" s="1"/>
  <c r="M292" i="50"/>
  <c r="N292" i="50" s="1"/>
  <c r="M287" i="50"/>
  <c r="N287" i="50" s="1"/>
  <c r="M180" i="50"/>
  <c r="N180" i="50" s="1"/>
  <c r="M244" i="50"/>
  <c r="N244" i="50" s="1"/>
  <c r="M169" i="50"/>
  <c r="N169" i="50" s="1"/>
  <c r="M130" i="50"/>
  <c r="N130" i="50" s="1"/>
  <c r="M320" i="50"/>
  <c r="N320" i="50" s="1"/>
  <c r="M101" i="50"/>
  <c r="N101" i="50" s="1"/>
  <c r="M309" i="50"/>
  <c r="N309" i="50" s="1"/>
  <c r="M64" i="50"/>
  <c r="N64" i="50" s="1"/>
  <c r="M322" i="50"/>
  <c r="N322" i="50" s="1"/>
  <c r="M316" i="50"/>
  <c r="N316" i="50" s="1"/>
  <c r="I315" i="50"/>
  <c r="J315" i="50" s="1"/>
  <c r="I327" i="50"/>
  <c r="J327" i="50" s="1"/>
  <c r="G709" i="5"/>
  <c r="K2648" i="18"/>
  <c r="P2700" i="18"/>
  <c r="P2701" i="18" s="1"/>
  <c r="P2702" i="18" s="1"/>
  <c r="K2703" i="18" s="1"/>
  <c r="L2703" i="18" s="1"/>
  <c r="K2642" i="18"/>
  <c r="K2645" i="18" s="1"/>
  <c r="I310" i="5"/>
  <c r="F18" i="75" s="1"/>
  <c r="I119" i="5"/>
  <c r="K4423" i="18" s="1"/>
  <c r="L4424" i="18" s="1"/>
  <c r="I642" i="5"/>
  <c r="I500" i="5"/>
  <c r="I431" i="5"/>
  <c r="I779" i="5"/>
  <c r="I296" i="5"/>
  <c r="E34" i="75" s="1"/>
  <c r="I181" i="5"/>
  <c r="E45" i="73" s="1"/>
  <c r="I494" i="5"/>
  <c r="L11" i="75" s="1"/>
  <c r="I118" i="5"/>
  <c r="K4412" i="18" s="1"/>
  <c r="L4413" i="18" s="1"/>
  <c r="I778" i="5"/>
  <c r="M817" i="5"/>
  <c r="M819" i="5" s="1"/>
  <c r="M820" i="5" s="1"/>
  <c r="I43" i="5"/>
  <c r="F35" i="47" s="1"/>
  <c r="I35" i="47" s="1"/>
  <c r="J35" i="47" s="1"/>
  <c r="F40" i="74"/>
  <c r="I529" i="5"/>
  <c r="M12" i="71" s="1"/>
  <c r="I358" i="5"/>
  <c r="G34" i="75" s="1"/>
  <c r="I620" i="5"/>
  <c r="O35" i="71" s="1"/>
  <c r="I444" i="5"/>
  <c r="J23" i="75" s="1"/>
  <c r="I84" i="5"/>
  <c r="G239" i="50" s="1"/>
  <c r="I239" i="50" s="1"/>
  <c r="J239" i="50" s="1"/>
  <c r="I442" i="5"/>
  <c r="J22" i="75" s="1"/>
  <c r="G711" i="5"/>
  <c r="G713" i="5" s="1"/>
  <c r="I612" i="5"/>
  <c r="O27" i="71" s="1"/>
  <c r="I767" i="5"/>
  <c r="I592" i="5"/>
  <c r="O10" i="71" s="1"/>
  <c r="I332" i="5"/>
  <c r="G10" i="71" s="1"/>
  <c r="F17" i="74"/>
  <c r="F47" i="70"/>
  <c r="F30" i="74"/>
  <c r="F33" i="70"/>
  <c r="F111" i="70" s="1"/>
  <c r="F34" i="73"/>
  <c r="E127" i="8"/>
  <c r="E128" i="8" s="1"/>
  <c r="F713" i="5"/>
  <c r="F70" i="52" s="1"/>
  <c r="F829" i="5"/>
  <c r="F831" i="5" s="1"/>
  <c r="F832" i="5" s="1"/>
  <c r="M711" i="5"/>
  <c r="D43" i="48"/>
  <c r="M825" i="5"/>
  <c r="J713" i="5"/>
  <c r="J829" i="5"/>
  <c r="J831" i="5" s="1"/>
  <c r="J832" i="5" s="1"/>
  <c r="E88" i="8"/>
  <c r="I775" i="5"/>
  <c r="I462" i="5"/>
  <c r="G15" i="51"/>
  <c r="I697" i="5"/>
  <c r="I683" i="5"/>
  <c r="I825" i="5" s="1"/>
  <c r="I414" i="5"/>
  <c r="I24" i="75" s="1"/>
  <c r="I279" i="5"/>
  <c r="E18" i="75" s="1"/>
  <c r="I182" i="5"/>
  <c r="I73" i="5"/>
  <c r="F61" i="47" s="1"/>
  <c r="I61" i="47" s="1"/>
  <c r="J61" i="47" s="1"/>
  <c r="H371" i="5"/>
  <c r="I111" i="5"/>
  <c r="K38" i="72" s="1"/>
  <c r="D51" i="75" s="1"/>
  <c r="G245" i="5"/>
  <c r="I447" i="5"/>
  <c r="J26" i="75" s="1"/>
  <c r="I270" i="5"/>
  <c r="E10" i="75" s="1"/>
  <c r="I511" i="5"/>
  <c r="L24" i="75" s="1"/>
  <c r="I42" i="5"/>
  <c r="G146" i="50" s="1"/>
  <c r="G486" i="5"/>
  <c r="I769" i="5"/>
  <c r="I281" i="5"/>
  <c r="E20" i="75" s="1"/>
  <c r="I504" i="5"/>
  <c r="L18" i="75" s="1"/>
  <c r="G519" i="5"/>
  <c r="I335" i="5"/>
  <c r="G12" i="71" s="1"/>
  <c r="I550" i="5"/>
  <c r="M30" i="75" s="1"/>
  <c r="I30" i="5"/>
  <c r="G104" i="50" s="1"/>
  <c r="I413" i="5"/>
  <c r="I23" i="75" s="1"/>
  <c r="I729" i="5"/>
  <c r="I561" i="5"/>
  <c r="I292" i="5"/>
  <c r="E31" i="71" s="1"/>
  <c r="G261" i="50"/>
  <c r="I391" i="5"/>
  <c r="H35" i="71" s="1"/>
  <c r="I21" i="5"/>
  <c r="I297" i="5"/>
  <c r="E35" i="75" s="1"/>
  <c r="I348" i="5"/>
  <c r="G24" i="75" s="1"/>
  <c r="I610" i="5"/>
  <c r="O24" i="75" s="1"/>
  <c r="I82" i="5"/>
  <c r="K22" i="68" s="1"/>
  <c r="I293" i="5"/>
  <c r="E32" i="71" s="1"/>
  <c r="I162" i="5"/>
  <c r="F119" i="47" s="1"/>
  <c r="I119" i="47" s="1"/>
  <c r="J119" i="47" s="1"/>
  <c r="I627" i="5"/>
  <c r="I509" i="5"/>
  <c r="L23" i="71" s="1"/>
  <c r="I528" i="5"/>
  <c r="I147" i="5"/>
  <c r="E15" i="73" s="1"/>
  <c r="I79" i="5"/>
  <c r="K19" i="68" s="1"/>
  <c r="I68" i="5"/>
  <c r="K10" i="68" s="1"/>
  <c r="I100" i="5"/>
  <c r="G267" i="50" s="1"/>
  <c r="I267" i="50" s="1"/>
  <c r="J267" i="50" s="1"/>
  <c r="I390" i="5"/>
  <c r="H33" i="75" s="1"/>
  <c r="I254" i="5"/>
  <c r="D23" i="75" s="1"/>
  <c r="I53" i="5"/>
  <c r="K2907" i="18" s="1"/>
  <c r="L2908" i="18" s="1"/>
  <c r="I487" i="5"/>
  <c r="K34" i="71" s="1"/>
  <c r="I260" i="5"/>
  <c r="D30" i="71" s="1"/>
  <c r="I577" i="5"/>
  <c r="N25" i="71" s="1"/>
  <c r="G325" i="5"/>
  <c r="G568" i="5"/>
  <c r="I720" i="5"/>
  <c r="G308" i="5"/>
  <c r="I607" i="5"/>
  <c r="O22" i="75" s="1"/>
  <c r="I76" i="5"/>
  <c r="I616" i="5"/>
  <c r="O30" i="75" s="1"/>
  <c r="I726" i="5"/>
  <c r="I379" i="5"/>
  <c r="H23" i="71" s="1"/>
  <c r="I774" i="5"/>
  <c r="I342" i="5"/>
  <c r="G19" i="71" s="1"/>
  <c r="G422" i="5"/>
  <c r="G415" i="5" s="1"/>
  <c r="I548" i="5"/>
  <c r="I114" i="5"/>
  <c r="K41" i="72" s="1"/>
  <c r="F51" i="75" s="1"/>
  <c r="H501" i="5"/>
  <c r="I51" i="5"/>
  <c r="G179" i="50" s="1"/>
  <c r="I179" i="50" s="1"/>
  <c r="J179" i="50" s="1"/>
  <c r="I113" i="5"/>
  <c r="K49" i="68" s="1"/>
  <c r="E52" i="71" s="1"/>
  <c r="E29" i="69"/>
  <c r="I537" i="5"/>
  <c r="M18" i="75" s="1"/>
  <c r="I155" i="5"/>
  <c r="F112" i="47" s="1"/>
  <c r="I112" i="47" s="1"/>
  <c r="J112" i="47" s="1"/>
  <c r="I273" i="5"/>
  <c r="E12" i="75" s="1"/>
  <c r="I334" i="5"/>
  <c r="I539" i="5"/>
  <c r="M20" i="75" s="1"/>
  <c r="I432" i="5"/>
  <c r="J12" i="75" s="1"/>
  <c r="I347" i="5"/>
  <c r="G24" i="71" s="1"/>
  <c r="I609" i="5"/>
  <c r="O23" i="75" s="1"/>
  <c r="I74" i="5"/>
  <c r="F62" i="47" s="1"/>
  <c r="I62" i="47" s="1"/>
  <c r="J62" i="47" s="1"/>
  <c r="I55" i="5"/>
  <c r="G37" i="72" s="1"/>
  <c r="I477" i="5"/>
  <c r="K23" i="75" s="1"/>
  <c r="I322" i="5"/>
  <c r="F29" i="75" s="1"/>
  <c r="I280" i="5"/>
  <c r="E19" i="75" s="1"/>
  <c r="I571" i="5"/>
  <c r="N19" i="75" s="1"/>
  <c r="I91" i="5"/>
  <c r="F71" i="47" s="1"/>
  <c r="I71" i="47" s="1"/>
  <c r="J71" i="47" s="1"/>
  <c r="I583" i="5"/>
  <c r="N30" i="75" s="1"/>
  <c r="I780" i="5"/>
  <c r="H530" i="5"/>
  <c r="G585" i="5"/>
  <c r="I350" i="5"/>
  <c r="G27" i="71" s="1"/>
  <c r="I482" i="5"/>
  <c r="K28" i="75" s="1"/>
  <c r="I772" i="5"/>
  <c r="I418" i="5"/>
  <c r="I28" i="75" s="1"/>
  <c r="I781" i="5"/>
  <c r="G277" i="5"/>
  <c r="I581" i="5"/>
  <c r="N28" i="75" s="1"/>
  <c r="I376" i="5"/>
  <c r="H20" i="75" s="1"/>
  <c r="I485" i="5"/>
  <c r="K31" i="75" s="1"/>
  <c r="I510" i="5"/>
  <c r="L24" i="71" s="1"/>
  <c r="I650" i="5"/>
  <c r="I253" i="5"/>
  <c r="D23" i="71" s="1"/>
  <c r="I605" i="5"/>
  <c r="O20" i="75" s="1"/>
  <c r="I412" i="5"/>
  <c r="I23" i="71" s="1"/>
  <c r="I354" i="5"/>
  <c r="G30" i="75" s="1"/>
  <c r="K3726" i="18"/>
  <c r="L3727" i="18" s="1"/>
  <c r="I445" i="5"/>
  <c r="J25" i="71" s="1"/>
  <c r="I316" i="5"/>
  <c r="F24" i="71" s="1"/>
  <c r="I560" i="5"/>
  <c r="N11" i="75" s="1"/>
  <c r="I324" i="5"/>
  <c r="F31" i="75" s="1"/>
  <c r="I584" i="5"/>
  <c r="N31" i="75" s="1"/>
  <c r="I518" i="5"/>
  <c r="L31" i="75" s="1"/>
  <c r="I156" i="5"/>
  <c r="E23" i="73" s="1"/>
  <c r="I291" i="5"/>
  <c r="E30" i="71" s="1"/>
  <c r="I67" i="5"/>
  <c r="K9" i="68" s="1"/>
  <c r="I649" i="5"/>
  <c r="H633" i="5"/>
  <c r="I776" i="5"/>
  <c r="I599" i="5"/>
  <c r="G606" i="5"/>
  <c r="G389" i="5"/>
  <c r="I285" i="5"/>
  <c r="E23" i="75" s="1"/>
  <c r="I551" i="5"/>
  <c r="M31" i="75" s="1"/>
  <c r="I587" i="5"/>
  <c r="N34" i="75" s="1"/>
  <c r="G294" i="5"/>
  <c r="I478" i="5"/>
  <c r="K25" i="71" s="1"/>
  <c r="I88" i="5"/>
  <c r="K27" i="68" s="1"/>
  <c r="I594" i="5"/>
  <c r="F45" i="47"/>
  <c r="I45" i="47" s="1"/>
  <c r="J45" i="47" s="1"/>
  <c r="I430" i="5"/>
  <c r="J11" i="75" s="1"/>
  <c r="L435" i="5"/>
  <c r="L434" i="5" s="1"/>
  <c r="L457" i="5" s="1"/>
  <c r="L193" i="5"/>
  <c r="H711" i="5"/>
  <c r="H713" i="5" s="1"/>
  <c r="I570" i="5"/>
  <c r="N18" i="71" s="1"/>
  <c r="I328" i="5"/>
  <c r="F36" i="71" s="1"/>
  <c r="I271" i="5"/>
  <c r="E11" i="71" s="1"/>
  <c r="I177" i="5"/>
  <c r="E52" i="69" s="1"/>
  <c r="I721" i="5"/>
  <c r="F77" i="48" s="1"/>
  <c r="I455" i="5"/>
  <c r="J34" i="75" s="1"/>
  <c r="I646" i="5"/>
  <c r="I544" i="5"/>
  <c r="M25" i="71" s="1"/>
  <c r="G102" i="50"/>
  <c r="I276" i="5"/>
  <c r="E15" i="71" s="1"/>
  <c r="I107" i="5"/>
  <c r="G282" i="50" s="1"/>
  <c r="I593" i="5"/>
  <c r="O11" i="75" s="1"/>
  <c r="I61" i="5"/>
  <c r="F52" i="47" s="1"/>
  <c r="I52" i="47" s="1"/>
  <c r="J52" i="47" s="1"/>
  <c r="I554" i="5"/>
  <c r="M34" i="75" s="1"/>
  <c r="I144" i="5"/>
  <c r="G312" i="50" s="1"/>
  <c r="I312" i="50" s="1"/>
  <c r="J312" i="50" s="1"/>
  <c r="I768" i="5"/>
  <c r="I626" i="5"/>
  <c r="I515" i="5"/>
  <c r="L29" i="71" s="1"/>
  <c r="I724" i="5"/>
  <c r="I451" i="5"/>
  <c r="J30" i="75" s="1"/>
  <c r="G221" i="5"/>
  <c r="I730" i="5"/>
  <c r="G356" i="5"/>
  <c r="I542" i="5"/>
  <c r="M23" i="71" s="1"/>
  <c r="I718" i="5"/>
  <c r="F72" i="48" s="1"/>
  <c r="G259" i="50"/>
  <c r="K34" i="68"/>
  <c r="K3996" i="18"/>
  <c r="L3997" i="18" s="1"/>
  <c r="F114" i="70"/>
  <c r="I555" i="5"/>
  <c r="M35" i="75" s="1"/>
  <c r="I321" i="5"/>
  <c r="F28" i="75" s="1"/>
  <c r="I527" i="5"/>
  <c r="M11" i="75" s="1"/>
  <c r="I138" i="5"/>
  <c r="E18" i="69" s="1"/>
  <c r="I562" i="5"/>
  <c r="N12" i="71" s="1"/>
  <c r="I467" i="5"/>
  <c r="I547" i="5"/>
  <c r="M27" i="75" s="1"/>
  <c r="I600" i="5"/>
  <c r="O15" i="75" s="1"/>
  <c r="I142" i="5"/>
  <c r="G307" i="50" s="1"/>
  <c r="I307" i="50" s="1"/>
  <c r="J307" i="50" s="1"/>
  <c r="I20" i="5"/>
  <c r="G16" i="68" s="1"/>
  <c r="I388" i="5"/>
  <c r="H32" i="71" s="1"/>
  <c r="I399" i="5"/>
  <c r="I559" i="5"/>
  <c r="N10" i="71" s="1"/>
  <c r="I184" i="5"/>
  <c r="E57" i="69" s="1"/>
  <c r="I48" i="5"/>
  <c r="G34" i="72" s="1"/>
  <c r="I151" i="5"/>
  <c r="E19" i="73" s="1"/>
  <c r="I152" i="5"/>
  <c r="E32" i="69" s="1"/>
  <c r="I636" i="5"/>
  <c r="I765" i="5"/>
  <c r="G339" i="5"/>
  <c r="I621" i="5"/>
  <c r="O35" i="75" s="1"/>
  <c r="I317" i="5"/>
  <c r="F24" i="75" s="1"/>
  <c r="I385" i="5"/>
  <c r="H28" i="75" s="1"/>
  <c r="I323" i="5"/>
  <c r="F30" i="75" s="1"/>
  <c r="I355" i="5"/>
  <c r="G31" i="75" s="1"/>
  <c r="I440" i="5"/>
  <c r="J20" i="71" s="1"/>
  <c r="I731" i="5"/>
  <c r="I353" i="5"/>
  <c r="G29" i="75" s="1"/>
  <c r="I582" i="5"/>
  <c r="N30" i="71" s="1"/>
  <c r="I12" i="5"/>
  <c r="G9" i="68" s="1"/>
  <c r="I728" i="5"/>
  <c r="L12" i="80"/>
  <c r="I311" i="5"/>
  <c r="F19" i="75" s="1"/>
  <c r="I364" i="5"/>
  <c r="H11" i="75" s="1"/>
  <c r="I450" i="5"/>
  <c r="I312" i="5"/>
  <c r="I522" i="5"/>
  <c r="I424" i="5"/>
  <c r="I35" i="71" s="1"/>
  <c r="I59" i="5"/>
  <c r="G197" i="50" s="1"/>
  <c r="I290" i="5"/>
  <c r="E28" i="75" s="1"/>
  <c r="I307" i="5"/>
  <c r="F15" i="71" s="1"/>
  <c r="I89" i="5"/>
  <c r="K20" i="72" s="1"/>
  <c r="I773" i="5"/>
  <c r="I576" i="5"/>
  <c r="I139" i="5"/>
  <c r="E19" i="69" s="1"/>
  <c r="I249" i="5"/>
  <c r="D19" i="75" s="1"/>
  <c r="I366" i="5"/>
  <c r="I69" i="5"/>
  <c r="G213" i="50" s="1"/>
  <c r="I725" i="5"/>
  <c r="I284" i="5"/>
  <c r="E23" i="71" s="1"/>
  <c r="I23" i="5"/>
  <c r="G19" i="68" s="1"/>
  <c r="I24" i="5"/>
  <c r="G20" i="68" s="1"/>
  <c r="H251" i="5"/>
  <c r="I327" i="5"/>
  <c r="F34" i="75" s="1"/>
  <c r="I423" i="5"/>
  <c r="I34" i="71" s="1"/>
  <c r="I33" i="5"/>
  <c r="G114" i="50" s="1"/>
  <c r="H263" i="5"/>
  <c r="I495" i="5"/>
  <c r="I632" i="5"/>
  <c r="I439" i="5"/>
  <c r="J19" i="75" s="1"/>
  <c r="I407" i="5"/>
  <c r="I18" i="75" s="1"/>
  <c r="I608" i="5"/>
  <c r="O23" i="71" s="1"/>
  <c r="G20" i="75"/>
  <c r="G20" i="71"/>
  <c r="K25" i="72"/>
  <c r="K3915" i="18"/>
  <c r="L3916" i="18" s="1"/>
  <c r="E28" i="69"/>
  <c r="G316" i="50"/>
  <c r="I316" i="50" s="1"/>
  <c r="J316" i="50" s="1"/>
  <c r="I429" i="5"/>
  <c r="J10" i="75" s="1"/>
  <c r="H464" i="5"/>
  <c r="I97" i="5"/>
  <c r="K27" i="72" s="1"/>
  <c r="I588" i="5"/>
  <c r="N35" i="75" s="1"/>
  <c r="H436" i="5"/>
  <c r="H563" i="5"/>
  <c r="I643" i="5"/>
  <c r="I185" i="5"/>
  <c r="E59" i="69" s="1"/>
  <c r="H534" i="5"/>
  <c r="I175" i="5"/>
  <c r="E50" i="69" s="1"/>
  <c r="I86" i="5"/>
  <c r="G245" i="50" s="1"/>
  <c r="I17" i="5"/>
  <c r="L13" i="80"/>
  <c r="I452" i="5"/>
  <c r="J31" i="75" s="1"/>
  <c r="I187" i="5"/>
  <c r="E48" i="73" s="1"/>
  <c r="I572" i="5"/>
  <c r="G19" i="72"/>
  <c r="F74" i="47"/>
  <c r="I74" i="47" s="1"/>
  <c r="J74" i="47" s="1"/>
  <c r="G257" i="50"/>
  <c r="I257" i="50" s="1"/>
  <c r="J257" i="50" s="1"/>
  <c r="G260" i="50"/>
  <c r="I595" i="5"/>
  <c r="O12" i="75" s="1"/>
  <c r="I732" i="5"/>
  <c r="I27" i="5"/>
  <c r="G66" i="50" s="1"/>
  <c r="I66" i="50" s="1"/>
  <c r="J66" i="50" s="1"/>
  <c r="I526" i="5"/>
  <c r="M10" i="71" s="1"/>
  <c r="I375" i="5"/>
  <c r="H19" i="75" s="1"/>
  <c r="I463" i="5"/>
  <c r="K12" i="75" s="1"/>
  <c r="I770" i="5"/>
  <c r="I87" i="5"/>
  <c r="K26" i="68" s="1"/>
  <c r="I303" i="5"/>
  <c r="I617" i="5"/>
  <c r="O31" i="75" s="1"/>
  <c r="H219" i="5"/>
  <c r="I286" i="5"/>
  <c r="I131" i="5"/>
  <c r="E11" i="69" s="1"/>
  <c r="I146" i="5"/>
  <c r="K22" i="72"/>
  <c r="I104" i="5"/>
  <c r="K31" i="72" s="1"/>
  <c r="I189" i="5"/>
  <c r="E63" i="69" s="1"/>
  <c r="I370" i="5"/>
  <c r="I15" i="5"/>
  <c r="G12" i="68" s="1"/>
  <c r="I98" i="5"/>
  <c r="K28" i="72" s="1"/>
  <c r="I141" i="5"/>
  <c r="G305" i="50" s="1"/>
  <c r="I305" i="50" s="1"/>
  <c r="J305" i="50" s="1"/>
  <c r="H194" i="5"/>
  <c r="I46" i="5"/>
  <c r="G161" i="50" s="1"/>
  <c r="I161" i="50" s="1"/>
  <c r="J161" i="50" s="1"/>
  <c r="I191" i="5"/>
  <c r="Q4396" i="18" s="1"/>
  <c r="I40" i="5"/>
  <c r="G131" i="50" s="1"/>
  <c r="H336" i="5"/>
  <c r="I62" i="5"/>
  <c r="G52" i="68" s="1"/>
  <c r="K4307" i="18"/>
  <c r="L4317" i="18" s="1"/>
  <c r="G60" i="50"/>
  <c r="I60" i="50" s="1"/>
  <c r="J60" i="50" s="1"/>
  <c r="K3238" i="18"/>
  <c r="L3240" i="18" s="1"/>
  <c r="I145" i="5"/>
  <c r="E25" i="69" s="1"/>
  <c r="G58" i="50"/>
  <c r="I32" i="5"/>
  <c r="G26" i="68" s="1"/>
  <c r="I13" i="5"/>
  <c r="G10" i="68" s="1"/>
  <c r="I14" i="5"/>
  <c r="I45" i="5"/>
  <c r="I421" i="5"/>
  <c r="I136" i="5"/>
  <c r="E16" i="69" s="1"/>
  <c r="F821" i="5"/>
  <c r="F108" i="47"/>
  <c r="I108" i="47" s="1"/>
  <c r="J108" i="47" s="1"/>
  <c r="E16" i="73"/>
  <c r="F109" i="47"/>
  <c r="I109" i="47" s="1"/>
  <c r="J109" i="47" s="1"/>
  <c r="K4775" i="18"/>
  <c r="L4776" i="18" s="1"/>
  <c r="F12" i="48"/>
  <c r="E17" i="73"/>
  <c r="X15" i="71"/>
  <c r="Q32" i="75"/>
  <c r="F47" i="69"/>
  <c r="K18" i="75"/>
  <c r="J809" i="5"/>
  <c r="F790" i="5"/>
  <c r="F793" i="5" s="1"/>
  <c r="F794" i="5" s="1"/>
  <c r="F795" i="5"/>
  <c r="F798" i="5" s="1"/>
  <c r="F799" i="5" s="1"/>
  <c r="J170" i="5"/>
  <c r="J192" i="5" s="1"/>
  <c r="J800" i="5" s="1"/>
  <c r="J803" i="5" s="1"/>
  <c r="J804" i="5" s="1"/>
  <c r="X18" i="2"/>
  <c r="AE18" i="2" s="1"/>
  <c r="F122" i="21" s="1"/>
  <c r="F123" i="21" s="1"/>
  <c r="F124" i="21" s="1"/>
  <c r="D46" i="52"/>
  <c r="F47" i="52" s="1"/>
  <c r="F15" i="52" s="1"/>
  <c r="F170" i="5"/>
  <c r="F123" i="51" s="1"/>
  <c r="F124" i="51" s="1"/>
  <c r="J15" i="2"/>
  <c r="J40" i="2" s="1"/>
  <c r="J54" i="2" s="1"/>
  <c r="J56" i="2" s="1"/>
  <c r="J57" i="2" s="1"/>
  <c r="F435" i="5"/>
  <c r="F193" i="5"/>
  <c r="F801" i="5" s="1"/>
  <c r="F809" i="5"/>
  <c r="G18" i="71"/>
  <c r="AB16" i="71"/>
  <c r="E11" i="74"/>
  <c r="AA16" i="75"/>
  <c r="M171" i="5"/>
  <c r="M809" i="5" s="1"/>
  <c r="Y33" i="71"/>
  <c r="E98" i="21"/>
  <c r="E99" i="21" s="1"/>
  <c r="M44" i="46"/>
  <c r="N44" i="46" s="1"/>
  <c r="M11" i="46"/>
  <c r="N11" i="46" s="1"/>
  <c r="F40" i="73"/>
  <c r="F565" i="5"/>
  <c r="F210" i="5" s="1"/>
  <c r="Q16" i="2"/>
  <c r="F88" i="8"/>
  <c r="F108" i="8"/>
  <c r="F110" i="8" s="1"/>
  <c r="J737" i="5"/>
  <c r="U33" i="71"/>
  <c r="H18" i="71"/>
  <c r="G30" i="51"/>
  <c r="N15" i="2"/>
  <c r="F567" i="5"/>
  <c r="E106" i="21"/>
  <c r="E107" i="21" s="1"/>
  <c r="E108" i="21" s="1"/>
  <c r="Q18" i="2"/>
  <c r="U15" i="71"/>
  <c r="K4912" i="18"/>
  <c r="L4913" i="18" s="1"/>
  <c r="L35" i="71"/>
  <c r="G273" i="50"/>
  <c r="I160" i="5"/>
  <c r="I18" i="5"/>
  <c r="F17" i="47" s="1"/>
  <c r="I17" i="47" s="1"/>
  <c r="J17" i="47" s="1"/>
  <c r="I115" i="5"/>
  <c r="G287" i="50" s="1"/>
  <c r="I287" i="50" s="1"/>
  <c r="J287" i="50" s="1"/>
  <c r="H596" i="5"/>
  <c r="I102" i="5"/>
  <c r="I733" i="5"/>
  <c r="J35" i="75"/>
  <c r="Q16" i="71"/>
  <c r="F93" i="47"/>
  <c r="I93" i="47" s="1"/>
  <c r="J93" i="47" s="1"/>
  <c r="E21" i="70"/>
  <c r="G44" i="51"/>
  <c r="G42" i="51"/>
  <c r="V16" i="75"/>
  <c r="O3927" i="18"/>
  <c r="K4134" i="18"/>
  <c r="L4134" i="18" s="1"/>
  <c r="G53" i="51"/>
  <c r="G43" i="51"/>
  <c r="G272" i="50"/>
  <c r="I272" i="50" s="1"/>
  <c r="J272" i="50" s="1"/>
  <c r="G322" i="50"/>
  <c r="I322" i="50" s="1"/>
  <c r="J322" i="50" s="1"/>
  <c r="O19" i="71"/>
  <c r="R13" i="75"/>
  <c r="O3937" i="18"/>
  <c r="G153" i="50"/>
  <c r="D62" i="52"/>
  <c r="D10" i="52" s="1"/>
  <c r="G18" i="51"/>
  <c r="K11" i="71"/>
  <c r="F52" i="52"/>
  <c r="F16" i="52" s="1"/>
  <c r="O3957" i="18"/>
  <c r="G145" i="50"/>
  <c r="G29" i="72"/>
  <c r="G147" i="50"/>
  <c r="G275" i="50"/>
  <c r="O30" i="71"/>
  <c r="G19" i="51"/>
  <c r="G49" i="51"/>
  <c r="G16" i="51"/>
  <c r="G47" i="51"/>
  <c r="G35" i="51"/>
  <c r="G37" i="51"/>
  <c r="G24" i="51"/>
  <c r="Q33" i="71"/>
  <c r="H468" i="5"/>
  <c r="I60" i="5"/>
  <c r="I333" i="5"/>
  <c r="I183" i="5"/>
  <c r="E42" i="73" s="1"/>
  <c r="I90" i="5"/>
  <c r="G253" i="50" s="1"/>
  <c r="I176" i="5"/>
  <c r="E38" i="73" s="1"/>
  <c r="E35" i="71"/>
  <c r="G38" i="51"/>
  <c r="G26" i="51"/>
  <c r="G22" i="51"/>
  <c r="G46" i="51"/>
  <c r="G50" i="51"/>
  <c r="G17" i="51"/>
  <c r="G32" i="51"/>
  <c r="H127" i="5"/>
  <c r="I83" i="5"/>
  <c r="K3759" i="18" s="1"/>
  <c r="H344" i="5"/>
  <c r="I397" i="5"/>
  <c r="I481" i="5"/>
  <c r="K27" i="75" s="1"/>
  <c r="I384" i="5"/>
  <c r="H27" i="75" s="1"/>
  <c r="G27" i="51"/>
  <c r="G40" i="51"/>
  <c r="G25" i="51"/>
  <c r="G21" i="51"/>
  <c r="G45" i="51"/>
  <c r="G48" i="51"/>
  <c r="G33" i="51"/>
  <c r="G31" i="51"/>
  <c r="G59" i="50"/>
  <c r="X13" i="71"/>
  <c r="G196" i="50"/>
  <c r="I196" i="50" s="1"/>
  <c r="J196" i="50" s="1"/>
  <c r="I112" i="5"/>
  <c r="F88" i="47" s="1"/>
  <c r="I88" i="47" s="1"/>
  <c r="J88" i="47" s="1"/>
  <c r="I116" i="5"/>
  <c r="K43" i="72" s="1"/>
  <c r="I157" i="5"/>
  <c r="G321" i="50" s="1"/>
  <c r="I321" i="50" s="1"/>
  <c r="J321" i="50" s="1"/>
  <c r="I85" i="5"/>
  <c r="F68" i="47" s="1"/>
  <c r="I68" i="47" s="1"/>
  <c r="J68" i="47" s="1"/>
  <c r="I71" i="5"/>
  <c r="F60" i="47" s="1"/>
  <c r="I60" i="47" s="1"/>
  <c r="J60" i="47" s="1"/>
  <c r="I123" i="5"/>
  <c r="F97" i="47" s="1"/>
  <c r="I97" i="47" s="1"/>
  <c r="J97" i="47" s="1"/>
  <c r="G41" i="51"/>
  <c r="G34" i="51"/>
  <c r="G20" i="51"/>
  <c r="G39" i="51"/>
  <c r="G51" i="51"/>
  <c r="G52" i="51"/>
  <c r="G13" i="51"/>
  <c r="G14" i="51"/>
  <c r="G36" i="51"/>
  <c r="K3187" i="18"/>
  <c r="L3188" i="18" s="1"/>
  <c r="H367" i="5"/>
  <c r="G36" i="71"/>
  <c r="Q15" i="71"/>
  <c r="H211" i="5"/>
  <c r="I489" i="5"/>
  <c r="I392" i="5"/>
  <c r="I301" i="5"/>
  <c r="F10" i="71" s="1"/>
  <c r="I533" i="5"/>
  <c r="X16" i="75"/>
  <c r="X33" i="71"/>
  <c r="I44" i="5"/>
  <c r="I517" i="5"/>
  <c r="I420" i="5"/>
  <c r="I31" i="71" s="1"/>
  <c r="H372" i="5"/>
  <c r="I338" i="5"/>
  <c r="F53" i="69"/>
  <c r="K55" i="68"/>
  <c r="L52" i="71" s="1"/>
  <c r="L48" i="72"/>
  <c r="AA51" i="75" s="1"/>
  <c r="X13" i="75"/>
  <c r="D74" i="48"/>
  <c r="D22" i="48" s="1"/>
  <c r="K4167" i="18"/>
  <c r="L4168" i="18" s="1"/>
  <c r="F79" i="47"/>
  <c r="I79" i="47" s="1"/>
  <c r="J79" i="47" s="1"/>
  <c r="F116" i="47"/>
  <c r="I116" i="47" s="1"/>
  <c r="J116" i="47" s="1"/>
  <c r="M12" i="75"/>
  <c r="F18" i="71"/>
  <c r="G152" i="50"/>
  <c r="G143" i="50"/>
  <c r="H651" i="5"/>
  <c r="I19" i="5"/>
  <c r="G33" i="50" s="1"/>
  <c r="I140" i="5"/>
  <c r="E20" i="69" s="1"/>
  <c r="I190" i="5"/>
  <c r="I105" i="5"/>
  <c r="D34" i="48"/>
  <c r="X21" i="75"/>
  <c r="K39" i="68"/>
  <c r="K3769" i="18"/>
  <c r="L3770" i="18" s="1"/>
  <c r="E39" i="69"/>
  <c r="E26" i="73"/>
  <c r="E56" i="70"/>
  <c r="G240" i="50"/>
  <c r="G276" i="50"/>
  <c r="G148" i="50"/>
  <c r="I137" i="5"/>
  <c r="E17" i="69" s="1"/>
  <c r="I70" i="5"/>
  <c r="K3408" i="18" s="1"/>
  <c r="L3409" i="18" s="1"/>
  <c r="I135" i="5"/>
  <c r="E15" i="69" s="1"/>
  <c r="I58" i="5"/>
  <c r="D11" i="48"/>
  <c r="D17" i="48" s="1"/>
  <c r="S16" i="71"/>
  <c r="K18" i="72"/>
  <c r="R33" i="71"/>
  <c r="G150" i="50"/>
  <c r="G155" i="50"/>
  <c r="F34" i="47"/>
  <c r="I34" i="47" s="1"/>
  <c r="J34" i="47" s="1"/>
  <c r="G154" i="50"/>
  <c r="I425" i="5"/>
  <c r="I34" i="5"/>
  <c r="I96" i="5"/>
  <c r="G265" i="50" s="1"/>
  <c r="T16" i="71"/>
  <c r="H178" i="5"/>
  <c r="H217" i="5"/>
  <c r="H231" i="5"/>
  <c r="I514" i="5"/>
  <c r="I417" i="5"/>
  <c r="H441" i="5"/>
  <c r="I99" i="5"/>
  <c r="H644" i="5"/>
  <c r="H228" i="5"/>
  <c r="H313" i="5"/>
  <c r="H220" i="5"/>
  <c r="H224" i="5"/>
  <c r="H573" i="5"/>
  <c r="G226" i="5"/>
  <c r="I259" i="5"/>
  <c r="G400" i="5"/>
  <c r="I395" i="5"/>
  <c r="G479" i="5"/>
  <c r="I480" i="5"/>
  <c r="G382" i="5"/>
  <c r="I383" i="5"/>
  <c r="G225" i="5"/>
  <c r="I258" i="5"/>
  <c r="I532" i="5"/>
  <c r="G534" i="5"/>
  <c r="E43" i="73"/>
  <c r="E56" i="69"/>
  <c r="I396" i="5"/>
  <c r="I516" i="5"/>
  <c r="H349" i="5"/>
  <c r="I352" i="5"/>
  <c r="I614" i="5"/>
  <c r="H611" i="5"/>
  <c r="H578" i="5"/>
  <c r="H318" i="5"/>
  <c r="I362" i="5"/>
  <c r="G367" i="5"/>
  <c r="G203" i="5"/>
  <c r="H512" i="5"/>
  <c r="I506" i="5"/>
  <c r="I409" i="5"/>
  <c r="I250" i="5"/>
  <c r="G217" i="5"/>
  <c r="G563" i="5"/>
  <c r="I558" i="5"/>
  <c r="I378" i="5"/>
  <c r="G377" i="5"/>
  <c r="I331" i="5"/>
  <c r="G336" i="5"/>
  <c r="I75" i="5"/>
  <c r="H241" i="5"/>
  <c r="I236" i="5"/>
  <c r="H203" i="5"/>
  <c r="I106" i="5"/>
  <c r="I130" i="5"/>
  <c r="E10" i="69" s="1"/>
  <c r="I472" i="5"/>
  <c r="I319" i="5"/>
  <c r="G318" i="5"/>
  <c r="H453" i="5"/>
  <c r="I454" i="5"/>
  <c r="I503" i="5"/>
  <c r="G502" i="5"/>
  <c r="I406" i="5"/>
  <c r="G405" i="5"/>
  <c r="H274" i="5"/>
  <c r="H256" i="5"/>
  <c r="H225" i="5"/>
  <c r="G35" i="5"/>
  <c r="I11" i="5"/>
  <c r="I25" i="5"/>
  <c r="H172" i="5"/>
  <c r="G446" i="5"/>
  <c r="I448" i="5"/>
  <c r="G734" i="5"/>
  <c r="I722" i="5"/>
  <c r="H227" i="5"/>
  <c r="I648" i="5"/>
  <c r="I766" i="5"/>
  <c r="H108" i="5"/>
  <c r="H606" i="5"/>
  <c r="G211" i="5"/>
  <c r="I369" i="5"/>
  <c r="I580" i="5"/>
  <c r="G263" i="5"/>
  <c r="G232" i="5"/>
  <c r="I265" i="5"/>
  <c r="G233" i="5"/>
  <c r="I266" i="5"/>
  <c r="H204" i="5"/>
  <c r="G214" i="5"/>
  <c r="G246" i="5"/>
  <c r="I247" i="5"/>
  <c r="G127" i="5"/>
  <c r="G158" i="5"/>
  <c r="G161" i="5" s="1"/>
  <c r="G163" i="5" s="1"/>
  <c r="I128" i="5"/>
  <c r="G241" i="5"/>
  <c r="I237" i="5"/>
  <c r="I386" i="5"/>
  <c r="I443" i="5"/>
  <c r="G441" i="5"/>
  <c r="H535" i="5"/>
  <c r="I536" i="5"/>
  <c r="I278" i="5"/>
  <c r="H277" i="5"/>
  <c r="I340" i="5"/>
  <c r="H339" i="5"/>
  <c r="G194" i="5"/>
  <c r="I168" i="5"/>
  <c r="H294" i="5"/>
  <c r="I295" i="5"/>
  <c r="H552" i="5"/>
  <c r="I553" i="5"/>
  <c r="I484" i="5"/>
  <c r="I387" i="5"/>
  <c r="I262" i="5"/>
  <c r="G229" i="5"/>
  <c r="I28" i="5"/>
  <c r="I188" i="5"/>
  <c r="I50" i="5"/>
  <c r="I154" i="5"/>
  <c r="I460" i="5"/>
  <c r="H132" i="5"/>
  <c r="I49" i="5"/>
  <c r="I153" i="5"/>
  <c r="E58" i="69"/>
  <c r="H158" i="5"/>
  <c r="H161" i="5" s="1"/>
  <c r="H163" i="5" s="1"/>
  <c r="I505" i="5"/>
  <c r="H206" i="5"/>
  <c r="I549" i="5"/>
  <c r="G545" i="5"/>
  <c r="G468" i="5"/>
  <c r="I466" i="5"/>
  <c r="I314" i="5"/>
  <c r="G313" i="5"/>
  <c r="G573" i="5"/>
  <c r="I574" i="5"/>
  <c r="G507" i="5"/>
  <c r="I508" i="5"/>
  <c r="G410" i="5"/>
  <c r="I411" i="5"/>
  <c r="I302" i="5"/>
  <c r="H502" i="5"/>
  <c r="H405" i="5"/>
  <c r="H246" i="5"/>
  <c r="H214" i="5"/>
  <c r="I496" i="5"/>
  <c r="I134" i="5"/>
  <c r="E14" i="69" s="1"/>
  <c r="I129" i="5"/>
  <c r="E9" i="69" s="1"/>
  <c r="I57" i="5"/>
  <c r="H35" i="5"/>
  <c r="I243" i="5"/>
  <c r="H245" i="5"/>
  <c r="I16" i="5"/>
  <c r="G601" i="5"/>
  <c r="I602" i="5"/>
  <c r="H216" i="5"/>
  <c r="I637" i="5"/>
  <c r="H634" i="5"/>
  <c r="I645" i="5"/>
  <c r="G644" i="5"/>
  <c r="I638" i="5"/>
  <c r="I239" i="5"/>
  <c r="G206" i="5"/>
  <c r="H63" i="5"/>
  <c r="I727" i="5"/>
  <c r="I719" i="5"/>
  <c r="H734" i="5"/>
  <c r="I346" i="5"/>
  <c r="G23" i="71" s="1"/>
  <c r="I22" i="5"/>
  <c r="G18" i="68" s="1"/>
  <c r="I29" i="5"/>
  <c r="G24" i="68" s="1"/>
  <c r="G216" i="5"/>
  <c r="I37" i="5"/>
  <c r="I320" i="5"/>
  <c r="H229" i="5"/>
  <c r="I488" i="5"/>
  <c r="H486" i="5"/>
  <c r="I591" i="5"/>
  <c r="G596" i="5"/>
  <c r="G512" i="5"/>
  <c r="I513" i="5"/>
  <c r="I416" i="5"/>
  <c r="G224" i="5"/>
  <c r="G256" i="5"/>
  <c r="I257" i="5"/>
  <c r="G433" i="5"/>
  <c r="I428" i="5"/>
  <c r="H92" i="5"/>
  <c r="I419" i="5"/>
  <c r="H446" i="5"/>
  <c r="I449" i="5"/>
  <c r="H474" i="5"/>
  <c r="H287" i="5"/>
  <c r="I289" i="5"/>
  <c r="G215" i="5"/>
  <c r="I248" i="5"/>
  <c r="H540" i="5"/>
  <c r="I543" i="5"/>
  <c r="H479" i="5"/>
  <c r="H382" i="5"/>
  <c r="I26" i="5"/>
  <c r="I473" i="5"/>
  <c r="I304" i="5"/>
  <c r="G251" i="5"/>
  <c r="G219" i="5"/>
  <c r="I252" i="5"/>
  <c r="I402" i="5"/>
  <c r="H404" i="5"/>
  <c r="H497" i="5"/>
  <c r="I403" i="5"/>
  <c r="G404" i="5"/>
  <c r="I143" i="5"/>
  <c r="I363" i="5"/>
  <c r="I120" i="5"/>
  <c r="I41" i="5"/>
  <c r="G92" i="5"/>
  <c r="I66" i="5"/>
  <c r="G578" i="5"/>
  <c r="I579" i="5"/>
  <c r="H356" i="5"/>
  <c r="I357" i="5"/>
  <c r="I619" i="5"/>
  <c r="H618" i="5"/>
  <c r="I641" i="5"/>
  <c r="H639" i="5"/>
  <c r="G205" i="5"/>
  <c r="I238" i="5"/>
  <c r="G535" i="5"/>
  <c r="I538" i="5"/>
  <c r="I470" i="5"/>
  <c r="G469" i="5"/>
  <c r="G231" i="5"/>
  <c r="I264" i="5"/>
  <c r="G497" i="5"/>
  <c r="I492" i="5"/>
  <c r="H433" i="5"/>
  <c r="H226" i="5"/>
  <c r="I101" i="5"/>
  <c r="I47" i="5"/>
  <c r="I150" i="5"/>
  <c r="I38" i="5"/>
  <c r="G63" i="5"/>
  <c r="G349" i="5"/>
  <c r="I351" i="5"/>
  <c r="G611" i="5"/>
  <c r="I613" i="5"/>
  <c r="G220" i="5"/>
  <c r="I476" i="5"/>
  <c r="G639" i="5"/>
  <c r="I640" i="5"/>
  <c r="I272" i="5"/>
  <c r="I631" i="5"/>
  <c r="G633" i="5"/>
  <c r="I56" i="5"/>
  <c r="H389" i="5"/>
  <c r="I244" i="5"/>
  <c r="H282" i="5"/>
  <c r="G207" i="5"/>
  <c r="H410" i="5"/>
  <c r="G464" i="5"/>
  <c r="H545" i="5"/>
  <c r="I546" i="5"/>
  <c r="I381" i="5"/>
  <c r="H222" i="5"/>
  <c r="G372" i="5"/>
  <c r="I373" i="5"/>
  <c r="G305" i="5"/>
  <c r="I300" i="5"/>
  <c r="I499" i="5"/>
  <c r="G501" i="5"/>
  <c r="I493" i="5"/>
  <c r="K2201" i="18"/>
  <c r="G149" i="50"/>
  <c r="G38" i="68"/>
  <c r="G151" i="50"/>
  <c r="G142" i="50"/>
  <c r="I142" i="50" s="1"/>
  <c r="J142" i="50" s="1"/>
  <c r="G144" i="50"/>
  <c r="I483" i="5"/>
  <c r="H601" i="5"/>
  <c r="I603" i="5"/>
  <c r="I569" i="5"/>
  <c r="H568" i="5"/>
  <c r="H308" i="5"/>
  <c r="I309" i="5"/>
  <c r="H325" i="5"/>
  <c r="I326" i="5"/>
  <c r="H585" i="5"/>
  <c r="I586" i="5"/>
  <c r="I520" i="5"/>
  <c r="H519" i="5"/>
  <c r="G222" i="5"/>
  <c r="I255" i="5"/>
  <c r="I261" i="5"/>
  <c r="G228" i="5"/>
  <c r="I269" i="5"/>
  <c r="G274" i="5"/>
  <c r="G530" i="5"/>
  <c r="I525" i="5"/>
  <c r="I174" i="5"/>
  <c r="H400" i="5"/>
  <c r="I173" i="5"/>
  <c r="G172" i="5"/>
  <c r="G277" i="50"/>
  <c r="G274" i="50"/>
  <c r="I54" i="5"/>
  <c r="I408" i="5"/>
  <c r="G287" i="5"/>
  <c r="I288" i="5"/>
  <c r="I771" i="5"/>
  <c r="G344" i="5"/>
  <c r="I345" i="5"/>
  <c r="G282" i="5"/>
  <c r="I283" i="5"/>
  <c r="I541" i="5"/>
  <c r="G540" i="5"/>
  <c r="G474" i="5"/>
  <c r="I475" i="5"/>
  <c r="H469" i="5"/>
  <c r="H305" i="5"/>
  <c r="H207" i="5"/>
  <c r="I240" i="5"/>
  <c r="I52" i="5"/>
  <c r="H215" i="5"/>
  <c r="I186" i="5"/>
  <c r="I81" i="5"/>
  <c r="I39" i="5"/>
  <c r="H205" i="5"/>
  <c r="I133" i="5"/>
  <c r="G132" i="5"/>
  <c r="G178" i="5"/>
  <c r="I179" i="5"/>
  <c r="H377" i="5"/>
  <c r="H221" i="5"/>
  <c r="I380" i="5"/>
  <c r="G436" i="5"/>
  <c r="I437" i="5"/>
  <c r="I94" i="5"/>
  <c r="G108" i="5"/>
  <c r="I624" i="5"/>
  <c r="H629" i="5"/>
  <c r="H232" i="5"/>
  <c r="I653" i="5"/>
  <c r="H233" i="5"/>
  <c r="I654" i="5"/>
  <c r="I652" i="5"/>
  <c r="G651" i="5"/>
  <c r="I777" i="5"/>
  <c r="G204" i="5"/>
  <c r="I625" i="5"/>
  <c r="G629" i="5"/>
  <c r="G634" i="5"/>
  <c r="I635" i="5"/>
  <c r="I80" i="5"/>
  <c r="K20" i="68" s="1"/>
  <c r="G227" i="5"/>
  <c r="H422" i="5"/>
  <c r="H415" i="5" s="1"/>
  <c r="G371" i="5"/>
  <c r="I459" i="5"/>
  <c r="I438" i="5"/>
  <c r="H507" i="5"/>
  <c r="W21" i="75"/>
  <c r="T33" i="71"/>
  <c r="Y15" i="71"/>
  <c r="S21" i="71"/>
  <c r="E32" i="70"/>
  <c r="K4538" i="18"/>
  <c r="L4538" i="18" s="1"/>
  <c r="O4957" i="18"/>
  <c r="O4965" i="18"/>
  <c r="M869" i="5"/>
  <c r="AB33" i="71"/>
  <c r="Y21" i="75"/>
  <c r="X21" i="71"/>
  <c r="AB16" i="75"/>
  <c r="O317" i="18"/>
  <c r="O430" i="18"/>
  <c r="AA21" i="75"/>
  <c r="S33" i="71"/>
  <c r="Z21" i="75"/>
  <c r="Z32" i="75"/>
  <c r="E29" i="74"/>
  <c r="V21" i="75"/>
  <c r="AB32" i="75"/>
  <c r="M630" i="5"/>
  <c r="M655" i="5" s="1"/>
  <c r="M874" i="5" s="1"/>
  <c r="M875" i="5" s="1"/>
  <c r="M876" i="5" s="1"/>
  <c r="S21" i="75"/>
  <c r="E39" i="74"/>
  <c r="K3679" i="18"/>
  <c r="L3679" i="18" s="1"/>
  <c r="E95" i="70"/>
  <c r="E122" i="70" s="1"/>
  <c r="X25" i="75"/>
  <c r="W26" i="71"/>
  <c r="E118" i="70"/>
  <c r="AC33" i="75"/>
  <c r="G60" i="51"/>
  <c r="G58" i="51"/>
  <c r="G71" i="51"/>
  <c r="G78" i="51"/>
  <c r="G75" i="51"/>
  <c r="G81" i="51"/>
  <c r="G57" i="51"/>
  <c r="G66" i="51"/>
  <c r="G65" i="51"/>
  <c r="G62" i="51"/>
  <c r="G63" i="51"/>
  <c r="G83" i="51"/>
  <c r="G77" i="51"/>
  <c r="G67" i="51"/>
  <c r="G82" i="51"/>
  <c r="G69" i="51"/>
  <c r="G76" i="51"/>
  <c r="G64" i="51"/>
  <c r="G74" i="51"/>
  <c r="G61" i="51"/>
  <c r="G80" i="51"/>
  <c r="G70" i="51"/>
  <c r="G79" i="51"/>
  <c r="G59" i="51"/>
  <c r="G68" i="51"/>
  <c r="Q16" i="75"/>
  <c r="Y21" i="71"/>
  <c r="X16" i="71"/>
  <c r="R13" i="71"/>
  <c r="E52" i="70"/>
  <c r="AB21" i="75"/>
  <c r="E35" i="74"/>
  <c r="V21" i="71"/>
  <c r="I709" i="5"/>
  <c r="AC10" i="71"/>
  <c r="U16" i="75"/>
  <c r="E16" i="74"/>
  <c r="W16" i="75"/>
  <c r="T21" i="71"/>
  <c r="T13" i="71"/>
  <c r="R21" i="71"/>
  <c r="W13" i="71"/>
  <c r="AC35" i="75"/>
  <c r="W21" i="71"/>
  <c r="S25" i="75"/>
  <c r="E83" i="74"/>
  <c r="E102" i="74"/>
  <c r="AB21" i="71"/>
  <c r="N4456" i="18"/>
  <c r="L31" i="68"/>
  <c r="E46" i="70"/>
  <c r="M597" i="5"/>
  <c r="M622" i="5" s="1"/>
  <c r="D95" i="47"/>
  <c r="T26" i="71"/>
  <c r="T21" i="75"/>
  <c r="V33" i="71"/>
  <c r="L57" i="68"/>
  <c r="AA52" i="71" s="1"/>
  <c r="T13" i="75"/>
  <c r="V32" i="75"/>
  <c r="O2391" i="18"/>
  <c r="O2202" i="18"/>
  <c r="AB25" i="75"/>
  <c r="AB13" i="71"/>
  <c r="D95" i="51"/>
  <c r="V16" i="71"/>
  <c r="M531" i="5"/>
  <c r="M556" i="5" s="1"/>
  <c r="M866" i="5" s="1"/>
  <c r="M867" i="5" s="1"/>
  <c r="M868" i="5" s="1"/>
  <c r="K210" i="5"/>
  <c r="M565" i="5"/>
  <c r="M210" i="5" s="1"/>
  <c r="E40" i="70"/>
  <c r="K293" i="50"/>
  <c r="R25" i="75"/>
  <c r="K564" i="5"/>
  <c r="K589" i="5" s="1"/>
  <c r="M567" i="5"/>
  <c r="M564" i="5" s="1"/>
  <c r="M589" i="5" s="1"/>
  <c r="M870" i="5" s="1"/>
  <c r="O2877" i="18"/>
  <c r="O2830" i="18"/>
  <c r="H58" i="68"/>
  <c r="W13" i="75"/>
  <c r="E100" i="70"/>
  <c r="E119" i="70"/>
  <c r="O2412" i="18"/>
  <c r="O2431" i="18"/>
  <c r="E24" i="74"/>
  <c r="X26" i="71"/>
  <c r="AC29" i="75"/>
  <c r="AC36" i="71"/>
  <c r="E101" i="74"/>
  <c r="AB13" i="75"/>
  <c r="L35" i="72"/>
  <c r="M337" i="5"/>
  <c r="M360" i="5" s="1"/>
  <c r="F58" i="52"/>
  <c r="F18" i="52" s="1"/>
  <c r="L44" i="68"/>
  <c r="F20" i="52"/>
  <c r="H49" i="72"/>
  <c r="F21" i="52"/>
  <c r="AC30" i="71"/>
  <c r="L23" i="72"/>
  <c r="AC29" i="71"/>
  <c r="S26" i="71"/>
  <c r="T25" i="75"/>
  <c r="W16" i="71"/>
  <c r="M275" i="5"/>
  <c r="M298" i="5" s="1"/>
  <c r="M838" i="5" s="1"/>
  <c r="M839" i="5" s="1"/>
  <c r="M840" i="5" s="1"/>
  <c r="U51" i="75"/>
  <c r="O4136" i="18"/>
  <c r="O3481" i="18"/>
  <c r="O3443" i="18"/>
  <c r="O4157" i="18"/>
  <c r="O3454" i="18"/>
  <c r="M73" i="46"/>
  <c r="N73" i="46" s="1"/>
  <c r="Q51" i="75"/>
  <c r="F59" i="52"/>
  <c r="Z51" i="75"/>
  <c r="Z52" i="75" s="1"/>
  <c r="Z53" i="75" s="1"/>
  <c r="AB26" i="71"/>
  <c r="T51" i="75"/>
  <c r="H5131" i="18"/>
  <c r="H5134" i="18" s="1"/>
  <c r="Q5127" i="18" s="1"/>
  <c r="E78" i="74"/>
  <c r="V51" i="75"/>
  <c r="T52" i="71"/>
  <c r="O3541" i="18"/>
  <c r="O3578" i="18"/>
  <c r="O3531" i="18"/>
  <c r="O2191" i="18"/>
  <c r="O2157" i="18"/>
  <c r="O871" i="18"/>
  <c r="O859" i="18"/>
  <c r="O890" i="18"/>
  <c r="AC28" i="75"/>
  <c r="Y13" i="71"/>
  <c r="M306" i="5"/>
  <c r="M329" i="5" s="1"/>
  <c r="M842" i="5" s="1"/>
  <c r="M843" i="5" s="1"/>
  <c r="M844" i="5" s="1"/>
  <c r="AC20" i="75"/>
  <c r="O1908" i="18"/>
  <c r="O1853" i="18"/>
  <c r="O1823" i="18"/>
  <c r="Y13" i="75"/>
  <c r="M465" i="5"/>
  <c r="M490" i="5" s="1"/>
  <c r="M858" i="5" s="1"/>
  <c r="M859" i="5" s="1"/>
  <c r="M860" i="5" s="1"/>
  <c r="AC31" i="71"/>
  <c r="M368" i="5"/>
  <c r="M393" i="5" s="1"/>
  <c r="M846" i="5" s="1"/>
  <c r="M847" i="5" s="1"/>
  <c r="M848" i="5" s="1"/>
  <c r="M223" i="5"/>
  <c r="R26" i="71"/>
  <c r="AC10" i="75"/>
  <c r="U16" i="71"/>
  <c r="AC20" i="71"/>
  <c r="AC23" i="71"/>
  <c r="AC34" i="71"/>
  <c r="Z33" i="71"/>
  <c r="Z14" i="71" s="1"/>
  <c r="Z37" i="71" s="1"/>
  <c r="Z45" i="71" s="1"/>
  <c r="O2748" i="18"/>
  <c r="O2648" i="18"/>
  <c r="M230" i="5"/>
  <c r="F12" i="52"/>
  <c r="F24" i="52"/>
  <c r="AC24" i="75"/>
  <c r="D28" i="47"/>
  <c r="O2810" i="18"/>
  <c r="O2797" i="18"/>
  <c r="O20" i="18"/>
  <c r="O10" i="18"/>
  <c r="O59" i="18"/>
  <c r="V13" i="71"/>
  <c r="Q26" i="71"/>
  <c r="I13" i="51"/>
  <c r="D28" i="51"/>
  <c r="O236" i="18"/>
  <c r="O120" i="18"/>
  <c r="O306" i="18"/>
  <c r="V13" i="75"/>
  <c r="Q25" i="75"/>
  <c r="H31" i="68"/>
  <c r="O2599" i="18"/>
  <c r="O2557" i="18"/>
  <c r="AC25" i="71"/>
  <c r="U21" i="71"/>
  <c r="H23" i="72"/>
  <c r="AC30" i="75"/>
  <c r="D115" i="47"/>
  <c r="D118" i="47" s="1"/>
  <c r="D120" i="47" s="1"/>
  <c r="AC9" i="71"/>
  <c r="S13" i="71"/>
  <c r="R16" i="71"/>
  <c r="AC17" i="71"/>
  <c r="AC12" i="75"/>
  <c r="U13" i="75"/>
  <c r="U25" i="75"/>
  <c r="AC27" i="75"/>
  <c r="AC19" i="75"/>
  <c r="Y16" i="75"/>
  <c r="F25" i="73"/>
  <c r="F28" i="73" s="1"/>
  <c r="F30" i="73" s="1"/>
  <c r="K212" i="5"/>
  <c r="K434" i="5"/>
  <c r="S13" i="75"/>
  <c r="AC9" i="75"/>
  <c r="R16" i="75"/>
  <c r="AC17" i="75"/>
  <c r="M218" i="5"/>
  <c r="J850" i="5"/>
  <c r="J851" i="5" s="1"/>
  <c r="M208" i="5"/>
  <c r="D72" i="47"/>
  <c r="O4725" i="18"/>
  <c r="O4736" i="18"/>
  <c r="D53" i="52"/>
  <c r="D80" i="48"/>
  <c r="M64" i="5"/>
  <c r="D13" i="48"/>
  <c r="D64" i="52"/>
  <c r="AA16" i="71"/>
  <c r="AC18" i="71"/>
  <c r="M117" i="5"/>
  <c r="K122" i="5"/>
  <c r="K124" i="5" s="1"/>
  <c r="K125" i="5" s="1"/>
  <c r="D54" i="47"/>
  <c r="AC22" i="71"/>
  <c r="Q21" i="71"/>
  <c r="AA13" i="71"/>
  <c r="D84" i="48"/>
  <c r="M109" i="5"/>
  <c r="D57" i="52"/>
  <c r="V15" i="75"/>
  <c r="V15" i="71"/>
  <c r="M401" i="5"/>
  <c r="F38" i="69"/>
  <c r="F41" i="69" s="1"/>
  <c r="F43" i="69" s="1"/>
  <c r="F12" i="69"/>
  <c r="Y51" i="75"/>
  <c r="I47" i="51"/>
  <c r="D54" i="51"/>
  <c r="AC18" i="75"/>
  <c r="Z16" i="75"/>
  <c r="I102" i="51"/>
  <c r="D115" i="51"/>
  <c r="D118" i="51" s="1"/>
  <c r="D120" i="51" s="1"/>
  <c r="AC24" i="71"/>
  <c r="AA21" i="71"/>
  <c r="I4463" i="18"/>
  <c r="I4472" i="18" s="1"/>
  <c r="N4457" i="18" s="1"/>
  <c r="D15" i="48"/>
  <c r="D121" i="47"/>
  <c r="M791" i="5"/>
  <c r="D66" i="52"/>
  <c r="M805" i="5"/>
  <c r="D121" i="51"/>
  <c r="I121" i="51" s="1"/>
  <c r="J121" i="51" s="1"/>
  <c r="Y26" i="71"/>
  <c r="Q21" i="75"/>
  <c r="AC22" i="75"/>
  <c r="I80" i="51"/>
  <c r="D84" i="51"/>
  <c r="Q13" i="71"/>
  <c r="AC11" i="71"/>
  <c r="AA26" i="71"/>
  <c r="AC27" i="71"/>
  <c r="V26" i="71"/>
  <c r="AC32" i="71"/>
  <c r="Y25" i="75"/>
  <c r="AA13" i="75"/>
  <c r="AC11" i="75"/>
  <c r="Q13" i="75"/>
  <c r="M242" i="5"/>
  <c r="M267" i="5" s="1"/>
  <c r="M834" i="5" s="1"/>
  <c r="M835" i="5" s="1"/>
  <c r="M836" i="5" s="1"/>
  <c r="O3394" i="18"/>
  <c r="O3381" i="18"/>
  <c r="Z25" i="75"/>
  <c r="AC26" i="75"/>
  <c r="AC23" i="75"/>
  <c r="F426" i="5"/>
  <c r="I58" i="51"/>
  <c r="D72" i="51"/>
  <c r="M498" i="5"/>
  <c r="M523" i="5" s="1"/>
  <c r="M862" i="5" s="1"/>
  <c r="M863" i="5" s="1"/>
  <c r="M864" i="5" s="1"/>
  <c r="M213" i="5"/>
  <c r="AA25" i="75"/>
  <c r="O1292" i="18"/>
  <c r="O1307" i="18"/>
  <c r="O988" i="18"/>
  <c r="O1057" i="18"/>
  <c r="O1277" i="18"/>
  <c r="O1491" i="18"/>
  <c r="O1520" i="18"/>
  <c r="L426" i="5"/>
  <c r="I117" i="51"/>
  <c r="W33" i="71"/>
  <c r="AC35" i="71"/>
  <c r="AC31" i="75"/>
  <c r="V25" i="75"/>
  <c r="M161" i="5"/>
  <c r="M163" i="5" s="1"/>
  <c r="U13" i="71"/>
  <c r="AC12" i="71"/>
  <c r="D84" i="47"/>
  <c r="AC34" i="75"/>
  <c r="W32" i="75"/>
  <c r="U26" i="71"/>
  <c r="AC28" i="71"/>
  <c r="Y16" i="71"/>
  <c r="AC19" i="71"/>
  <c r="H169" i="50"/>
  <c r="L80" i="46"/>
  <c r="L66" i="46"/>
  <c r="G43" i="46"/>
  <c r="L75" i="46"/>
  <c r="L82" i="46"/>
  <c r="G83" i="46"/>
  <c r="L14" i="46"/>
  <c r="L13" i="46"/>
  <c r="L293" i="50"/>
  <c r="G45" i="46"/>
  <c r="G46" i="46"/>
  <c r="L62" i="46"/>
  <c r="O10" i="75" l="1"/>
  <c r="J27" i="71"/>
  <c r="G35" i="71"/>
  <c r="K14" i="68"/>
  <c r="J22" i="71"/>
  <c r="K45" i="72"/>
  <c r="K46" i="72"/>
  <c r="F40" i="47"/>
  <c r="I40" i="47" s="1"/>
  <c r="J40" i="47" s="1"/>
  <c r="G290" i="50"/>
  <c r="I290" i="50" s="1"/>
  <c r="J290" i="50" s="1"/>
  <c r="I857" i="5"/>
  <c r="G291" i="50"/>
  <c r="I291" i="50" s="1"/>
  <c r="J291" i="50" s="1"/>
  <c r="F92" i="47"/>
  <c r="I92" i="47" s="1"/>
  <c r="J92" i="47" s="1"/>
  <c r="K54" i="68"/>
  <c r="K52" i="71" s="1"/>
  <c r="I861" i="5"/>
  <c r="O26" i="75"/>
  <c r="L11" i="71"/>
  <c r="G163" i="50"/>
  <c r="G162" i="50"/>
  <c r="O34" i="75"/>
  <c r="E37" i="73"/>
  <c r="J24" i="71"/>
  <c r="F67" i="47"/>
  <c r="I67" i="47" s="1"/>
  <c r="J67" i="47" s="1"/>
  <c r="K24" i="68"/>
  <c r="G236" i="50"/>
  <c r="I236" i="50" s="1"/>
  <c r="J236" i="50" s="1"/>
  <c r="M170" i="5"/>
  <c r="D123" i="47" s="1"/>
  <c r="G27" i="68"/>
  <c r="F42" i="74"/>
  <c r="F44" i="74" s="1"/>
  <c r="E84" i="74" s="1"/>
  <c r="E85" i="74" s="1"/>
  <c r="G10" i="75"/>
  <c r="G21" i="72"/>
  <c r="K4106" i="18"/>
  <c r="K38" i="68"/>
  <c r="F76" i="47"/>
  <c r="I76" i="47" s="1"/>
  <c r="J76" i="47" s="1"/>
  <c r="K29" i="72"/>
  <c r="K3431" i="18"/>
  <c r="L3432" i="18" s="1"/>
  <c r="O20" i="71"/>
  <c r="I841" i="5"/>
  <c r="K50" i="68"/>
  <c r="F52" i="71" s="1"/>
  <c r="G216" i="50"/>
  <c r="I216" i="50" s="1"/>
  <c r="J216" i="50" s="1"/>
  <c r="K12" i="72"/>
  <c r="F107" i="47"/>
  <c r="I107" i="47" s="1"/>
  <c r="J107" i="47" s="1"/>
  <c r="F94" i="74"/>
  <c r="F59" i="70"/>
  <c r="F123" i="70" s="1"/>
  <c r="F124" i="70" s="1"/>
  <c r="F125" i="70" s="1"/>
  <c r="E108" i="8"/>
  <c r="E110" i="8" s="1"/>
  <c r="E111" i="8" s="1"/>
  <c r="L18" i="71"/>
  <c r="G23" i="75"/>
  <c r="F737" i="5"/>
  <c r="F822" i="5" s="1"/>
  <c r="F823" i="5" s="1"/>
  <c r="F824" i="5" s="1"/>
  <c r="I711" i="5"/>
  <c r="I713" i="5" s="1"/>
  <c r="F109" i="48" s="1"/>
  <c r="I29" i="71"/>
  <c r="J11" i="71"/>
  <c r="O22" i="71"/>
  <c r="F33" i="73"/>
  <c r="F73" i="73" s="1"/>
  <c r="E24" i="71"/>
  <c r="F43" i="48"/>
  <c r="J24" i="75"/>
  <c r="J21" i="75" s="1"/>
  <c r="F30" i="71"/>
  <c r="N31" i="71"/>
  <c r="O24" i="71"/>
  <c r="I24" i="71"/>
  <c r="K33" i="75"/>
  <c r="G26" i="75"/>
  <c r="E31" i="75"/>
  <c r="N12" i="75"/>
  <c r="E36" i="71"/>
  <c r="K32" i="71"/>
  <c r="J12" i="71"/>
  <c r="O21" i="75"/>
  <c r="M713" i="5"/>
  <c r="D42" i="48"/>
  <c r="M829" i="5"/>
  <c r="M831" i="5" s="1"/>
  <c r="M832" i="5" s="1"/>
  <c r="D24" i="71"/>
  <c r="K29" i="71"/>
  <c r="E29" i="71"/>
  <c r="K4662" i="18"/>
  <c r="L4663" i="18" s="1"/>
  <c r="E19" i="71"/>
  <c r="E29" i="73"/>
  <c r="G326" i="50"/>
  <c r="G325" i="50"/>
  <c r="I325" i="50" s="1"/>
  <c r="J325" i="50" s="1"/>
  <c r="D29" i="75"/>
  <c r="K25" i="68"/>
  <c r="G222" i="50"/>
  <c r="I25" i="71"/>
  <c r="F107" i="48"/>
  <c r="E11" i="75"/>
  <c r="G19" i="75"/>
  <c r="M43" i="46"/>
  <c r="N43" i="46" s="1"/>
  <c r="K13" i="72"/>
  <c r="G223" i="50"/>
  <c r="F192" i="5"/>
  <c r="F813" i="5" s="1"/>
  <c r="G221" i="50"/>
  <c r="G218" i="50"/>
  <c r="I218" i="50" s="1"/>
  <c r="J218" i="50" s="1"/>
  <c r="M20" i="71"/>
  <c r="K15" i="68"/>
  <c r="E27" i="69"/>
  <c r="G25" i="71"/>
  <c r="E10" i="71"/>
  <c r="M35" i="71"/>
  <c r="E42" i="69"/>
  <c r="O31" i="71"/>
  <c r="K3442" i="18"/>
  <c r="L3501" i="18" s="1"/>
  <c r="G219" i="50"/>
  <c r="K4956" i="18"/>
  <c r="H34" i="71"/>
  <c r="H33" i="71" s="1"/>
  <c r="G217" i="50"/>
  <c r="I217" i="50" s="1"/>
  <c r="J217" i="50" s="1"/>
  <c r="G220" i="50"/>
  <c r="M18" i="71"/>
  <c r="G12" i="75"/>
  <c r="L23" i="75"/>
  <c r="K119" i="18"/>
  <c r="L170" i="18" s="1"/>
  <c r="G35" i="72"/>
  <c r="E39" i="73"/>
  <c r="G46" i="68"/>
  <c r="E22" i="73"/>
  <c r="K2638" i="18"/>
  <c r="L2639" i="18" s="1"/>
  <c r="I33" i="71"/>
  <c r="H29" i="71"/>
  <c r="J31" i="71"/>
  <c r="I833" i="5"/>
  <c r="G320" i="50"/>
  <c r="I320" i="50" s="1"/>
  <c r="J320" i="50" s="1"/>
  <c r="N24" i="75"/>
  <c r="M11" i="71"/>
  <c r="K3005" i="18"/>
  <c r="L3006" i="18" s="1"/>
  <c r="N29" i="71"/>
  <c r="J10" i="71"/>
  <c r="G135" i="50"/>
  <c r="K966" i="18"/>
  <c r="L967" i="18" s="1"/>
  <c r="L25" i="71"/>
  <c r="I34" i="75"/>
  <c r="K2820" i="18"/>
  <c r="E20" i="71"/>
  <c r="K4861" i="18"/>
  <c r="L4862" i="18" s="1"/>
  <c r="G49" i="50"/>
  <c r="G53" i="50"/>
  <c r="G247" i="50"/>
  <c r="K11" i="72"/>
  <c r="G319" i="50"/>
  <c r="I319" i="50" s="1"/>
  <c r="J319" i="50" s="1"/>
  <c r="G188" i="50"/>
  <c r="I188" i="50" s="1"/>
  <c r="J188" i="50" s="1"/>
  <c r="F29" i="71"/>
  <c r="E22" i="69"/>
  <c r="N11" i="71"/>
  <c r="K43" i="68"/>
  <c r="G113" i="50"/>
  <c r="I113" i="50" s="1"/>
  <c r="J113" i="50" s="1"/>
  <c r="G284" i="50"/>
  <c r="I284" i="50" s="1"/>
  <c r="J284" i="50" s="1"/>
  <c r="G283" i="50"/>
  <c r="H34" i="75"/>
  <c r="H32" i="75" s="1"/>
  <c r="F87" i="47"/>
  <c r="I87" i="47" s="1"/>
  <c r="J87" i="47" s="1"/>
  <c r="E46" i="73"/>
  <c r="E12" i="73"/>
  <c r="G31" i="71"/>
  <c r="E18" i="71"/>
  <c r="K47" i="68"/>
  <c r="D52" i="71" s="1"/>
  <c r="L28" i="75"/>
  <c r="G62" i="50"/>
  <c r="F75" i="48"/>
  <c r="I837" i="5"/>
  <c r="E29" i="75"/>
  <c r="G57" i="50"/>
  <c r="I57" i="50" s="1"/>
  <c r="J57" i="50" s="1"/>
  <c r="G255" i="50"/>
  <c r="I255" i="50" s="1"/>
  <c r="J255" i="50" s="1"/>
  <c r="L209" i="5"/>
  <c r="H20" i="71"/>
  <c r="L234" i="5"/>
  <c r="K40" i="72"/>
  <c r="E51" i="75" s="1"/>
  <c r="G18" i="72"/>
  <c r="F23" i="47"/>
  <c r="I23" i="47" s="1"/>
  <c r="J23" i="47" s="1"/>
  <c r="K4329" i="18"/>
  <c r="L4340" i="18" s="1"/>
  <c r="K24" i="71"/>
  <c r="G248" i="50"/>
  <c r="I606" i="5"/>
  <c r="G14" i="72"/>
  <c r="O25" i="71"/>
  <c r="E30" i="75"/>
  <c r="F104" i="47"/>
  <c r="I104" i="47" s="1"/>
  <c r="J104" i="47" s="1"/>
  <c r="K4875" i="18"/>
  <c r="L4876" i="18" s="1"/>
  <c r="G54" i="50"/>
  <c r="G200" i="50"/>
  <c r="I200" i="50" s="1"/>
  <c r="J200" i="50" s="1"/>
  <c r="O11" i="71"/>
  <c r="K1789" i="18"/>
  <c r="L1790" i="18" s="1"/>
  <c r="G106" i="50"/>
  <c r="M31" i="71"/>
  <c r="G185" i="50"/>
  <c r="I185" i="50" s="1"/>
  <c r="J185" i="50" s="1"/>
  <c r="L212" i="5"/>
  <c r="K697" i="18"/>
  <c r="L848" i="18" s="1"/>
  <c r="E44" i="73"/>
  <c r="F20" i="47"/>
  <c r="I20" i="47" s="1"/>
  <c r="J20" i="47" s="1"/>
  <c r="E61" i="69"/>
  <c r="G109" i="50"/>
  <c r="G101" i="50"/>
  <c r="I101" i="50" s="1"/>
  <c r="J101" i="50" s="1"/>
  <c r="F43" i="47"/>
  <c r="I43" i="47" s="1"/>
  <c r="J43" i="47" s="1"/>
  <c r="G44" i="68"/>
  <c r="M28" i="75"/>
  <c r="M29" i="71"/>
  <c r="G103" i="50"/>
  <c r="G107" i="50"/>
  <c r="F76" i="48"/>
  <c r="F78" i="48" s="1"/>
  <c r="F79" i="48" s="1"/>
  <c r="F23" i="48" s="1"/>
  <c r="E12" i="71"/>
  <c r="G61" i="50"/>
  <c r="G50" i="50"/>
  <c r="K3967" i="18"/>
  <c r="L3968" i="18" s="1"/>
  <c r="K30" i="68"/>
  <c r="G237" i="50"/>
  <c r="G17" i="68"/>
  <c r="K1616" i="18"/>
  <c r="L1617" i="18" s="1"/>
  <c r="F19" i="47"/>
  <c r="I19" i="47" s="1"/>
  <c r="J19" i="47" s="1"/>
  <c r="K4246" i="18"/>
  <c r="L4247" i="18" s="1"/>
  <c r="G67" i="50"/>
  <c r="G23" i="68"/>
  <c r="K13" i="68"/>
  <c r="G55" i="50"/>
  <c r="G48" i="50"/>
  <c r="G256" i="50"/>
  <c r="J35" i="71"/>
  <c r="E35" i="69"/>
  <c r="X15" i="2"/>
  <c r="X40" i="2" s="1"/>
  <c r="I389" i="5"/>
  <c r="N19" i="71"/>
  <c r="F113" i="47"/>
  <c r="I113" i="47" s="1"/>
  <c r="J113" i="47" s="1"/>
  <c r="F32" i="71"/>
  <c r="E36" i="69"/>
  <c r="G52" i="50"/>
  <c r="K16" i="72"/>
  <c r="F65" i="47"/>
  <c r="I65" i="47" s="1"/>
  <c r="J65" i="47" s="1"/>
  <c r="K858" i="18"/>
  <c r="L871" i="18" s="1"/>
  <c r="F26" i="47"/>
  <c r="I26" i="47" s="1"/>
  <c r="J26" i="47" s="1"/>
  <c r="F47" i="47"/>
  <c r="I47" i="47" s="1"/>
  <c r="J47" i="47" s="1"/>
  <c r="G110" i="50"/>
  <c r="G108" i="50"/>
  <c r="G15" i="72"/>
  <c r="G105" i="50"/>
  <c r="G25" i="68"/>
  <c r="F24" i="47"/>
  <c r="I24" i="47" s="1"/>
  <c r="J24" i="47" s="1"/>
  <c r="F35" i="75"/>
  <c r="G241" i="50"/>
  <c r="I241" i="50" s="1"/>
  <c r="J241" i="50" s="1"/>
  <c r="O12" i="71"/>
  <c r="M24" i="75"/>
  <c r="N18" i="75"/>
  <c r="G311" i="50"/>
  <c r="G49" i="68"/>
  <c r="K4749" i="18"/>
  <c r="L4750" i="18" s="1"/>
  <c r="I33" i="75"/>
  <c r="N35" i="71"/>
  <c r="M28" i="71"/>
  <c r="N32" i="71"/>
  <c r="F23" i="75"/>
  <c r="G43" i="68"/>
  <c r="G40" i="72"/>
  <c r="K4286" i="18"/>
  <c r="L4287" i="18" s="1"/>
  <c r="G10" i="72"/>
  <c r="E24" i="69"/>
  <c r="F50" i="47"/>
  <c r="I50" i="47" s="1"/>
  <c r="J50" i="47" s="1"/>
  <c r="G281" i="50"/>
  <c r="I281" i="50" s="1"/>
  <c r="J281" i="50" s="1"/>
  <c r="F83" i="47"/>
  <c r="I83" i="47" s="1"/>
  <c r="J83" i="47" s="1"/>
  <c r="F31" i="71"/>
  <c r="I422" i="5"/>
  <c r="I415" i="5" s="1"/>
  <c r="G30" i="71"/>
  <c r="K4724" i="18"/>
  <c r="L4736" i="18" s="1"/>
  <c r="E31" i="69"/>
  <c r="L32" i="71"/>
  <c r="K34" i="72"/>
  <c r="O15" i="71"/>
  <c r="K3800" i="18"/>
  <c r="L3801" i="18" s="1"/>
  <c r="E13" i="73"/>
  <c r="N36" i="71"/>
  <c r="F106" i="47"/>
  <c r="I106" i="47" s="1"/>
  <c r="J106" i="47" s="1"/>
  <c r="G314" i="50"/>
  <c r="K24" i="75"/>
  <c r="G313" i="50"/>
  <c r="I313" i="50" s="1"/>
  <c r="J313" i="50" s="1"/>
  <c r="M32" i="71"/>
  <c r="F35" i="71"/>
  <c r="D19" i="71"/>
  <c r="G132" i="50"/>
  <c r="G27" i="72"/>
  <c r="G36" i="68"/>
  <c r="H31" i="75"/>
  <c r="E15" i="75"/>
  <c r="G168" i="50"/>
  <c r="I168" i="50" s="1"/>
  <c r="J168" i="50" s="1"/>
  <c r="K29" i="68"/>
  <c r="G42" i="72"/>
  <c r="G51" i="68"/>
  <c r="G278" i="50"/>
  <c r="I278" i="50" s="1"/>
  <c r="J278" i="50" s="1"/>
  <c r="K40" i="68"/>
  <c r="K37" i="68"/>
  <c r="F80" i="47"/>
  <c r="I80" i="47" s="1"/>
  <c r="J80" i="47" s="1"/>
  <c r="F46" i="69"/>
  <c r="F86" i="69" s="1"/>
  <c r="J32" i="71"/>
  <c r="F114" i="21"/>
  <c r="F115" i="21" s="1"/>
  <c r="F116" i="21" s="1"/>
  <c r="G249" i="50"/>
  <c r="G244" i="50"/>
  <c r="I244" i="50" s="1"/>
  <c r="J244" i="50" s="1"/>
  <c r="H11" i="71"/>
  <c r="F25" i="71"/>
  <c r="G243" i="50"/>
  <c r="I243" i="50" s="1"/>
  <c r="J243" i="50" s="1"/>
  <c r="J19" i="71"/>
  <c r="M10" i="75"/>
  <c r="K42" i="72"/>
  <c r="M36" i="71"/>
  <c r="O36" i="71"/>
  <c r="I18" i="71"/>
  <c r="K9" i="72"/>
  <c r="F15" i="75"/>
  <c r="K3828" i="18"/>
  <c r="L3839" i="18" s="1"/>
  <c r="G246" i="50"/>
  <c r="G285" i="50"/>
  <c r="H19" i="71"/>
  <c r="F19" i="71"/>
  <c r="N29" i="75"/>
  <c r="F89" i="47"/>
  <c r="I89" i="47" s="1"/>
  <c r="J89" i="47" s="1"/>
  <c r="K36" i="68"/>
  <c r="J20" i="75"/>
  <c r="G32" i="71"/>
  <c r="N10" i="75"/>
  <c r="J435" i="5"/>
  <c r="M435" i="5" s="1"/>
  <c r="W15" i="71" s="1"/>
  <c r="K28" i="68"/>
  <c r="G250" i="50"/>
  <c r="I250" i="50" s="1"/>
  <c r="J250" i="50" s="1"/>
  <c r="F69" i="47"/>
  <c r="I69" i="47" s="1"/>
  <c r="J69" i="47" s="1"/>
  <c r="J30" i="71"/>
  <c r="J29" i="75"/>
  <c r="L35" i="75"/>
  <c r="L36" i="71"/>
  <c r="G47" i="50"/>
  <c r="I47" i="50" s="1"/>
  <c r="J47" i="50" s="1"/>
  <c r="G51" i="50"/>
  <c r="G56" i="50"/>
  <c r="G212" i="50"/>
  <c r="I212" i="50" s="1"/>
  <c r="J212" i="50" s="1"/>
  <c r="F58" i="47"/>
  <c r="I58" i="47" s="1"/>
  <c r="J58" i="47" s="1"/>
  <c r="K11" i="68"/>
  <c r="N24" i="71"/>
  <c r="N23" i="75"/>
  <c r="G308" i="50"/>
  <c r="E10" i="73"/>
  <c r="K3380" i="18"/>
  <c r="H12" i="75"/>
  <c r="H12" i="71"/>
  <c r="F20" i="75"/>
  <c r="F20" i="71"/>
  <c r="I12" i="71"/>
  <c r="I12" i="75"/>
  <c r="G24" i="50"/>
  <c r="K12" i="71"/>
  <c r="G134" i="50"/>
  <c r="E24" i="75"/>
  <c r="E25" i="71"/>
  <c r="G286" i="50"/>
  <c r="I286" i="50" s="1"/>
  <c r="J286" i="50" s="1"/>
  <c r="G15" i="50"/>
  <c r="I15" i="50" s="1"/>
  <c r="J15" i="50" s="1"/>
  <c r="G133" i="50"/>
  <c r="G136" i="50"/>
  <c r="G26" i="50"/>
  <c r="F15" i="47"/>
  <c r="I15" i="47" s="1"/>
  <c r="J15" i="47" s="1"/>
  <c r="G130" i="50"/>
  <c r="I130" i="50" s="1"/>
  <c r="J130" i="50" s="1"/>
  <c r="K2031" i="18"/>
  <c r="L2032" i="18" s="1"/>
  <c r="O32" i="71"/>
  <c r="N20" i="75"/>
  <c r="N20" i="71"/>
  <c r="E50" i="73"/>
  <c r="F103" i="47"/>
  <c r="I103" i="47" s="1"/>
  <c r="J103" i="47" s="1"/>
  <c r="E26" i="69"/>
  <c r="E14" i="73"/>
  <c r="H171" i="5"/>
  <c r="H170" i="5" s="1"/>
  <c r="H117" i="5" s="1"/>
  <c r="E9" i="73"/>
  <c r="G27" i="50"/>
  <c r="G19" i="50"/>
  <c r="G16" i="50"/>
  <c r="G25" i="50"/>
  <c r="E21" i="69"/>
  <c r="K3305" i="18"/>
  <c r="L3306" i="18" s="1"/>
  <c r="G137" i="50"/>
  <c r="F32" i="47"/>
  <c r="I32" i="47" s="1"/>
  <c r="J32" i="47" s="1"/>
  <c r="K89" i="18"/>
  <c r="L90" i="18" s="1"/>
  <c r="G13" i="50"/>
  <c r="I13" i="50" s="1"/>
  <c r="J13" i="50" s="1"/>
  <c r="G20" i="50"/>
  <c r="G22" i="50"/>
  <c r="G23" i="50"/>
  <c r="G14" i="68"/>
  <c r="G306" i="50"/>
  <c r="G205" i="50"/>
  <c r="I205" i="50" s="1"/>
  <c r="J205" i="50" s="1"/>
  <c r="F53" i="47"/>
  <c r="I53" i="47" s="1"/>
  <c r="J53" i="47" s="1"/>
  <c r="G17" i="50"/>
  <c r="G18" i="50"/>
  <c r="G21" i="50"/>
  <c r="G12" i="72"/>
  <c r="K4632" i="18"/>
  <c r="L4633" i="18" s="1"/>
  <c r="G112" i="50"/>
  <c r="G43" i="72"/>
  <c r="G41" i="68"/>
  <c r="F38" i="47"/>
  <c r="I38" i="47" s="1"/>
  <c r="J38" i="47" s="1"/>
  <c r="G32" i="72"/>
  <c r="K2519" i="18"/>
  <c r="L2520" i="18" s="1"/>
  <c r="F25" i="47"/>
  <c r="I25" i="47" s="1"/>
  <c r="J25" i="47" s="1"/>
  <c r="G111" i="50"/>
  <c r="I31" i="75"/>
  <c r="I32" i="71"/>
  <c r="G20" i="72"/>
  <c r="K1763" i="18"/>
  <c r="G160" i="50"/>
  <c r="G31" i="72"/>
  <c r="G159" i="50"/>
  <c r="I159" i="50" s="1"/>
  <c r="J159" i="50" s="1"/>
  <c r="K2496" i="18"/>
  <c r="L2497" i="18" s="1"/>
  <c r="G40" i="68"/>
  <c r="F37" i="47"/>
  <c r="I37" i="47" s="1"/>
  <c r="J37" i="47" s="1"/>
  <c r="F14" i="47"/>
  <c r="I14" i="47" s="1"/>
  <c r="J14" i="47" s="1"/>
  <c r="G11" i="68"/>
  <c r="G12" i="50"/>
  <c r="I12" i="50" s="1"/>
  <c r="J12" i="50" s="1"/>
  <c r="K70" i="18"/>
  <c r="L71" i="18" s="1"/>
  <c r="G9" i="72"/>
  <c r="E51" i="69"/>
  <c r="G263" i="50"/>
  <c r="J813" i="5"/>
  <c r="E17" i="74"/>
  <c r="M14" i="46"/>
  <c r="N14" i="46" s="1"/>
  <c r="D47" i="52"/>
  <c r="D15" i="52" s="1"/>
  <c r="F118" i="21"/>
  <c r="F119" i="21" s="1"/>
  <c r="F120" i="21" s="1"/>
  <c r="F800" i="5"/>
  <c r="F803" i="5" s="1"/>
  <c r="F804" i="5" s="1"/>
  <c r="F810" i="5"/>
  <c r="F811" i="5" s="1"/>
  <c r="F812" i="5" s="1"/>
  <c r="F434" i="5"/>
  <c r="F457" i="5" s="1"/>
  <c r="F854" i="5" s="1"/>
  <c r="F855" i="5" s="1"/>
  <c r="F856" i="5" s="1"/>
  <c r="X14" i="75"/>
  <c r="X36" i="75" s="1"/>
  <c r="X50" i="75" s="1"/>
  <c r="X52" i="75" s="1"/>
  <c r="X53" i="75" s="1"/>
  <c r="M193" i="5"/>
  <c r="M801" i="5" s="1"/>
  <c r="G28" i="51"/>
  <c r="M13" i="46"/>
  <c r="N13" i="46" s="1"/>
  <c r="M46" i="46"/>
  <c r="N46" i="46" s="1"/>
  <c r="M45" i="46"/>
  <c r="N45" i="46" s="1"/>
  <c r="F806" i="5"/>
  <c r="F807" i="5" s="1"/>
  <c r="F808" i="5" s="1"/>
  <c r="F212" i="5"/>
  <c r="F814" i="5" s="1"/>
  <c r="F564" i="5"/>
  <c r="N40" i="2"/>
  <c r="Q15" i="2"/>
  <c r="Q40" i="2" s="1"/>
  <c r="F111" i="8"/>
  <c r="E33" i="70"/>
  <c r="E111" i="70" s="1"/>
  <c r="E122" i="21"/>
  <c r="E123" i="21" s="1"/>
  <c r="E124" i="21" s="1"/>
  <c r="E118" i="21"/>
  <c r="E119" i="21" s="1"/>
  <c r="F113" i="8"/>
  <c r="F115" i="8" s="1"/>
  <c r="F116" i="8" s="1"/>
  <c r="E113" i="8"/>
  <c r="E115" i="8" s="1"/>
  <c r="M737" i="5"/>
  <c r="J822" i="5"/>
  <c r="J823" i="5" s="1"/>
  <c r="J824" i="5" s="1"/>
  <c r="J754" i="5"/>
  <c r="J826" i="5" s="1"/>
  <c r="J827" i="5" s="1"/>
  <c r="J828" i="5" s="1"/>
  <c r="I30" i="75"/>
  <c r="K28" i="71"/>
  <c r="E55" i="69"/>
  <c r="G271" i="50"/>
  <c r="K4146" i="18"/>
  <c r="L4147" i="18" s="1"/>
  <c r="E27" i="73"/>
  <c r="K4943" i="18"/>
  <c r="L4944" i="18" s="1"/>
  <c r="G324" i="50"/>
  <c r="I324" i="50" s="1"/>
  <c r="J324" i="50" s="1"/>
  <c r="G270" i="50"/>
  <c r="I270" i="50" s="1"/>
  <c r="J270" i="50" s="1"/>
  <c r="F117" i="47"/>
  <c r="I117" i="47" s="1"/>
  <c r="J117" i="47" s="1"/>
  <c r="E40" i="69"/>
  <c r="F78" i="47"/>
  <c r="I78" i="47" s="1"/>
  <c r="J78" i="47" s="1"/>
  <c r="K4350" i="18"/>
  <c r="L4351" i="18" s="1"/>
  <c r="I845" i="5"/>
  <c r="K51" i="68"/>
  <c r="H52" i="71" s="1"/>
  <c r="E57" i="70"/>
  <c r="E24" i="73"/>
  <c r="K4897" i="18"/>
  <c r="L4898" i="18" s="1"/>
  <c r="G337" i="5"/>
  <c r="G360" i="5" s="1"/>
  <c r="E37" i="69"/>
  <c r="F114" i="47"/>
  <c r="I114" i="47" s="1"/>
  <c r="J114" i="47" s="1"/>
  <c r="K4359" i="18"/>
  <c r="L4360" i="18" s="1"/>
  <c r="K52" i="68"/>
  <c r="I52" i="71" s="1"/>
  <c r="F66" i="47"/>
  <c r="I66" i="47" s="1"/>
  <c r="J66" i="47" s="1"/>
  <c r="G238" i="50"/>
  <c r="I238" i="50" s="1"/>
  <c r="J238" i="50" s="1"/>
  <c r="K17" i="72"/>
  <c r="G11" i="75"/>
  <c r="G11" i="71"/>
  <c r="I849" i="5"/>
  <c r="F90" i="47"/>
  <c r="I90" i="47" s="1"/>
  <c r="J90" i="47" s="1"/>
  <c r="I873" i="5"/>
  <c r="G288" i="50"/>
  <c r="I288" i="50" s="1"/>
  <c r="J288" i="50" s="1"/>
  <c r="K23" i="68"/>
  <c r="G215" i="50"/>
  <c r="I215" i="50" s="1"/>
  <c r="J215" i="50" s="1"/>
  <c r="K3420" i="18"/>
  <c r="L3421" i="18" s="1"/>
  <c r="K39" i="72"/>
  <c r="K48" i="68"/>
  <c r="G50" i="68"/>
  <c r="G198" i="50"/>
  <c r="I198" i="50" s="1"/>
  <c r="J198" i="50" s="1"/>
  <c r="F51" i="47"/>
  <c r="I51" i="47" s="1"/>
  <c r="J51" i="47" s="1"/>
  <c r="G199" i="50"/>
  <c r="K3212" i="18"/>
  <c r="L3213" i="18" s="1"/>
  <c r="G41" i="72"/>
  <c r="H28" i="71"/>
  <c r="G54" i="51"/>
  <c r="K19" i="72"/>
  <c r="G242" i="50"/>
  <c r="I11" i="71"/>
  <c r="I11" i="75"/>
  <c r="F70" i="47"/>
  <c r="I70" i="47" s="1"/>
  <c r="J70" i="47" s="1"/>
  <c r="G252" i="50"/>
  <c r="K21" i="72"/>
  <c r="G251" i="50"/>
  <c r="I251" i="50" s="1"/>
  <c r="J251" i="50" s="1"/>
  <c r="K3926" i="18"/>
  <c r="G254" i="50"/>
  <c r="G37" i="50"/>
  <c r="F10" i="75"/>
  <c r="K35" i="75"/>
  <c r="K36" i="71"/>
  <c r="G158" i="50"/>
  <c r="F36" i="47"/>
  <c r="I36" i="47" s="1"/>
  <c r="J36" i="47" s="1"/>
  <c r="G157" i="50"/>
  <c r="G156" i="50"/>
  <c r="I156" i="50" s="1"/>
  <c r="J156" i="50" s="1"/>
  <c r="G30" i="72"/>
  <c r="G39" i="68"/>
  <c r="K2411" i="18"/>
  <c r="H36" i="71"/>
  <c r="H35" i="75"/>
  <c r="G15" i="71"/>
  <c r="G15" i="75"/>
  <c r="G214" i="50"/>
  <c r="I214" i="50" s="1"/>
  <c r="J214" i="50" s="1"/>
  <c r="L30" i="75"/>
  <c r="L31" i="71"/>
  <c r="O4457" i="18"/>
  <c r="I651" i="5"/>
  <c r="K10" i="72"/>
  <c r="G39" i="72"/>
  <c r="G48" i="68"/>
  <c r="F49" i="47"/>
  <c r="I49" i="47" s="1"/>
  <c r="J49" i="47" s="1"/>
  <c r="G195" i="50"/>
  <c r="I195" i="50" s="1"/>
  <c r="J195" i="50" s="1"/>
  <c r="K3174" i="18"/>
  <c r="L3175" i="18" s="1"/>
  <c r="G31" i="50"/>
  <c r="G40" i="50"/>
  <c r="F71" i="48"/>
  <c r="F73" i="48" s="1"/>
  <c r="F74" i="48" s="1"/>
  <c r="F22" i="48" s="1"/>
  <c r="G38" i="50"/>
  <c r="G45" i="50"/>
  <c r="G41" i="50"/>
  <c r="G29" i="50"/>
  <c r="G15" i="68"/>
  <c r="K316" i="18"/>
  <c r="G13" i="72"/>
  <c r="G30" i="50"/>
  <c r="G46" i="50"/>
  <c r="G44" i="50"/>
  <c r="G43" i="50"/>
  <c r="F18" i="47"/>
  <c r="I18" i="47" s="1"/>
  <c r="J18" i="47" s="1"/>
  <c r="G42" i="50"/>
  <c r="H465" i="5"/>
  <c r="H490" i="5" s="1"/>
  <c r="G32" i="50"/>
  <c r="G39" i="50"/>
  <c r="F59" i="47"/>
  <c r="I59" i="47" s="1"/>
  <c r="J59" i="47" s="1"/>
  <c r="K35" i="68"/>
  <c r="G266" i="50"/>
  <c r="G264" i="50"/>
  <c r="G262" i="50"/>
  <c r="I262" i="50" s="1"/>
  <c r="J262" i="50" s="1"/>
  <c r="K26" i="72"/>
  <c r="K4050" i="18"/>
  <c r="F75" i="47"/>
  <c r="I75" i="47" s="1"/>
  <c r="J75" i="47" s="1"/>
  <c r="G280" i="50"/>
  <c r="K41" i="68"/>
  <c r="F81" i="47"/>
  <c r="I81" i="47" s="1"/>
  <c r="J81" i="47" s="1"/>
  <c r="K4260" i="18"/>
  <c r="L4261" i="18" s="1"/>
  <c r="K32" i="72"/>
  <c r="G279" i="50"/>
  <c r="I279" i="50" s="1"/>
  <c r="J279" i="50" s="1"/>
  <c r="G72" i="51"/>
  <c r="G28" i="50"/>
  <c r="I28" i="50" s="1"/>
  <c r="J28" i="50" s="1"/>
  <c r="G35" i="50"/>
  <c r="K1811" i="18"/>
  <c r="L1812" i="18" s="1"/>
  <c r="G115" i="50"/>
  <c r="I115" i="50" s="1"/>
  <c r="J115" i="50" s="1"/>
  <c r="G28" i="68"/>
  <c r="F27" i="47"/>
  <c r="I27" i="47" s="1"/>
  <c r="J27" i="47" s="1"/>
  <c r="G22" i="72"/>
  <c r="E64" i="69"/>
  <c r="E51" i="73"/>
  <c r="E120" i="70"/>
  <c r="E121" i="70" s="1"/>
  <c r="E40" i="74"/>
  <c r="I634" i="5"/>
  <c r="G275" i="5"/>
  <c r="G298" i="5" s="1"/>
  <c r="G36" i="50"/>
  <c r="G34" i="50"/>
  <c r="K12" i="68"/>
  <c r="I35" i="75"/>
  <c r="I36" i="71"/>
  <c r="AC33" i="71"/>
  <c r="L27" i="75"/>
  <c r="L28" i="71"/>
  <c r="X14" i="71"/>
  <c r="X37" i="71" s="1"/>
  <c r="X51" i="71" s="1"/>
  <c r="X53" i="71" s="1"/>
  <c r="X54" i="71" s="1"/>
  <c r="G109" i="5"/>
  <c r="L36" i="72"/>
  <c r="H597" i="5"/>
  <c r="H622" i="5" s="1"/>
  <c r="H337" i="5"/>
  <c r="H360" i="5" s="1"/>
  <c r="I27" i="75"/>
  <c r="I28" i="71"/>
  <c r="S14" i="71"/>
  <c r="S37" i="71" s="1"/>
  <c r="S45" i="71" s="1"/>
  <c r="G368" i="5"/>
  <c r="G393" i="5" s="1"/>
  <c r="I371" i="5"/>
  <c r="J17" i="75"/>
  <c r="I436" i="5"/>
  <c r="J17" i="71"/>
  <c r="H368" i="5"/>
  <c r="H393" i="5" s="1"/>
  <c r="H218" i="5"/>
  <c r="G304" i="50"/>
  <c r="E13" i="69"/>
  <c r="G297" i="50"/>
  <c r="I297" i="50" s="1"/>
  <c r="J297" i="50" s="1"/>
  <c r="K4487" i="18"/>
  <c r="L4507" i="18" s="1"/>
  <c r="E8" i="73"/>
  <c r="F102" i="47"/>
  <c r="I102" i="47" s="1"/>
  <c r="J102" i="47" s="1"/>
  <c r="G302" i="50"/>
  <c r="F106" i="48"/>
  <c r="I132" i="5"/>
  <c r="E60" i="69"/>
  <c r="E47" i="73"/>
  <c r="E27" i="71"/>
  <c r="I287" i="5"/>
  <c r="E26" i="75"/>
  <c r="D24" i="75"/>
  <c r="D25" i="71"/>
  <c r="I222" i="5"/>
  <c r="N33" i="75"/>
  <c r="N32" i="75" s="1"/>
  <c r="N34" i="71"/>
  <c r="I585" i="5"/>
  <c r="I308" i="5"/>
  <c r="F17" i="75"/>
  <c r="F17" i="71"/>
  <c r="O18" i="75"/>
  <c r="O18" i="71"/>
  <c r="K29" i="75"/>
  <c r="K30" i="71"/>
  <c r="I51" i="75"/>
  <c r="K23" i="71"/>
  <c r="I220" i="5"/>
  <c r="G28" i="71"/>
  <c r="G27" i="75"/>
  <c r="I349" i="5"/>
  <c r="E18" i="73"/>
  <c r="E30" i="69"/>
  <c r="G140" i="50"/>
  <c r="G37" i="68"/>
  <c r="G138" i="50"/>
  <c r="I138" i="50" s="1"/>
  <c r="J138" i="50" s="1"/>
  <c r="G28" i="72"/>
  <c r="F33" i="47"/>
  <c r="I33" i="47" s="1"/>
  <c r="J33" i="47" s="1"/>
  <c r="G141" i="50"/>
  <c r="K2156" i="18"/>
  <c r="G139" i="50"/>
  <c r="I404" i="5"/>
  <c r="G401" i="5"/>
  <c r="G426" i="5" s="1"/>
  <c r="F12" i="71"/>
  <c r="F12" i="75"/>
  <c r="G17" i="72"/>
  <c r="G22" i="68"/>
  <c r="K943" i="18"/>
  <c r="L944" i="18" s="1"/>
  <c r="F22" i="47"/>
  <c r="I22" i="47" s="1"/>
  <c r="J22" i="47" s="1"/>
  <c r="G65" i="50"/>
  <c r="G64" i="50"/>
  <c r="I64" i="50" s="1"/>
  <c r="J64" i="50" s="1"/>
  <c r="I227" i="5"/>
  <c r="I30" i="71"/>
  <c r="I29" i="75"/>
  <c r="D26" i="75"/>
  <c r="D27" i="71"/>
  <c r="I256" i="5"/>
  <c r="I26" i="75"/>
  <c r="I27" i="71"/>
  <c r="I224" i="5"/>
  <c r="O9" i="71"/>
  <c r="I596" i="5"/>
  <c r="O9" i="75"/>
  <c r="O13" i="75" s="1"/>
  <c r="AB43" i="75" s="1"/>
  <c r="F27" i="75"/>
  <c r="F28" i="71"/>
  <c r="I245" i="5"/>
  <c r="H242" i="5"/>
  <c r="L12" i="75"/>
  <c r="L12" i="71"/>
  <c r="H498" i="5"/>
  <c r="H523" i="5" s="1"/>
  <c r="I22" i="71"/>
  <c r="I410" i="5"/>
  <c r="I219" i="5"/>
  <c r="I22" i="75"/>
  <c r="N22" i="75"/>
  <c r="N22" i="71"/>
  <c r="I573" i="5"/>
  <c r="G177" i="50"/>
  <c r="I177" i="50" s="1"/>
  <c r="J177" i="50" s="1"/>
  <c r="G178" i="50"/>
  <c r="F42" i="47"/>
  <c r="I42" i="47" s="1"/>
  <c r="J42" i="47" s="1"/>
  <c r="K2796" i="18"/>
  <c r="D31" i="75"/>
  <c r="I229" i="5"/>
  <c r="D32" i="71"/>
  <c r="E17" i="75"/>
  <c r="E16" i="75" s="1"/>
  <c r="E17" i="71"/>
  <c r="I277" i="5"/>
  <c r="J23" i="71"/>
  <c r="I441" i="5"/>
  <c r="G208" i="5"/>
  <c r="D17" i="75"/>
  <c r="D17" i="71"/>
  <c r="I246" i="5"/>
  <c r="D35" i="75"/>
  <c r="D36" i="71"/>
  <c r="I233" i="5"/>
  <c r="G230" i="5"/>
  <c r="G9" i="50"/>
  <c r="I9" i="50" s="1"/>
  <c r="J9" i="50" s="1"/>
  <c r="G10" i="50"/>
  <c r="I10" i="50" s="1"/>
  <c r="J10" i="50" s="1"/>
  <c r="G11" i="50"/>
  <c r="G8" i="72"/>
  <c r="F13" i="47"/>
  <c r="I35" i="5"/>
  <c r="G8" i="68"/>
  <c r="K9" i="18"/>
  <c r="L17" i="75"/>
  <c r="L17" i="71"/>
  <c r="I502" i="5"/>
  <c r="F26" i="75"/>
  <c r="F27" i="71"/>
  <c r="I318" i="5"/>
  <c r="H208" i="5"/>
  <c r="O28" i="75"/>
  <c r="O29" i="71"/>
  <c r="I534" i="5"/>
  <c r="G531" i="5"/>
  <c r="G556" i="5" s="1"/>
  <c r="H27" i="71"/>
  <c r="I382" i="5"/>
  <c r="H26" i="75"/>
  <c r="I9" i="71"/>
  <c r="I400" i="5"/>
  <c r="I203" i="5"/>
  <c r="I9" i="75"/>
  <c r="D28" i="75"/>
  <c r="D29" i="71"/>
  <c r="I226" i="5"/>
  <c r="I629" i="5"/>
  <c r="E41" i="73"/>
  <c r="E54" i="69"/>
  <c r="I178" i="5"/>
  <c r="G22" i="75"/>
  <c r="G22" i="71"/>
  <c r="I344" i="5"/>
  <c r="E36" i="73"/>
  <c r="E49" i="69"/>
  <c r="E9" i="71"/>
  <c r="I274" i="5"/>
  <c r="E9" i="75"/>
  <c r="H306" i="5"/>
  <c r="H329" i="5" s="1"/>
  <c r="F9" i="75"/>
  <c r="I305" i="5"/>
  <c r="F9" i="71"/>
  <c r="H435" i="5"/>
  <c r="H434" i="5" s="1"/>
  <c r="H457" i="5" s="1"/>
  <c r="H24" i="75"/>
  <c r="H25" i="71"/>
  <c r="H230" i="5"/>
  <c r="G165" i="50"/>
  <c r="G164" i="50"/>
  <c r="G166" i="50"/>
  <c r="G167" i="50"/>
  <c r="G33" i="72"/>
  <c r="F39" i="47"/>
  <c r="I39" i="47" s="1"/>
  <c r="J39" i="47" s="1"/>
  <c r="G42" i="68"/>
  <c r="K2556" i="18"/>
  <c r="L9" i="75"/>
  <c r="I497" i="5"/>
  <c r="L9" i="71"/>
  <c r="I205" i="5"/>
  <c r="D11" i="75"/>
  <c r="D11" i="71"/>
  <c r="N26" i="75"/>
  <c r="N27" i="71"/>
  <c r="I578" i="5"/>
  <c r="K47" i="72"/>
  <c r="G292" i="50"/>
  <c r="I292" i="50" s="1"/>
  <c r="J292" i="50" s="1"/>
  <c r="I865" i="5"/>
  <c r="K4448" i="18"/>
  <c r="L4449" i="18" s="1"/>
  <c r="K56" i="68"/>
  <c r="M52" i="71" s="1"/>
  <c r="F94" i="47"/>
  <c r="I94" i="47" s="1"/>
  <c r="J94" i="47" s="1"/>
  <c r="I211" i="5"/>
  <c r="D22" i="75"/>
  <c r="D22" i="71"/>
  <c r="I251" i="5"/>
  <c r="D18" i="75"/>
  <c r="D18" i="71"/>
  <c r="I215" i="5"/>
  <c r="G223" i="5"/>
  <c r="I512" i="5"/>
  <c r="L26" i="75"/>
  <c r="L27" i="71"/>
  <c r="G33" i="68"/>
  <c r="I63" i="5"/>
  <c r="G14" i="50"/>
  <c r="I14" i="50" s="1"/>
  <c r="J14" i="50" s="1"/>
  <c r="G11" i="72"/>
  <c r="G13" i="68"/>
  <c r="K108" i="18"/>
  <c r="L109" i="18" s="1"/>
  <c r="F16" i="47"/>
  <c r="I16" i="47" s="1"/>
  <c r="J16" i="47" s="1"/>
  <c r="I468" i="5"/>
  <c r="G465" i="5"/>
  <c r="G490" i="5" s="1"/>
  <c r="L19" i="75"/>
  <c r="L19" i="71"/>
  <c r="E33" i="69"/>
  <c r="K4820" i="18"/>
  <c r="L4821" i="18" s="1"/>
  <c r="G317" i="50"/>
  <c r="I317" i="50" s="1"/>
  <c r="J317" i="50" s="1"/>
  <c r="E20" i="73"/>
  <c r="F110" i="47"/>
  <c r="I110" i="47" s="1"/>
  <c r="J110" i="47" s="1"/>
  <c r="E62" i="69"/>
  <c r="E49" i="73"/>
  <c r="H30" i="75"/>
  <c r="H31" i="71"/>
  <c r="I294" i="5"/>
  <c r="E33" i="75"/>
  <c r="E32" i="75" s="1"/>
  <c r="E34" i="71"/>
  <c r="E33" i="71" s="1"/>
  <c r="M17" i="75"/>
  <c r="M17" i="71"/>
  <c r="I535" i="5"/>
  <c r="H29" i="75"/>
  <c r="H30" i="71"/>
  <c r="K4486" i="18"/>
  <c r="L4498" i="18" s="1"/>
  <c r="F101" i="47"/>
  <c r="I158" i="5"/>
  <c r="E7" i="73"/>
  <c r="F10" i="48"/>
  <c r="E8" i="69"/>
  <c r="G301" i="50"/>
  <c r="G303" i="50"/>
  <c r="G296" i="50"/>
  <c r="I296" i="50" s="1"/>
  <c r="J296" i="50" s="1"/>
  <c r="I127" i="5"/>
  <c r="G213" i="5"/>
  <c r="G242" i="5"/>
  <c r="G16" i="72"/>
  <c r="G21" i="68"/>
  <c r="K933" i="18"/>
  <c r="G63" i="50"/>
  <c r="I63" i="50" s="1"/>
  <c r="J63" i="50" s="1"/>
  <c r="F21" i="47"/>
  <c r="I21" i="47" s="1"/>
  <c r="J21" i="47" s="1"/>
  <c r="G64" i="5"/>
  <c r="J34" i="71"/>
  <c r="J33" i="75"/>
  <c r="J32" i="75" s="1"/>
  <c r="I453" i="5"/>
  <c r="K19" i="75"/>
  <c r="K19" i="71"/>
  <c r="K33" i="72"/>
  <c r="G201" i="50"/>
  <c r="I201" i="50" s="1"/>
  <c r="J201" i="50" s="1"/>
  <c r="K42" i="68"/>
  <c r="F82" i="47"/>
  <c r="I82" i="47" s="1"/>
  <c r="J82" i="47" s="1"/>
  <c r="K3239" i="18"/>
  <c r="L3256" i="18" s="1"/>
  <c r="G229" i="50"/>
  <c r="G226" i="50"/>
  <c r="G227" i="50"/>
  <c r="G228" i="50"/>
  <c r="G230" i="50"/>
  <c r="G225" i="50"/>
  <c r="I225" i="50" s="1"/>
  <c r="J225" i="50" s="1"/>
  <c r="K16" i="68"/>
  <c r="F63" i="47"/>
  <c r="I63" i="47" s="1"/>
  <c r="J63" i="47" s="1"/>
  <c r="K14" i="72"/>
  <c r="K3530" i="18"/>
  <c r="G224" i="50"/>
  <c r="I224" i="50" s="1"/>
  <c r="J224" i="50" s="1"/>
  <c r="H22" i="75"/>
  <c r="I377" i="5"/>
  <c r="H22" i="71"/>
  <c r="D20" i="75"/>
  <c r="D20" i="71"/>
  <c r="G28" i="75"/>
  <c r="G29" i="71"/>
  <c r="I10" i="75"/>
  <c r="I10" i="71"/>
  <c r="I204" i="5"/>
  <c r="U14" i="75"/>
  <c r="U36" i="75" s="1"/>
  <c r="AB14" i="71"/>
  <c r="AB37" i="71" s="1"/>
  <c r="AB51" i="71" s="1"/>
  <c r="AB53" i="71" s="1"/>
  <c r="AB54" i="71" s="1"/>
  <c r="E103" i="74"/>
  <c r="E104" i="74" s="1"/>
  <c r="J18" i="71"/>
  <c r="J18" i="75"/>
  <c r="H24" i="71"/>
  <c r="I221" i="5"/>
  <c r="H23" i="75"/>
  <c r="G125" i="50"/>
  <c r="G129" i="50"/>
  <c r="G128" i="50"/>
  <c r="G127" i="50"/>
  <c r="G124" i="50"/>
  <c r="I124" i="50" s="1"/>
  <c r="J124" i="50" s="1"/>
  <c r="G126" i="50"/>
  <c r="G35" i="68"/>
  <c r="K1946" i="18"/>
  <c r="L1947" i="18" s="1"/>
  <c r="F31" i="47"/>
  <c r="I31" i="47" s="1"/>
  <c r="J31" i="47" s="1"/>
  <c r="G26" i="72"/>
  <c r="G181" i="50"/>
  <c r="G180" i="50"/>
  <c r="I180" i="50" s="1"/>
  <c r="J180" i="50" s="1"/>
  <c r="G184" i="50"/>
  <c r="G182" i="50"/>
  <c r="G183" i="50"/>
  <c r="F44" i="47"/>
  <c r="I44" i="47" s="1"/>
  <c r="J44" i="47" s="1"/>
  <c r="K2829" i="18"/>
  <c r="M22" i="75"/>
  <c r="M22" i="71"/>
  <c r="I540" i="5"/>
  <c r="I19" i="75"/>
  <c r="I216" i="5"/>
  <c r="I19" i="71"/>
  <c r="G171" i="5"/>
  <c r="G170" i="5" s="1"/>
  <c r="M9" i="75"/>
  <c r="M9" i="71"/>
  <c r="I530" i="5"/>
  <c r="I325" i="5"/>
  <c r="F33" i="75"/>
  <c r="F32" i="75" s="1"/>
  <c r="F34" i="71"/>
  <c r="L2391" i="18"/>
  <c r="L2202" i="18"/>
  <c r="L2218" i="18"/>
  <c r="L10" i="75"/>
  <c r="L10" i="71"/>
  <c r="M27" i="71"/>
  <c r="I545" i="5"/>
  <c r="M26" i="75"/>
  <c r="I639" i="5"/>
  <c r="O27" i="75"/>
  <c r="O28" i="71"/>
  <c r="I611" i="5"/>
  <c r="K4117" i="18"/>
  <c r="L4118" i="18" s="1"/>
  <c r="G268" i="50"/>
  <c r="I268" i="50" s="1"/>
  <c r="J268" i="50" s="1"/>
  <c r="G269" i="50"/>
  <c r="F77" i="47"/>
  <c r="K17" i="75"/>
  <c r="I469" i="5"/>
  <c r="K17" i="71"/>
  <c r="O33" i="75"/>
  <c r="O34" i="71"/>
  <c r="O33" i="71" s="1"/>
  <c r="I618" i="5"/>
  <c r="G208" i="50"/>
  <c r="K8" i="72"/>
  <c r="G207" i="50"/>
  <c r="G209" i="50"/>
  <c r="G211" i="50"/>
  <c r="G210" i="50"/>
  <c r="K3318" i="18"/>
  <c r="L3319" i="18" s="1"/>
  <c r="K8" i="68"/>
  <c r="G206" i="50"/>
  <c r="I206" i="50" s="1"/>
  <c r="J206" i="50" s="1"/>
  <c r="I92" i="5"/>
  <c r="F57" i="47"/>
  <c r="H10" i="75"/>
  <c r="H10" i="71"/>
  <c r="J28" i="75"/>
  <c r="J29" i="71"/>
  <c r="I433" i="5"/>
  <c r="J9" i="75"/>
  <c r="J13" i="75" s="1"/>
  <c r="W43" i="75" s="1"/>
  <c r="J9" i="71"/>
  <c r="K34" i="75"/>
  <c r="K35" i="71"/>
  <c r="K33" i="71" s="1"/>
  <c r="I486" i="5"/>
  <c r="I644" i="5"/>
  <c r="O17" i="75"/>
  <c r="I601" i="5"/>
  <c r="O17" i="71"/>
  <c r="H64" i="5"/>
  <c r="H213" i="5"/>
  <c r="L22" i="75"/>
  <c r="L22" i="71"/>
  <c r="I507" i="5"/>
  <c r="G306" i="5"/>
  <c r="G329" i="5" s="1"/>
  <c r="H121" i="5"/>
  <c r="H169" i="5"/>
  <c r="H192" i="5"/>
  <c r="H567" i="5"/>
  <c r="H565" i="5"/>
  <c r="H210" i="5" s="1"/>
  <c r="G171" i="50"/>
  <c r="G173" i="50"/>
  <c r="G172" i="50"/>
  <c r="G176" i="50"/>
  <c r="G174" i="50"/>
  <c r="G169" i="50"/>
  <c r="I169" i="50" s="1"/>
  <c r="J169" i="50" s="1"/>
  <c r="G175" i="50"/>
  <c r="G170" i="50"/>
  <c r="F41" i="47"/>
  <c r="I41" i="47" s="1"/>
  <c r="J41" i="47" s="1"/>
  <c r="K2647" i="18"/>
  <c r="K10" i="75"/>
  <c r="K10" i="71"/>
  <c r="G75" i="50"/>
  <c r="G81" i="50"/>
  <c r="G76" i="50"/>
  <c r="G85" i="50"/>
  <c r="G89" i="50"/>
  <c r="G100" i="50"/>
  <c r="K987" i="18"/>
  <c r="G90" i="50"/>
  <c r="G83" i="50"/>
  <c r="G68" i="50"/>
  <c r="I68" i="50" s="1"/>
  <c r="J68" i="50" s="1"/>
  <c r="G98" i="50"/>
  <c r="G91" i="50"/>
  <c r="G99" i="50"/>
  <c r="G86" i="50"/>
  <c r="G69" i="50"/>
  <c r="I69" i="50" s="1"/>
  <c r="J69" i="50" s="1"/>
  <c r="G82" i="50"/>
  <c r="G73" i="50"/>
  <c r="G79" i="50"/>
  <c r="G74" i="50"/>
  <c r="G95" i="50"/>
  <c r="G88" i="50"/>
  <c r="G71" i="50"/>
  <c r="G87" i="50"/>
  <c r="G97" i="50"/>
  <c r="G94" i="50"/>
  <c r="G93" i="50"/>
  <c r="G72" i="50"/>
  <c r="G77" i="50"/>
  <c r="G92" i="50"/>
  <c r="G78" i="50"/>
  <c r="G70" i="50"/>
  <c r="G96" i="50"/>
  <c r="G80" i="50"/>
  <c r="G84" i="50"/>
  <c r="K30" i="75"/>
  <c r="K31" i="71"/>
  <c r="G17" i="75"/>
  <c r="G17" i="71"/>
  <c r="G16" i="71" s="1"/>
  <c r="I339" i="5"/>
  <c r="H531" i="5"/>
  <c r="H556" i="5" s="1"/>
  <c r="G169" i="5"/>
  <c r="G121" i="5"/>
  <c r="G567" i="5"/>
  <c r="G565" i="5"/>
  <c r="D35" i="71"/>
  <c r="D34" i="75"/>
  <c r="I232" i="5"/>
  <c r="N27" i="75"/>
  <c r="N28" i="71"/>
  <c r="H109" i="5"/>
  <c r="I214" i="5"/>
  <c r="I405" i="5"/>
  <c r="I17" i="75"/>
  <c r="I17" i="71"/>
  <c r="N9" i="71"/>
  <c r="N9" i="75"/>
  <c r="I563" i="5"/>
  <c r="I20" i="75"/>
  <c r="I20" i="71"/>
  <c r="I217" i="5"/>
  <c r="H9" i="71"/>
  <c r="I367" i="5"/>
  <c r="H9" i="75"/>
  <c r="D27" i="75"/>
  <c r="D28" i="71"/>
  <c r="I225" i="5"/>
  <c r="K27" i="71"/>
  <c r="I479" i="5"/>
  <c r="K26" i="75"/>
  <c r="K9" i="75"/>
  <c r="K9" i="71"/>
  <c r="I464" i="5"/>
  <c r="K33" i="68"/>
  <c r="I108" i="5"/>
  <c r="F64" i="47"/>
  <c r="I64" i="47" s="1"/>
  <c r="J64" i="47" s="1"/>
  <c r="G233" i="50"/>
  <c r="K21" i="68"/>
  <c r="G234" i="50"/>
  <c r="K15" i="72"/>
  <c r="G231" i="50"/>
  <c r="I231" i="50" s="1"/>
  <c r="J231" i="50" s="1"/>
  <c r="K3617" i="18"/>
  <c r="L3618" i="18" s="1"/>
  <c r="G235" i="50"/>
  <c r="G232" i="50"/>
  <c r="D12" i="75"/>
  <c r="D12" i="71"/>
  <c r="I207" i="5"/>
  <c r="K22" i="75"/>
  <c r="K22" i="71"/>
  <c r="I474" i="5"/>
  <c r="I282" i="5"/>
  <c r="E22" i="75"/>
  <c r="E22" i="71"/>
  <c r="G187" i="50"/>
  <c r="G186" i="50"/>
  <c r="I186" i="50" s="1"/>
  <c r="J186" i="50" s="1"/>
  <c r="G36" i="72"/>
  <c r="G45" i="68"/>
  <c r="K2919" i="18"/>
  <c r="L2982" i="18" s="1"/>
  <c r="F46" i="47"/>
  <c r="I46" i="47" s="1"/>
  <c r="J46" i="47" s="1"/>
  <c r="I172" i="5"/>
  <c r="E35" i="73"/>
  <c r="E48" i="69"/>
  <c r="D30" i="75"/>
  <c r="D31" i="71"/>
  <c r="I228" i="5"/>
  <c r="L33" i="75"/>
  <c r="L32" i="75" s="1"/>
  <c r="L34" i="71"/>
  <c r="L33" i="71" s="1"/>
  <c r="I519" i="5"/>
  <c r="N17" i="75"/>
  <c r="N17" i="71"/>
  <c r="I568" i="5"/>
  <c r="I501" i="5"/>
  <c r="G498" i="5"/>
  <c r="G523" i="5" s="1"/>
  <c r="H17" i="75"/>
  <c r="H16" i="75" s="1"/>
  <c r="H17" i="71"/>
  <c r="I372" i="5"/>
  <c r="I633" i="5"/>
  <c r="G630" i="5"/>
  <c r="G655" i="5" s="1"/>
  <c r="K1822" i="18"/>
  <c r="G117" i="50"/>
  <c r="F30" i="47"/>
  <c r="G123" i="50"/>
  <c r="G118" i="50"/>
  <c r="G34" i="68"/>
  <c r="G116" i="50"/>
  <c r="I116" i="50" s="1"/>
  <c r="J116" i="50" s="1"/>
  <c r="G121" i="50"/>
  <c r="G122" i="50"/>
  <c r="G120" i="50"/>
  <c r="G25" i="72"/>
  <c r="G119" i="50"/>
  <c r="D33" i="75"/>
  <c r="I263" i="5"/>
  <c r="I231" i="5"/>
  <c r="D34" i="71"/>
  <c r="M19" i="75"/>
  <c r="M19" i="71"/>
  <c r="G33" i="75"/>
  <c r="G32" i="75" s="1"/>
  <c r="I356" i="5"/>
  <c r="G34" i="71"/>
  <c r="F105" i="47"/>
  <c r="I105" i="47" s="1"/>
  <c r="J105" i="47" s="1"/>
  <c r="K4693" i="18"/>
  <c r="L4694" i="18" s="1"/>
  <c r="E11" i="73"/>
  <c r="E23" i="69"/>
  <c r="G309" i="50"/>
  <c r="I309" i="50" s="1"/>
  <c r="J309" i="50" s="1"/>
  <c r="G310" i="50"/>
  <c r="F108" i="48"/>
  <c r="H401" i="5"/>
  <c r="H426" i="5" s="1"/>
  <c r="G218" i="5"/>
  <c r="K20" i="75"/>
  <c r="K20" i="71"/>
  <c r="M23" i="75"/>
  <c r="M24" i="71"/>
  <c r="E27" i="75"/>
  <c r="E28" i="71"/>
  <c r="I734" i="5"/>
  <c r="I206" i="5"/>
  <c r="H630" i="5"/>
  <c r="H655" i="5" s="1"/>
  <c r="G597" i="5"/>
  <c r="G622" i="5" s="1"/>
  <c r="K51" i="75"/>
  <c r="G192" i="50"/>
  <c r="G189" i="50"/>
  <c r="I189" i="50" s="1"/>
  <c r="J189" i="50" s="1"/>
  <c r="G193" i="50"/>
  <c r="G194" i="50"/>
  <c r="G190" i="50"/>
  <c r="G191" i="50"/>
  <c r="F48" i="47"/>
  <c r="I48" i="47" s="1"/>
  <c r="J48" i="47" s="1"/>
  <c r="K3042" i="18"/>
  <c r="L3149" i="18" s="1"/>
  <c r="G47" i="68"/>
  <c r="G38" i="72"/>
  <c r="F11" i="75"/>
  <c r="F11" i="71"/>
  <c r="F22" i="75"/>
  <c r="I313" i="5"/>
  <c r="F22" i="71"/>
  <c r="M30" i="71"/>
  <c r="M29" i="75"/>
  <c r="K4834" i="18"/>
  <c r="L4835" i="18" s="1"/>
  <c r="G318" i="50"/>
  <c r="I318" i="50" s="1"/>
  <c r="J318" i="50" s="1"/>
  <c r="E21" i="73"/>
  <c r="E34" i="69"/>
  <c r="F111" i="47"/>
  <c r="I111" i="47" s="1"/>
  <c r="J111" i="47" s="1"/>
  <c r="M34" i="71"/>
  <c r="I552" i="5"/>
  <c r="M33" i="75"/>
  <c r="M32" i="75" s="1"/>
  <c r="F122" i="47"/>
  <c r="I122" i="47" s="1"/>
  <c r="J122" i="47" s="1"/>
  <c r="I194" i="5"/>
  <c r="I792" i="5"/>
  <c r="H275" i="5"/>
  <c r="H298" i="5" s="1"/>
  <c r="D10" i="75"/>
  <c r="D10" i="71"/>
  <c r="J27" i="75"/>
  <c r="J28" i="71"/>
  <c r="I446" i="5"/>
  <c r="H223" i="5"/>
  <c r="D9" i="71"/>
  <c r="I241" i="5"/>
  <c r="D9" i="75"/>
  <c r="G9" i="71"/>
  <c r="I336" i="5"/>
  <c r="G9" i="75"/>
  <c r="L20" i="71"/>
  <c r="L20" i="75"/>
  <c r="L30" i="71"/>
  <c r="L29" i="75"/>
  <c r="T14" i="75"/>
  <c r="T36" i="75" s="1"/>
  <c r="T50" i="75" s="1"/>
  <c r="T52" i="75" s="1"/>
  <c r="T53" i="75" s="1"/>
  <c r="L45" i="68"/>
  <c r="M871" i="5"/>
  <c r="M872" i="5" s="1"/>
  <c r="AC32" i="75"/>
  <c r="S14" i="75"/>
  <c r="S36" i="75" s="1"/>
  <c r="S44" i="75" s="1"/>
  <c r="G84" i="51"/>
  <c r="H59" i="68"/>
  <c r="H70" i="68" s="1"/>
  <c r="E30" i="74"/>
  <c r="D123" i="51"/>
  <c r="I123" i="51" s="1"/>
  <c r="J123" i="51" s="1"/>
  <c r="AB14" i="75"/>
  <c r="AB36" i="75" s="1"/>
  <c r="AB44" i="75" s="1"/>
  <c r="T14" i="71"/>
  <c r="T37" i="71" s="1"/>
  <c r="E47" i="70"/>
  <c r="AC21" i="75"/>
  <c r="AA15" i="75"/>
  <c r="F70" i="73" s="1"/>
  <c r="AA15" i="71"/>
  <c r="F83" i="69" s="1"/>
  <c r="M806" i="5"/>
  <c r="M807" i="5" s="1"/>
  <c r="M808" i="5" s="1"/>
  <c r="H50" i="72"/>
  <c r="H61" i="72" s="1"/>
  <c r="U14" i="71"/>
  <c r="U37" i="71" s="1"/>
  <c r="E105" i="74"/>
  <c r="Q14" i="71"/>
  <c r="Q37" i="71" s="1"/>
  <c r="Y14" i="71"/>
  <c r="Y37" i="71" s="1"/>
  <c r="Y51" i="71" s="1"/>
  <c r="Y53" i="71" s="1"/>
  <c r="Y54" i="71" s="1"/>
  <c r="D85" i="51"/>
  <c r="E64" i="51" s="1"/>
  <c r="H64" i="51" s="1"/>
  <c r="Z51" i="71"/>
  <c r="Z53" i="71" s="1"/>
  <c r="Z54" i="71" s="1"/>
  <c r="D55" i="51"/>
  <c r="E21" i="51" s="1"/>
  <c r="H21" i="51" s="1"/>
  <c r="D55" i="47"/>
  <c r="E50" i="47" s="1"/>
  <c r="AC25" i="75"/>
  <c r="Q14" i="75"/>
  <c r="Q36" i="75" s="1"/>
  <c r="J13" i="51"/>
  <c r="I28" i="51"/>
  <c r="J28" i="51" s="1"/>
  <c r="M293" i="50"/>
  <c r="N293" i="50" s="1"/>
  <c r="J117" i="51"/>
  <c r="AC13" i="71"/>
  <c r="J80" i="51"/>
  <c r="I84" i="51"/>
  <c r="J84" i="51" s="1"/>
  <c r="M426" i="5"/>
  <c r="D18" i="48"/>
  <c r="K289" i="50"/>
  <c r="M289" i="50" s="1"/>
  <c r="N289" i="50" s="1"/>
  <c r="L44" i="72"/>
  <c r="M122" i="5"/>
  <c r="M124" i="5" s="1"/>
  <c r="M125" i="5" s="1"/>
  <c r="M787" i="5" s="1"/>
  <c r="M853" i="5"/>
  <c r="N4366" i="18"/>
  <c r="O4367" i="18" s="1"/>
  <c r="D91" i="47"/>
  <c r="D96" i="47" s="1"/>
  <c r="D98" i="47" s="1"/>
  <c r="D91" i="51"/>
  <c r="L53" i="68"/>
  <c r="M786" i="5"/>
  <c r="D82" i="48"/>
  <c r="D55" i="52"/>
  <c r="J58" i="51"/>
  <c r="I72" i="51"/>
  <c r="V14" i="71"/>
  <c r="AC21" i="71"/>
  <c r="D85" i="48"/>
  <c r="D25" i="48" s="1"/>
  <c r="D81" i="48"/>
  <c r="D28" i="48" s="1"/>
  <c r="F31" i="73"/>
  <c r="F65" i="73" s="1"/>
  <c r="F64" i="73"/>
  <c r="F69" i="73"/>
  <c r="F89" i="74"/>
  <c r="AC26" i="71"/>
  <c r="J102" i="51"/>
  <c r="I115" i="51"/>
  <c r="J115" i="51" s="1"/>
  <c r="V14" i="75"/>
  <c r="D20" i="52"/>
  <c r="D54" i="52"/>
  <c r="D21" i="52" s="1"/>
  <c r="D58" i="52"/>
  <c r="D18" i="52" s="1"/>
  <c r="Y14" i="75"/>
  <c r="Y36" i="75" s="1"/>
  <c r="F850" i="5"/>
  <c r="F851" i="5" s="1"/>
  <c r="D86" i="48"/>
  <c r="D59" i="52"/>
  <c r="J852" i="5"/>
  <c r="F51" i="74"/>
  <c r="D14" i="48"/>
  <c r="M821" i="5"/>
  <c r="M790" i="5"/>
  <c r="M793" i="5" s="1"/>
  <c r="M794" i="5" s="1"/>
  <c r="D65" i="52"/>
  <c r="F28" i="52" s="1"/>
  <c r="F68" i="70"/>
  <c r="D27" i="48"/>
  <c r="R14" i="75"/>
  <c r="R36" i="75" s="1"/>
  <c r="AC16" i="75"/>
  <c r="AC16" i="71"/>
  <c r="R14" i="71"/>
  <c r="R37" i="71" s="1"/>
  <c r="I120" i="51"/>
  <c r="J120" i="51" s="1"/>
  <c r="AC13" i="75"/>
  <c r="D85" i="47"/>
  <c r="K457" i="5"/>
  <c r="K234" i="5" s="1"/>
  <c r="K209" i="5"/>
  <c r="F82" i="69"/>
  <c r="F106" i="70"/>
  <c r="F77" i="69"/>
  <c r="F79" i="69" s="1"/>
  <c r="J47" i="51"/>
  <c r="I54" i="51"/>
  <c r="F27" i="52"/>
  <c r="D11" i="52"/>
  <c r="G71" i="46"/>
  <c r="G60" i="46"/>
  <c r="L60" i="46"/>
  <c r="L57" i="46"/>
  <c r="G63" i="46"/>
  <c r="G38" i="46"/>
  <c r="L64" i="46"/>
  <c r="L54" i="46"/>
  <c r="L56" i="46"/>
  <c r="L84" i="46"/>
  <c r="L68" i="46"/>
  <c r="G40" i="46"/>
  <c r="G50" i="46"/>
  <c r="L72" i="46"/>
  <c r="G80" i="46"/>
  <c r="L78" i="46"/>
  <c r="G69" i="46"/>
  <c r="L53" i="46"/>
  <c r="L81" i="46"/>
  <c r="G65" i="46"/>
  <c r="L70" i="46"/>
  <c r="G33" i="71" l="1"/>
  <c r="M192" i="5"/>
  <c r="L51" i="75"/>
  <c r="O32" i="75"/>
  <c r="F42" i="48"/>
  <c r="M84" i="46"/>
  <c r="N84" i="46" s="1"/>
  <c r="G52" i="71"/>
  <c r="F106" i="74"/>
  <c r="F107" i="74" s="1"/>
  <c r="F108" i="74" s="1"/>
  <c r="F61" i="70"/>
  <c r="E101" i="70" s="1"/>
  <c r="E102" i="70" s="1"/>
  <c r="E103" i="70" s="1"/>
  <c r="L236" i="18"/>
  <c r="M33" i="71"/>
  <c r="G16" i="75"/>
  <c r="G21" i="75"/>
  <c r="L3829" i="18"/>
  <c r="G85" i="51"/>
  <c r="I737" i="5"/>
  <c r="F754" i="5"/>
  <c r="F826" i="5" s="1"/>
  <c r="F827" i="5" s="1"/>
  <c r="F828" i="5" s="1"/>
  <c r="O21" i="71"/>
  <c r="F52" i="73"/>
  <c r="I829" i="5"/>
  <c r="I831" i="5" s="1"/>
  <c r="I832" i="5" s="1"/>
  <c r="K32" i="75"/>
  <c r="L21" i="75"/>
  <c r="E13" i="75"/>
  <c r="R43" i="75" s="1"/>
  <c r="I32" i="75"/>
  <c r="G21" i="71"/>
  <c r="N21" i="71"/>
  <c r="N33" i="71"/>
  <c r="L120" i="18"/>
  <c r="M13" i="71"/>
  <c r="Z44" i="71" s="1"/>
  <c r="Z46" i="71" s="1"/>
  <c r="Z47" i="71" s="1"/>
  <c r="L306" i="18"/>
  <c r="AE15" i="2"/>
  <c r="AE40" i="2" s="1"/>
  <c r="L4957" i="18"/>
  <c r="D109" i="48"/>
  <c r="D29" i="48" s="1"/>
  <c r="D70" i="52"/>
  <c r="D22" i="52" s="1"/>
  <c r="E16" i="71"/>
  <c r="J33" i="71"/>
  <c r="L859" i="18"/>
  <c r="F815" i="5"/>
  <c r="F816" i="5" s="1"/>
  <c r="N13" i="71"/>
  <c r="AA44" i="71" s="1"/>
  <c r="E13" i="71"/>
  <c r="R44" i="71" s="1"/>
  <c r="L4725" i="18"/>
  <c r="L3454" i="18"/>
  <c r="L3443" i="18"/>
  <c r="F21" i="75"/>
  <c r="I7" i="18"/>
  <c r="J13" i="71"/>
  <c r="W44" i="71" s="1"/>
  <c r="K13" i="75"/>
  <c r="F21" i="71"/>
  <c r="L21" i="71"/>
  <c r="G13" i="71"/>
  <c r="T44" i="71" s="1"/>
  <c r="H193" i="5"/>
  <c r="K21" i="75"/>
  <c r="L698" i="18"/>
  <c r="L3866" i="18"/>
  <c r="G51" i="75"/>
  <c r="L890" i="18"/>
  <c r="M13" i="75"/>
  <c r="Z43" i="75" s="1"/>
  <c r="Z45" i="75" s="1"/>
  <c r="Z46" i="75" s="1"/>
  <c r="F16" i="75"/>
  <c r="E21" i="71"/>
  <c r="M212" i="5"/>
  <c r="M814" i="5" s="1"/>
  <c r="F65" i="69"/>
  <c r="F90" i="69" s="1"/>
  <c r="L3856" i="18"/>
  <c r="J810" i="5"/>
  <c r="J811" i="5" s="1"/>
  <c r="J812" i="5" s="1"/>
  <c r="M810" i="5"/>
  <c r="M811" i="5" s="1"/>
  <c r="M812" i="5" s="1"/>
  <c r="M434" i="5"/>
  <c r="M457" i="5" s="1"/>
  <c r="M854" i="5" s="1"/>
  <c r="M855" i="5" s="1"/>
  <c r="M856" i="5" s="1"/>
  <c r="N16" i="71"/>
  <c r="H13" i="71"/>
  <c r="U44" i="71" s="1"/>
  <c r="P32" i="71"/>
  <c r="W15" i="75"/>
  <c r="F74" i="73" s="1"/>
  <c r="F75" i="73" s="1"/>
  <c r="F76" i="73" s="1"/>
  <c r="E21" i="75"/>
  <c r="J434" i="5"/>
  <c r="J457" i="5" s="1"/>
  <c r="H16" i="71"/>
  <c r="F33" i="71"/>
  <c r="O13" i="71"/>
  <c r="AB44" i="71" s="1"/>
  <c r="J212" i="5"/>
  <c r="J814" i="5" s="1"/>
  <c r="J815" i="5" s="1"/>
  <c r="J816" i="5" s="1"/>
  <c r="F16" i="71"/>
  <c r="H51" i="75"/>
  <c r="N13" i="75"/>
  <c r="AA43" i="75" s="1"/>
  <c r="L3381" i="18"/>
  <c r="L3394" i="18"/>
  <c r="N16" i="75"/>
  <c r="N21" i="75"/>
  <c r="G13" i="75"/>
  <c r="T43" i="75" s="1"/>
  <c r="K13" i="71"/>
  <c r="X44" i="71" s="1"/>
  <c r="P31" i="75"/>
  <c r="E13" i="51"/>
  <c r="H13" i="51" s="1"/>
  <c r="O16" i="75"/>
  <c r="D21" i="71"/>
  <c r="E94" i="74"/>
  <c r="E47" i="69"/>
  <c r="G55" i="51"/>
  <c r="F129" i="21"/>
  <c r="X54" i="2"/>
  <c r="X56" i="2" s="1"/>
  <c r="X57" i="2" s="1"/>
  <c r="X48" i="2"/>
  <c r="X49" i="2" s="1"/>
  <c r="X50" i="2" s="1"/>
  <c r="AE48" i="2"/>
  <c r="AE49" i="2" s="1"/>
  <c r="AE50" i="2" s="1"/>
  <c r="F129" i="8"/>
  <c r="M69" i="46"/>
  <c r="N69" i="46" s="1"/>
  <c r="E116" i="8"/>
  <c r="E129" i="8"/>
  <c r="E59" i="70"/>
  <c r="E123" i="70" s="1"/>
  <c r="E124" i="70" s="1"/>
  <c r="E125" i="70" s="1"/>
  <c r="X44" i="75"/>
  <c r="M754" i="5"/>
  <c r="M826" i="5" s="1"/>
  <c r="M827" i="5" s="1"/>
  <c r="M828" i="5" s="1"/>
  <c r="M822" i="5"/>
  <c r="M823" i="5" s="1"/>
  <c r="M824" i="5" s="1"/>
  <c r="I754" i="5"/>
  <c r="I826" i="5" s="1"/>
  <c r="I827" i="5" s="1"/>
  <c r="I828" i="5" s="1"/>
  <c r="I822" i="5"/>
  <c r="N54" i="2"/>
  <c r="F589" i="5"/>
  <c r="F209" i="5"/>
  <c r="E120" i="21"/>
  <c r="E129" i="21"/>
  <c r="Q54" i="2"/>
  <c r="AB45" i="71"/>
  <c r="F115" i="70"/>
  <c r="F116" i="70" s="1"/>
  <c r="F117" i="70" s="1"/>
  <c r="J25" i="75"/>
  <c r="P12" i="75"/>
  <c r="D13" i="75"/>
  <c r="Q43" i="75" s="1"/>
  <c r="K21" i="71"/>
  <c r="O16" i="71"/>
  <c r="L3937" i="18"/>
  <c r="L3947" i="18"/>
  <c r="L3927" i="18"/>
  <c r="L3957" i="18"/>
  <c r="K35" i="72"/>
  <c r="P35" i="75"/>
  <c r="L2412" i="18"/>
  <c r="L2431" i="18"/>
  <c r="X45" i="71"/>
  <c r="P36" i="71"/>
  <c r="F25" i="75"/>
  <c r="E43" i="51"/>
  <c r="H43" i="51" s="1"/>
  <c r="H13" i="75"/>
  <c r="D21" i="75"/>
  <c r="L16" i="71"/>
  <c r="E34" i="73"/>
  <c r="P35" i="71"/>
  <c r="E61" i="70"/>
  <c r="E115" i="70" s="1"/>
  <c r="E116" i="70" s="1"/>
  <c r="E117" i="70" s="1"/>
  <c r="E42" i="74"/>
  <c r="E44" i="74" s="1"/>
  <c r="E98" i="74" s="1"/>
  <c r="E99" i="74" s="1"/>
  <c r="E100" i="74" s="1"/>
  <c r="D124" i="51"/>
  <c r="I124" i="51" s="1"/>
  <c r="J124" i="51" s="1"/>
  <c r="J26" i="71"/>
  <c r="P31" i="71"/>
  <c r="L4051" i="18"/>
  <c r="L4096" i="18"/>
  <c r="K44" i="68"/>
  <c r="P34" i="75"/>
  <c r="L317" i="18"/>
  <c r="L334" i="18"/>
  <c r="L668" i="18"/>
  <c r="K25" i="75"/>
  <c r="O26" i="71"/>
  <c r="E22" i="51"/>
  <c r="H22" i="51" s="1"/>
  <c r="E50" i="51"/>
  <c r="H50" i="51" s="1"/>
  <c r="E47" i="51"/>
  <c r="H47" i="51" s="1"/>
  <c r="E34" i="51"/>
  <c r="H34" i="51" s="1"/>
  <c r="P12" i="71"/>
  <c r="L13" i="75"/>
  <c r="Y43" i="75" s="1"/>
  <c r="F26" i="71"/>
  <c r="O25" i="75"/>
  <c r="E25" i="51"/>
  <c r="H25" i="51" s="1"/>
  <c r="E52" i="51"/>
  <c r="H52" i="51" s="1"/>
  <c r="P30" i="75"/>
  <c r="G49" i="72"/>
  <c r="I30" i="47"/>
  <c r="F54" i="47"/>
  <c r="I818" i="5"/>
  <c r="I630" i="5"/>
  <c r="I655" i="5" s="1"/>
  <c r="I874" i="5" s="1"/>
  <c r="I875" i="5" s="1"/>
  <c r="I876" i="5" s="1"/>
  <c r="P28" i="71"/>
  <c r="I16" i="75"/>
  <c r="P17" i="75"/>
  <c r="I169" i="5"/>
  <c r="G193" i="5"/>
  <c r="K16" i="71"/>
  <c r="P19" i="75"/>
  <c r="L2877" i="18"/>
  <c r="L2830" i="18"/>
  <c r="I161" i="5"/>
  <c r="I163" i="5" s="1"/>
  <c r="F13" i="48"/>
  <c r="F37" i="48" s="1"/>
  <c r="L25" i="75"/>
  <c r="P18" i="71"/>
  <c r="P11" i="75"/>
  <c r="F13" i="75"/>
  <c r="E40" i="73"/>
  <c r="P29" i="71"/>
  <c r="I208" i="5"/>
  <c r="H26" i="71"/>
  <c r="F28" i="47"/>
  <c r="I13" i="47"/>
  <c r="P22" i="75"/>
  <c r="I21" i="75"/>
  <c r="D15" i="71"/>
  <c r="D15" i="75"/>
  <c r="I242" i="5"/>
  <c r="I267" i="5" s="1"/>
  <c r="I834" i="5" s="1"/>
  <c r="I835" i="5" s="1"/>
  <c r="I836" i="5" s="1"/>
  <c r="P26" i="75"/>
  <c r="I25" i="75"/>
  <c r="P29" i="75"/>
  <c r="I15" i="71"/>
  <c r="I15" i="75"/>
  <c r="I401" i="5"/>
  <c r="I426" i="5" s="1"/>
  <c r="I850" i="5" s="1"/>
  <c r="I851" i="5" s="1"/>
  <c r="I852" i="5" s="1"/>
  <c r="H15" i="71"/>
  <c r="H15" i="75"/>
  <c r="I368" i="5"/>
  <c r="I393" i="5" s="1"/>
  <c r="I846" i="5" s="1"/>
  <c r="I847" i="5" s="1"/>
  <c r="I848" i="5" s="1"/>
  <c r="E27" i="51"/>
  <c r="H27" i="51" s="1"/>
  <c r="E18" i="51"/>
  <c r="H18" i="51" s="1"/>
  <c r="E42" i="51"/>
  <c r="H42" i="51" s="1"/>
  <c r="I230" i="5"/>
  <c r="L15" i="75"/>
  <c r="L15" i="71"/>
  <c r="I498" i="5"/>
  <c r="I523" i="5" s="1"/>
  <c r="I862" i="5" s="1"/>
  <c r="I863" i="5" s="1"/>
  <c r="I864" i="5" s="1"/>
  <c r="P27" i="75"/>
  <c r="I213" i="5"/>
  <c r="G210" i="5"/>
  <c r="I565" i="5"/>
  <c r="I210" i="5" s="1"/>
  <c r="I597" i="5"/>
  <c r="I622" i="5" s="1"/>
  <c r="K31" i="68"/>
  <c r="M26" i="71"/>
  <c r="G117" i="5"/>
  <c r="G435" i="5"/>
  <c r="G192" i="5"/>
  <c r="H21" i="75"/>
  <c r="P23" i="75"/>
  <c r="H21" i="71"/>
  <c r="L3531" i="18"/>
  <c r="L3541" i="18"/>
  <c r="L3558" i="18"/>
  <c r="L3578" i="18"/>
  <c r="E7" i="69"/>
  <c r="E38" i="69"/>
  <c r="E41" i="69" s="1"/>
  <c r="E43" i="69" s="1"/>
  <c r="I101" i="47"/>
  <c r="F115" i="47"/>
  <c r="F118" i="47" s="1"/>
  <c r="F120" i="47" s="1"/>
  <c r="P18" i="75"/>
  <c r="N26" i="71"/>
  <c r="L2557" i="18"/>
  <c r="L2599" i="18"/>
  <c r="H122" i="5"/>
  <c r="H124" i="5" s="1"/>
  <c r="H125" i="5" s="1"/>
  <c r="P28" i="75"/>
  <c r="I13" i="71"/>
  <c r="P9" i="71"/>
  <c r="L10" i="18"/>
  <c r="L20" i="18"/>
  <c r="G23" i="72"/>
  <c r="L2797" i="18"/>
  <c r="L2810" i="18"/>
  <c r="P30" i="71"/>
  <c r="I306" i="5"/>
  <c r="I329" i="5" s="1"/>
  <c r="I842" i="5" s="1"/>
  <c r="I843" i="5" s="1"/>
  <c r="I844" i="5" s="1"/>
  <c r="E25" i="75"/>
  <c r="E12" i="69"/>
  <c r="J16" i="71"/>
  <c r="E31" i="51"/>
  <c r="H31" i="51" s="1"/>
  <c r="E53" i="51"/>
  <c r="H53" i="51" s="1"/>
  <c r="E39" i="51"/>
  <c r="H39" i="51" s="1"/>
  <c r="D13" i="71"/>
  <c r="Q44" i="71" s="1"/>
  <c r="D32" i="75"/>
  <c r="P33" i="75"/>
  <c r="L1908" i="18"/>
  <c r="L1823" i="18"/>
  <c r="L1853" i="18"/>
  <c r="K26" i="71"/>
  <c r="P20" i="71"/>
  <c r="G564" i="5"/>
  <c r="G589" i="5" s="1"/>
  <c r="I567" i="5"/>
  <c r="I337" i="5"/>
  <c r="I360" i="5" s="1"/>
  <c r="L1277" i="18"/>
  <c r="L1027" i="18"/>
  <c r="L1587" i="18"/>
  <c r="L1292" i="18"/>
  <c r="L1491" i="18"/>
  <c r="L1538" i="18"/>
  <c r="L1520" i="18"/>
  <c r="L988" i="18"/>
  <c r="L1057" i="18"/>
  <c r="L1557" i="18"/>
  <c r="H564" i="5"/>
  <c r="H589" i="5" s="1"/>
  <c r="H212" i="5"/>
  <c r="I57" i="47"/>
  <c r="F72" i="47"/>
  <c r="K16" i="75"/>
  <c r="P19" i="71"/>
  <c r="M21" i="71"/>
  <c r="P10" i="71"/>
  <c r="F45" i="48"/>
  <c r="F34" i="48"/>
  <c r="F36" i="48"/>
  <c r="F11" i="48"/>
  <c r="F17" i="48" s="1"/>
  <c r="M16" i="71"/>
  <c r="G58" i="68"/>
  <c r="N25" i="75"/>
  <c r="L13" i="71"/>
  <c r="Y44" i="71" s="1"/>
  <c r="F13" i="71"/>
  <c r="I171" i="5"/>
  <c r="I223" i="5"/>
  <c r="P9" i="75"/>
  <c r="I13" i="75"/>
  <c r="H25" i="75"/>
  <c r="M15" i="75"/>
  <c r="M15" i="71"/>
  <c r="I531" i="5"/>
  <c r="I556" i="5" s="1"/>
  <c r="I866" i="5" s="1"/>
  <c r="I867" i="5" s="1"/>
  <c r="I868" i="5" s="1"/>
  <c r="G31" i="68"/>
  <c r="G59" i="68" s="1"/>
  <c r="H68" i="68" s="1"/>
  <c r="D16" i="71"/>
  <c r="J21" i="71"/>
  <c r="P23" i="71"/>
  <c r="I218" i="5"/>
  <c r="D26" i="71"/>
  <c r="L2191" i="18"/>
  <c r="L2157" i="18"/>
  <c r="G25" i="75"/>
  <c r="P25" i="71"/>
  <c r="I802" i="5"/>
  <c r="I817" i="5"/>
  <c r="P34" i="71"/>
  <c r="D33" i="71"/>
  <c r="P20" i="75"/>
  <c r="I16" i="71"/>
  <c r="P17" i="71"/>
  <c r="L2648" i="18"/>
  <c r="L2705" i="18"/>
  <c r="L2748" i="18"/>
  <c r="I109" i="5"/>
  <c r="F86" i="48" s="1"/>
  <c r="F84" i="48"/>
  <c r="K23" i="72"/>
  <c r="I77" i="47"/>
  <c r="F84" i="47"/>
  <c r="M25" i="75"/>
  <c r="M21" i="75"/>
  <c r="P24" i="71"/>
  <c r="P10" i="75"/>
  <c r="G267" i="5"/>
  <c r="E25" i="73"/>
  <c r="E28" i="73" s="1"/>
  <c r="M16" i="75"/>
  <c r="K15" i="75"/>
  <c r="K15" i="71"/>
  <c r="I465" i="5"/>
  <c r="I490" i="5" s="1"/>
  <c r="I858" i="5" s="1"/>
  <c r="I859" i="5" s="1"/>
  <c r="I860" i="5" s="1"/>
  <c r="L26" i="71"/>
  <c r="M51" i="75"/>
  <c r="P11" i="71"/>
  <c r="E53" i="69"/>
  <c r="L16" i="75"/>
  <c r="F80" i="48"/>
  <c r="I64" i="5"/>
  <c r="D16" i="75"/>
  <c r="I275" i="5"/>
  <c r="I298" i="5" s="1"/>
  <c r="I838" i="5" s="1"/>
  <c r="I839" i="5" s="1"/>
  <c r="I840" i="5" s="1"/>
  <c r="I21" i="71"/>
  <c r="P22" i="71"/>
  <c r="H267" i="5"/>
  <c r="P27" i="71"/>
  <c r="I26" i="71"/>
  <c r="D25" i="75"/>
  <c r="G26" i="71"/>
  <c r="P24" i="75"/>
  <c r="E26" i="71"/>
  <c r="J16" i="75"/>
  <c r="E36" i="47"/>
  <c r="AB50" i="75"/>
  <c r="AB52" i="75" s="1"/>
  <c r="AB53" i="75" s="1"/>
  <c r="F98" i="74"/>
  <c r="F99" i="74" s="1"/>
  <c r="F100" i="74" s="1"/>
  <c r="AB45" i="75"/>
  <c r="AB46" i="75" s="1"/>
  <c r="M60" i="46"/>
  <c r="N60" i="46" s="1"/>
  <c r="D124" i="47"/>
  <c r="E45" i="47"/>
  <c r="S51" i="71"/>
  <c r="S53" i="71" s="1"/>
  <c r="S54" i="71" s="1"/>
  <c r="T51" i="71"/>
  <c r="T53" i="71" s="1"/>
  <c r="T54" i="71" s="1"/>
  <c r="T45" i="71"/>
  <c r="S50" i="75"/>
  <c r="S52" i="75" s="1"/>
  <c r="S53" i="75" s="1"/>
  <c r="M78" i="46"/>
  <c r="N78" i="46" s="1"/>
  <c r="E38" i="47"/>
  <c r="E39" i="47"/>
  <c r="T44" i="75"/>
  <c r="E24" i="51"/>
  <c r="H24" i="51" s="1"/>
  <c r="E38" i="51"/>
  <c r="H38" i="51" s="1"/>
  <c r="E51" i="51"/>
  <c r="H51" i="51" s="1"/>
  <c r="E48" i="51"/>
  <c r="H48" i="51" s="1"/>
  <c r="E44" i="51"/>
  <c r="H44" i="51" s="1"/>
  <c r="AA14" i="71"/>
  <c r="AA37" i="71" s="1"/>
  <c r="AA51" i="71" s="1"/>
  <c r="AA53" i="71" s="1"/>
  <c r="AA54" i="71" s="1"/>
  <c r="E35" i="51"/>
  <c r="H35" i="51" s="1"/>
  <c r="E30" i="51"/>
  <c r="H30" i="51" s="1"/>
  <c r="E23" i="51"/>
  <c r="H23" i="51" s="1"/>
  <c r="E33" i="51"/>
  <c r="H33" i="51" s="1"/>
  <c r="E41" i="51"/>
  <c r="H41" i="51" s="1"/>
  <c r="E15" i="51"/>
  <c r="H15" i="51" s="1"/>
  <c r="E49" i="51"/>
  <c r="H49" i="51" s="1"/>
  <c r="E14" i="51"/>
  <c r="H14" i="51" s="1"/>
  <c r="E37" i="51"/>
  <c r="H37" i="51" s="1"/>
  <c r="E40" i="51"/>
  <c r="H40" i="51" s="1"/>
  <c r="F84" i="69"/>
  <c r="F85" i="69" s="1"/>
  <c r="E36" i="51"/>
  <c r="H36" i="51" s="1"/>
  <c r="E26" i="51"/>
  <c r="H26" i="51" s="1"/>
  <c r="E19" i="51"/>
  <c r="H19" i="51" s="1"/>
  <c r="E45" i="51"/>
  <c r="H45" i="51" s="1"/>
  <c r="E16" i="51"/>
  <c r="H16" i="51" s="1"/>
  <c r="E17" i="51"/>
  <c r="H17" i="51" s="1"/>
  <c r="E20" i="51"/>
  <c r="H20" i="51" s="1"/>
  <c r="E32" i="51"/>
  <c r="H32" i="51" s="1"/>
  <c r="E46" i="51"/>
  <c r="H46" i="51" s="1"/>
  <c r="F71" i="73"/>
  <c r="F72" i="73" s="1"/>
  <c r="AA14" i="75"/>
  <c r="AA36" i="75" s="1"/>
  <c r="AA44" i="75" s="1"/>
  <c r="E19" i="47"/>
  <c r="E40" i="47"/>
  <c r="E81" i="51"/>
  <c r="H81" i="51" s="1"/>
  <c r="E82" i="51"/>
  <c r="H82" i="51" s="1"/>
  <c r="E58" i="51"/>
  <c r="H58" i="51" s="1"/>
  <c r="E65" i="51"/>
  <c r="H65" i="51" s="1"/>
  <c r="E63" i="51"/>
  <c r="H63" i="51" s="1"/>
  <c r="E31" i="47"/>
  <c r="E83" i="51"/>
  <c r="H83" i="51" s="1"/>
  <c r="E26" i="47"/>
  <c r="E69" i="51"/>
  <c r="H69" i="51" s="1"/>
  <c r="E23" i="47"/>
  <c r="E43" i="47"/>
  <c r="E61" i="51"/>
  <c r="H61" i="51" s="1"/>
  <c r="E37" i="47"/>
  <c r="E44" i="47"/>
  <c r="E68" i="51"/>
  <c r="H68" i="51" s="1"/>
  <c r="E70" i="51"/>
  <c r="H70" i="51" s="1"/>
  <c r="E66" i="51"/>
  <c r="H66" i="51" s="1"/>
  <c r="E62" i="51"/>
  <c r="H62" i="51" s="1"/>
  <c r="E77" i="51"/>
  <c r="H77" i="51" s="1"/>
  <c r="E22" i="47"/>
  <c r="E48" i="47"/>
  <c r="Y45" i="71"/>
  <c r="E24" i="47"/>
  <c r="E42" i="47"/>
  <c r="E30" i="47"/>
  <c r="E47" i="47"/>
  <c r="E35" i="47"/>
  <c r="E41" i="47"/>
  <c r="E14" i="47"/>
  <c r="E79" i="51"/>
  <c r="H79" i="51" s="1"/>
  <c r="E49" i="47"/>
  <c r="E18" i="47"/>
  <c r="E46" i="47"/>
  <c r="E32" i="47"/>
  <c r="E15" i="47"/>
  <c r="E21" i="47"/>
  <c r="E20" i="47"/>
  <c r="E27" i="47"/>
  <c r="E34" i="47"/>
  <c r="E13" i="47"/>
  <c r="E51" i="47"/>
  <c r="E52" i="47"/>
  <c r="E53" i="47"/>
  <c r="E25" i="47"/>
  <c r="E17" i="47"/>
  <c r="E16" i="47"/>
  <c r="E33" i="47"/>
  <c r="E74" i="51"/>
  <c r="H74" i="51" s="1"/>
  <c r="E80" i="51"/>
  <c r="H80" i="51" s="1"/>
  <c r="E76" i="51"/>
  <c r="H76" i="51" s="1"/>
  <c r="E57" i="51"/>
  <c r="H57" i="51" s="1"/>
  <c r="E78" i="51"/>
  <c r="H78" i="51" s="1"/>
  <c r="E67" i="51"/>
  <c r="H67" i="51" s="1"/>
  <c r="E71" i="51"/>
  <c r="H71" i="51" s="1"/>
  <c r="E60" i="51"/>
  <c r="H60" i="51" s="1"/>
  <c r="E59" i="51"/>
  <c r="H59" i="51" s="1"/>
  <c r="E75" i="51"/>
  <c r="H75" i="51" s="1"/>
  <c r="F66" i="73"/>
  <c r="F67" i="73" s="1"/>
  <c r="M63" i="46"/>
  <c r="N63" i="46" s="1"/>
  <c r="M71" i="46"/>
  <c r="N71" i="46" s="1"/>
  <c r="M65" i="46"/>
  <c r="N65" i="46" s="1"/>
  <c r="M80" i="46"/>
  <c r="N80" i="46" s="1"/>
  <c r="F105" i="70"/>
  <c r="F107" i="70" s="1"/>
  <c r="F85" i="70"/>
  <c r="F110" i="70" s="1"/>
  <c r="F112" i="70" s="1"/>
  <c r="F113" i="70" s="1"/>
  <c r="E79" i="47"/>
  <c r="E69" i="47"/>
  <c r="E83" i="47"/>
  <c r="E78" i="47"/>
  <c r="E76" i="47"/>
  <c r="E77" i="47"/>
  <c r="E65" i="47"/>
  <c r="E60" i="47"/>
  <c r="E64" i="47"/>
  <c r="E70" i="47"/>
  <c r="E71" i="47"/>
  <c r="E63" i="47"/>
  <c r="E80" i="47"/>
  <c r="E75" i="47"/>
  <c r="E59" i="47"/>
  <c r="E57" i="47"/>
  <c r="E61" i="47"/>
  <c r="E82" i="47"/>
  <c r="E74" i="47"/>
  <c r="E62" i="47"/>
  <c r="E66" i="47"/>
  <c r="D99" i="47"/>
  <c r="E81" i="47"/>
  <c r="E58" i="47"/>
  <c r="E67" i="47"/>
  <c r="E68" i="47"/>
  <c r="U51" i="71"/>
  <c r="U53" i="71" s="1"/>
  <c r="U54" i="71" s="1"/>
  <c r="U45" i="71"/>
  <c r="R45" i="71"/>
  <c r="R51" i="71"/>
  <c r="R53" i="71" s="1"/>
  <c r="R54" i="71" s="1"/>
  <c r="Q44" i="75"/>
  <c r="Q50" i="75"/>
  <c r="Q52" i="75" s="1"/>
  <c r="Q53" i="75" s="1"/>
  <c r="Y44" i="75"/>
  <c r="Y50" i="75"/>
  <c r="Y52" i="75" s="1"/>
  <c r="Y53" i="75" s="1"/>
  <c r="U50" i="75"/>
  <c r="U52" i="75" s="1"/>
  <c r="U53" i="75" s="1"/>
  <c r="U44" i="75"/>
  <c r="Q51" i="71"/>
  <c r="Q53" i="71" s="1"/>
  <c r="Q54" i="71" s="1"/>
  <c r="Q45" i="71"/>
  <c r="I118" i="51"/>
  <c r="J118" i="51" s="1"/>
  <c r="I85" i="51"/>
  <c r="J72" i="51"/>
  <c r="D24" i="52"/>
  <c r="D12" i="52"/>
  <c r="F56" i="52"/>
  <c r="F17" i="52" s="1"/>
  <c r="D56" i="52"/>
  <c r="D17" i="52" s="1"/>
  <c r="F30" i="52"/>
  <c r="D87" i="48"/>
  <c r="D60" i="52"/>
  <c r="W14" i="71"/>
  <c r="W37" i="71" s="1"/>
  <c r="F87" i="69"/>
  <c r="F88" i="69" s="1"/>
  <c r="F89" i="69" s="1"/>
  <c r="J54" i="51"/>
  <c r="I55" i="51"/>
  <c r="J55" i="51" s="1"/>
  <c r="F68" i="74"/>
  <c r="I5099" i="18"/>
  <c r="I5116" i="18" s="1"/>
  <c r="F88" i="74"/>
  <c r="F90" i="74" s="1"/>
  <c r="D83" i="48"/>
  <c r="D24" i="48" s="1"/>
  <c r="D31" i="48"/>
  <c r="D19" i="48"/>
  <c r="W51" i="75"/>
  <c r="L49" i="72"/>
  <c r="V37" i="71"/>
  <c r="M788" i="5"/>
  <c r="M813" i="5"/>
  <c r="M815" i="5" s="1"/>
  <c r="M816" i="5" s="1"/>
  <c r="M800" i="5"/>
  <c r="M803" i="5" s="1"/>
  <c r="M804" i="5" s="1"/>
  <c r="E86" i="74"/>
  <c r="V36" i="75"/>
  <c r="AC15" i="71"/>
  <c r="F91" i="69" s="1"/>
  <c r="L58" i="68"/>
  <c r="W52" i="71"/>
  <c r="M850" i="5"/>
  <c r="M851" i="5" s="1"/>
  <c r="M852" i="5" s="1"/>
  <c r="F77" i="73"/>
  <c r="I91" i="51"/>
  <c r="D96" i="51"/>
  <c r="D98" i="51" s="1"/>
  <c r="F80" i="69"/>
  <c r="R44" i="75"/>
  <c r="R45" i="75" s="1"/>
  <c r="R46" i="75" s="1"/>
  <c r="R50" i="75"/>
  <c r="R52" i="75" s="1"/>
  <c r="R53" i="75" s="1"/>
  <c r="F852" i="5"/>
  <c r="E92" i="47"/>
  <c r="E96" i="47"/>
  <c r="E89" i="47"/>
  <c r="E88" i="47"/>
  <c r="E97" i="47"/>
  <c r="E90" i="47"/>
  <c r="E95" i="47"/>
  <c r="E93" i="47"/>
  <c r="E94" i="47"/>
  <c r="E91" i="47"/>
  <c r="E87" i="47"/>
  <c r="L25" i="46"/>
  <c r="L59" i="46"/>
  <c r="G82" i="46"/>
  <c r="G75" i="46"/>
  <c r="L83" i="46"/>
  <c r="G54" i="46"/>
  <c r="G67" i="46"/>
  <c r="L77" i="46"/>
  <c r="G55" i="46"/>
  <c r="G52" i="46"/>
  <c r="G57" i="46"/>
  <c r="G53" i="46"/>
  <c r="L55" i="46"/>
  <c r="G59" i="46"/>
  <c r="G56" i="46"/>
  <c r="G41" i="46"/>
  <c r="E30" i="73" l="1"/>
  <c r="H4968" i="18"/>
  <c r="G14" i="75"/>
  <c r="G36" i="75" s="1"/>
  <c r="G50" i="75" s="1"/>
  <c r="G52" i="75" s="1"/>
  <c r="G53" i="75" s="1"/>
  <c r="E14" i="71"/>
  <c r="E37" i="71" s="1"/>
  <c r="E51" i="71" s="1"/>
  <c r="E53" i="71" s="1"/>
  <c r="E54" i="71" s="1"/>
  <c r="U46" i="71"/>
  <c r="U47" i="71" s="1"/>
  <c r="T46" i="71"/>
  <c r="T47" i="71" s="1"/>
  <c r="R46" i="71"/>
  <c r="R47" i="71" s="1"/>
  <c r="P32" i="75"/>
  <c r="G14" i="71"/>
  <c r="G37" i="71" s="1"/>
  <c r="G51" i="71" s="1"/>
  <c r="G53" i="71" s="1"/>
  <c r="G54" i="71" s="1"/>
  <c r="M41" i="46"/>
  <c r="N41" i="46" s="1"/>
  <c r="M25" i="46"/>
  <c r="N25" i="46" s="1"/>
  <c r="AE54" i="2"/>
  <c r="AE56" i="2" s="1"/>
  <c r="AE57" i="2" s="1"/>
  <c r="AB46" i="71"/>
  <c r="AB47" i="71" s="1"/>
  <c r="E46" i="69"/>
  <c r="E86" i="69" s="1"/>
  <c r="F14" i="75"/>
  <c r="F36" i="75" s="1"/>
  <c r="F50" i="75" s="1"/>
  <c r="F52" i="75" s="1"/>
  <c r="F53" i="75" s="1"/>
  <c r="M209" i="5"/>
  <c r="P33" i="71"/>
  <c r="M56" i="46"/>
  <c r="N56" i="46" s="1"/>
  <c r="X43" i="75"/>
  <c r="X45" i="75" s="1"/>
  <c r="X46" i="75" s="1"/>
  <c r="F92" i="69"/>
  <c r="F94" i="69" s="1"/>
  <c r="J209" i="5"/>
  <c r="E14" i="75"/>
  <c r="E36" i="75" s="1"/>
  <c r="E50" i="75" s="1"/>
  <c r="E52" i="75" s="1"/>
  <c r="E53" i="75" s="1"/>
  <c r="M234" i="5"/>
  <c r="AC15" i="75"/>
  <c r="F78" i="73" s="1"/>
  <c r="F79" i="73" s="1"/>
  <c r="W14" i="75"/>
  <c r="W36" i="75" s="1"/>
  <c r="W50" i="75" s="1"/>
  <c r="W52" i="75" s="1"/>
  <c r="W53" i="75" s="1"/>
  <c r="Y46" i="71"/>
  <c r="Y47" i="71" s="1"/>
  <c r="F14" i="71"/>
  <c r="H209" i="5"/>
  <c r="T45" i="75"/>
  <c r="T46" i="75" s="1"/>
  <c r="O14" i="75"/>
  <c r="O36" i="75" s="1"/>
  <c r="O50" i="75" s="1"/>
  <c r="O52" i="75" s="1"/>
  <c r="O53" i="75" s="1"/>
  <c r="X46" i="71"/>
  <c r="X47" i="71" s="1"/>
  <c r="H129" i="21"/>
  <c r="H234" i="5"/>
  <c r="E106" i="74"/>
  <c r="E107" i="74" s="1"/>
  <c r="E108" i="74" s="1"/>
  <c r="G50" i="72"/>
  <c r="H59" i="72" s="1"/>
  <c r="H129" i="8"/>
  <c r="AA50" i="75"/>
  <c r="AA52" i="75" s="1"/>
  <c r="AA53" i="75" s="1"/>
  <c r="J854" i="5"/>
  <c r="J855" i="5" s="1"/>
  <c r="J234" i="5"/>
  <c r="F870" i="5"/>
  <c r="F234" i="5"/>
  <c r="O14" i="71"/>
  <c r="O37" i="71" s="1"/>
  <c r="O51" i="71" s="1"/>
  <c r="O53" i="71" s="1"/>
  <c r="O54" i="71" s="1"/>
  <c r="M53" i="46"/>
  <c r="N53" i="46" s="1"/>
  <c r="K36" i="72"/>
  <c r="AA45" i="71"/>
  <c r="AA46" i="71" s="1"/>
  <c r="AA47" i="71" s="1"/>
  <c r="E33" i="73"/>
  <c r="E73" i="73" s="1"/>
  <c r="F18" i="48"/>
  <c r="Y45" i="75"/>
  <c r="Y46" i="75" s="1"/>
  <c r="K14" i="71"/>
  <c r="K37" i="71" s="1"/>
  <c r="K51" i="71" s="1"/>
  <c r="K53" i="71" s="1"/>
  <c r="K54" i="71" s="1"/>
  <c r="K14" i="75"/>
  <c r="K36" i="75" s="1"/>
  <c r="F55" i="47"/>
  <c r="G45" i="47" s="1"/>
  <c r="H45" i="47" s="1"/>
  <c r="M54" i="46"/>
  <c r="N54" i="46" s="1"/>
  <c r="U43" i="75"/>
  <c r="U45" i="75" s="1"/>
  <c r="U46" i="75" s="1"/>
  <c r="M83" i="46"/>
  <c r="N83" i="46" s="1"/>
  <c r="P21" i="71"/>
  <c r="K45" i="68"/>
  <c r="M57" i="46"/>
  <c r="N57" i="46" s="1"/>
  <c r="M14" i="75"/>
  <c r="M36" i="75" s="1"/>
  <c r="F85" i="47"/>
  <c r="G74" i="47" s="1"/>
  <c r="H74" i="47" s="1"/>
  <c r="H14" i="71"/>
  <c r="H37" i="71" s="1"/>
  <c r="H51" i="71" s="1"/>
  <c r="H53" i="71" s="1"/>
  <c r="H54" i="71" s="1"/>
  <c r="D14" i="75"/>
  <c r="D36" i="75" s="1"/>
  <c r="AA45" i="75"/>
  <c r="AA46" i="75" s="1"/>
  <c r="Q45" i="75"/>
  <c r="Q46" i="75" s="1"/>
  <c r="M14" i="71"/>
  <c r="M37" i="71" s="1"/>
  <c r="M51" i="71" s="1"/>
  <c r="M53" i="71" s="1"/>
  <c r="M54" i="71" s="1"/>
  <c r="F29" i="48"/>
  <c r="F27" i="48"/>
  <c r="L14" i="71"/>
  <c r="L37" i="71" s="1"/>
  <c r="L51" i="71" s="1"/>
  <c r="L53" i="71" s="1"/>
  <c r="L54" i="71" s="1"/>
  <c r="P16" i="75"/>
  <c r="Q46" i="71"/>
  <c r="Q47" i="71" s="1"/>
  <c r="E89" i="74"/>
  <c r="E31" i="73"/>
  <c r="E69" i="73"/>
  <c r="E64" i="73"/>
  <c r="P16" i="71"/>
  <c r="I819" i="5"/>
  <c r="I820" i="5" s="1"/>
  <c r="I170" i="5"/>
  <c r="F123" i="47" s="1"/>
  <c r="I123" i="47" s="1"/>
  <c r="J123" i="47" s="1"/>
  <c r="Q4395" i="18"/>
  <c r="I809" i="5"/>
  <c r="J57" i="47"/>
  <c r="I72" i="47"/>
  <c r="V44" i="71"/>
  <c r="P13" i="71"/>
  <c r="AC44" i="71" s="1"/>
  <c r="I120" i="47"/>
  <c r="J120" i="47" s="1"/>
  <c r="G434" i="5"/>
  <c r="G457" i="5" s="1"/>
  <c r="G234" i="5" s="1"/>
  <c r="G212" i="5"/>
  <c r="I435" i="5"/>
  <c r="L14" i="75"/>
  <c r="L36" i="75" s="1"/>
  <c r="P25" i="75"/>
  <c r="D14" i="71"/>
  <c r="D37" i="71" s="1"/>
  <c r="D51" i="71" s="1"/>
  <c r="D53" i="71" s="1"/>
  <c r="D54" i="71" s="1"/>
  <c r="J13" i="47"/>
  <c r="I28" i="47"/>
  <c r="P26" i="71"/>
  <c r="F82" i="48"/>
  <c r="I786" i="5"/>
  <c r="J77" i="47"/>
  <c r="I84" i="47"/>
  <c r="J84" i="47" s="1"/>
  <c r="V43" i="75"/>
  <c r="P13" i="75"/>
  <c r="F37" i="71"/>
  <c r="F51" i="71" s="1"/>
  <c r="F53" i="71" s="1"/>
  <c r="F54" i="71" s="1"/>
  <c r="S44" i="71"/>
  <c r="S46" i="71" s="1"/>
  <c r="S47" i="71" s="1"/>
  <c r="J101" i="47"/>
  <c r="I115" i="47"/>
  <c r="I117" i="5"/>
  <c r="G122" i="5"/>
  <c r="G124" i="5" s="1"/>
  <c r="G125" i="5" s="1"/>
  <c r="I14" i="75"/>
  <c r="I36" i="75" s="1"/>
  <c r="I50" i="75" s="1"/>
  <c r="I52" i="75" s="1"/>
  <c r="I53" i="75" s="1"/>
  <c r="P21" i="75"/>
  <c r="S43" i="75"/>
  <c r="S45" i="75" s="1"/>
  <c r="S46" i="75" s="1"/>
  <c r="H4463" i="18"/>
  <c r="F15" i="48"/>
  <c r="I805" i="5"/>
  <c r="I791" i="5"/>
  <c r="F121" i="47"/>
  <c r="I121" i="47" s="1"/>
  <c r="J121" i="47" s="1"/>
  <c r="I193" i="5"/>
  <c r="I801" i="5" s="1"/>
  <c r="J30" i="47"/>
  <c r="I54" i="47"/>
  <c r="J54" i="47" s="1"/>
  <c r="H54" i="51"/>
  <c r="F81" i="48"/>
  <c r="F28" i="48" s="1"/>
  <c r="F85" i="48"/>
  <c r="F25" i="48" s="1"/>
  <c r="I564" i="5"/>
  <c r="N15" i="71"/>
  <c r="N15" i="75"/>
  <c r="I806" i="5"/>
  <c r="E106" i="70"/>
  <c r="E82" i="69"/>
  <c r="E77" i="69"/>
  <c r="E79" i="69" s="1"/>
  <c r="E80" i="69" s="1"/>
  <c r="E65" i="69"/>
  <c r="E90" i="69" s="1"/>
  <c r="H14" i="75"/>
  <c r="H36" i="75" s="1"/>
  <c r="I14" i="71"/>
  <c r="I37" i="71" s="1"/>
  <c r="I51" i="71" s="1"/>
  <c r="I53" i="71" s="1"/>
  <c r="I54" i="71" s="1"/>
  <c r="I821" i="5"/>
  <c r="I823" i="5" s="1"/>
  <c r="I824" i="5" s="1"/>
  <c r="I790" i="5"/>
  <c r="E51" i="74"/>
  <c r="E68" i="70"/>
  <c r="F14" i="48"/>
  <c r="F38" i="48" s="1"/>
  <c r="H28" i="51"/>
  <c r="E54" i="51"/>
  <c r="M75" i="46"/>
  <c r="N75" i="46" s="1"/>
  <c r="M59" i="46"/>
  <c r="N59" i="46" s="1"/>
  <c r="E28" i="51"/>
  <c r="E72" i="51"/>
  <c r="E28" i="47"/>
  <c r="E54" i="47"/>
  <c r="H72" i="51"/>
  <c r="E84" i="51"/>
  <c r="AC14" i="71"/>
  <c r="AC37" i="71" s="1"/>
  <c r="AC51" i="71" s="1"/>
  <c r="M55" i="46"/>
  <c r="N55" i="46" s="1"/>
  <c r="M67" i="46"/>
  <c r="N67" i="46" s="1"/>
  <c r="M82" i="46"/>
  <c r="N82" i="46" s="1"/>
  <c r="F93" i="69"/>
  <c r="E84" i="47"/>
  <c r="V44" i="75"/>
  <c r="V50" i="75"/>
  <c r="V52" i="75" s="1"/>
  <c r="V53" i="75" s="1"/>
  <c r="D13" i="52"/>
  <c r="M877" i="5"/>
  <c r="M789" i="5"/>
  <c r="J91" i="51"/>
  <c r="AC51" i="75"/>
  <c r="L50" i="72"/>
  <c r="F91" i="74"/>
  <c r="W51" i="71"/>
  <c r="W53" i="71" s="1"/>
  <c r="W54" i="71" s="1"/>
  <c r="W45" i="71"/>
  <c r="W46" i="71" s="1"/>
  <c r="W47" i="71" s="1"/>
  <c r="E72" i="47"/>
  <c r="D20" i="48"/>
  <c r="E95" i="51"/>
  <c r="E89" i="51"/>
  <c r="E92" i="51"/>
  <c r="E96" i="51"/>
  <c r="E90" i="51"/>
  <c r="E97" i="51"/>
  <c r="E94" i="51"/>
  <c r="E87" i="51"/>
  <c r="E88" i="51"/>
  <c r="E93" i="51"/>
  <c r="E91" i="51"/>
  <c r="D99" i="51"/>
  <c r="AC52" i="71"/>
  <c r="L59" i="68"/>
  <c r="K70" i="68" s="1"/>
  <c r="L70" i="68" s="1"/>
  <c r="M70" i="68" s="1"/>
  <c r="V45" i="71"/>
  <c r="V51" i="71"/>
  <c r="V53" i="71" s="1"/>
  <c r="V54" i="71" s="1"/>
  <c r="F108" i="70"/>
  <c r="F126" i="70"/>
  <c r="J85" i="51"/>
  <c r="F93" i="74"/>
  <c r="F95" i="74" s="1"/>
  <c r="F96" i="74" s="1"/>
  <c r="E98" i="47"/>
  <c r="G70" i="46"/>
  <c r="G72" i="46"/>
  <c r="G68" i="46"/>
  <c r="G64" i="46"/>
  <c r="L52" i="46"/>
  <c r="L50" i="46"/>
  <c r="G79" i="46"/>
  <c r="G61" i="46"/>
  <c r="G62" i="46"/>
  <c r="G49" i="46"/>
  <c r="G66" i="46"/>
  <c r="L79" i="46"/>
  <c r="H4969" i="18" l="1"/>
  <c r="H4981" i="18" s="1"/>
  <c r="W44" i="75"/>
  <c r="W45" i="75" s="1"/>
  <c r="W46" i="75" s="1"/>
  <c r="AC14" i="75"/>
  <c r="AC36" i="75" s="1"/>
  <c r="AC44" i="75" s="1"/>
  <c r="I192" i="5"/>
  <c r="I800" i="5" s="1"/>
  <c r="I803" i="5" s="1"/>
  <c r="I804" i="5" s="1"/>
  <c r="M52" i="46"/>
  <c r="N52" i="46" s="1"/>
  <c r="E65" i="73"/>
  <c r="E66" i="73" s="1"/>
  <c r="E67" i="73" s="1"/>
  <c r="G48" i="47"/>
  <c r="H48" i="47" s="1"/>
  <c r="G20" i="47"/>
  <c r="H20" i="47" s="1"/>
  <c r="G19" i="47"/>
  <c r="H19" i="47" s="1"/>
  <c r="G49" i="47"/>
  <c r="H49" i="47" s="1"/>
  <c r="G44" i="47"/>
  <c r="H44" i="47" s="1"/>
  <c r="G32" i="47"/>
  <c r="H32" i="47" s="1"/>
  <c r="G34" i="47"/>
  <c r="H34" i="47" s="1"/>
  <c r="J856" i="5"/>
  <c r="J877" i="5"/>
  <c r="G69" i="47"/>
  <c r="H69" i="47" s="1"/>
  <c r="G30" i="47"/>
  <c r="H30" i="47" s="1"/>
  <c r="G35" i="47"/>
  <c r="H35" i="47" s="1"/>
  <c r="G52" i="47"/>
  <c r="H52" i="47" s="1"/>
  <c r="G63" i="47"/>
  <c r="H63" i="47" s="1"/>
  <c r="E52" i="73"/>
  <c r="E77" i="73" s="1"/>
  <c r="G66" i="47"/>
  <c r="H66" i="47" s="1"/>
  <c r="G75" i="47"/>
  <c r="H75" i="47" s="1"/>
  <c r="G18" i="47"/>
  <c r="H18" i="47" s="1"/>
  <c r="G17" i="47"/>
  <c r="H17" i="47" s="1"/>
  <c r="G42" i="47"/>
  <c r="H42" i="47" s="1"/>
  <c r="G46" i="47"/>
  <c r="H46" i="47" s="1"/>
  <c r="G43" i="47"/>
  <c r="H43" i="47" s="1"/>
  <c r="G13" i="47"/>
  <c r="H13" i="47" s="1"/>
  <c r="G38" i="47"/>
  <c r="H38" i="47" s="1"/>
  <c r="G31" i="47"/>
  <c r="H31" i="47" s="1"/>
  <c r="G41" i="47"/>
  <c r="H41" i="47" s="1"/>
  <c r="G37" i="47"/>
  <c r="H37" i="47" s="1"/>
  <c r="G40" i="47"/>
  <c r="H40" i="47" s="1"/>
  <c r="G25" i="47"/>
  <c r="H25" i="47" s="1"/>
  <c r="G33" i="47"/>
  <c r="H33" i="47" s="1"/>
  <c r="G21" i="47"/>
  <c r="H21" i="47" s="1"/>
  <c r="G47" i="47"/>
  <c r="H47" i="47" s="1"/>
  <c r="G15" i="47"/>
  <c r="H15" i="47" s="1"/>
  <c r="G51" i="47"/>
  <c r="H51" i="47" s="1"/>
  <c r="G39" i="47"/>
  <c r="H39" i="47" s="1"/>
  <c r="G50" i="47"/>
  <c r="H50" i="47" s="1"/>
  <c r="V45" i="75"/>
  <c r="V46" i="75" s="1"/>
  <c r="G23" i="47"/>
  <c r="H23" i="47" s="1"/>
  <c r="G27" i="47"/>
  <c r="H27" i="47" s="1"/>
  <c r="G36" i="47"/>
  <c r="H36" i="47" s="1"/>
  <c r="G14" i="47"/>
  <c r="H14" i="47" s="1"/>
  <c r="G16" i="47"/>
  <c r="H16" i="47" s="1"/>
  <c r="G26" i="47"/>
  <c r="H26" i="47" s="1"/>
  <c r="G22" i="47"/>
  <c r="H22" i="47" s="1"/>
  <c r="G53" i="47"/>
  <c r="H53" i="47" s="1"/>
  <c r="G24" i="47"/>
  <c r="H24" i="47" s="1"/>
  <c r="M68" i="46"/>
  <c r="N68" i="46" s="1"/>
  <c r="K50" i="75"/>
  <c r="K52" i="75" s="1"/>
  <c r="K53" i="75" s="1"/>
  <c r="G209" i="5"/>
  <c r="G65" i="47"/>
  <c r="H65" i="47" s="1"/>
  <c r="G58" i="47"/>
  <c r="H58" i="47" s="1"/>
  <c r="G80" i="47"/>
  <c r="H80" i="47" s="1"/>
  <c r="G81" i="47"/>
  <c r="H81" i="47" s="1"/>
  <c r="G77" i="47"/>
  <c r="H77" i="47" s="1"/>
  <c r="G78" i="47"/>
  <c r="H78" i="47" s="1"/>
  <c r="G57" i="47"/>
  <c r="H57" i="47" s="1"/>
  <c r="G82" i="47"/>
  <c r="H82" i="47" s="1"/>
  <c r="V46" i="71"/>
  <c r="V47" i="71" s="1"/>
  <c r="G60" i="47"/>
  <c r="H60" i="47" s="1"/>
  <c r="G71" i="47"/>
  <c r="H71" i="47" s="1"/>
  <c r="G68" i="47"/>
  <c r="H68" i="47" s="1"/>
  <c r="G76" i="47"/>
  <c r="H76" i="47" s="1"/>
  <c r="F124" i="47"/>
  <c r="I124" i="47" s="1"/>
  <c r="J124" i="47" s="1"/>
  <c r="I793" i="5"/>
  <c r="I794" i="5" s="1"/>
  <c r="M62" i="46"/>
  <c r="N62" i="46" s="1"/>
  <c r="M72" i="46"/>
  <c r="N72" i="46" s="1"/>
  <c r="D50" i="75"/>
  <c r="D52" i="75" s="1"/>
  <c r="D53" i="75" s="1"/>
  <c r="M50" i="75"/>
  <c r="M52" i="75" s="1"/>
  <c r="M53" i="75" s="1"/>
  <c r="G79" i="47"/>
  <c r="H79" i="47" s="1"/>
  <c r="G62" i="47"/>
  <c r="H62" i="47" s="1"/>
  <c r="G59" i="47"/>
  <c r="H59" i="47" s="1"/>
  <c r="G64" i="47"/>
  <c r="H64" i="47" s="1"/>
  <c r="G70" i="47"/>
  <c r="H70" i="47" s="1"/>
  <c r="G83" i="47"/>
  <c r="H83" i="47" s="1"/>
  <c r="G61" i="47"/>
  <c r="H61" i="47" s="1"/>
  <c r="G67" i="47"/>
  <c r="H67" i="47" s="1"/>
  <c r="M79" i="46"/>
  <c r="N79" i="46" s="1"/>
  <c r="M64" i="46"/>
  <c r="N64" i="46" s="1"/>
  <c r="M70" i="46"/>
  <c r="N70" i="46" s="1"/>
  <c r="M66" i="46"/>
  <c r="N66" i="46" s="1"/>
  <c r="E68" i="74"/>
  <c r="H5099" i="18"/>
  <c r="E88" i="74"/>
  <c r="E90" i="74" s="1"/>
  <c r="H50" i="75"/>
  <c r="H52" i="75" s="1"/>
  <c r="H53" i="75" s="1"/>
  <c r="I589" i="5"/>
  <c r="K53" i="68"/>
  <c r="F91" i="47"/>
  <c r="K44" i="72"/>
  <c r="K4366" i="18"/>
  <c r="L4367" i="18" s="1"/>
  <c r="G289" i="50"/>
  <c r="I289" i="50" s="1"/>
  <c r="J289" i="50" s="1"/>
  <c r="I853" i="5"/>
  <c r="F40" i="48"/>
  <c r="F31" i="48"/>
  <c r="F19" i="48"/>
  <c r="F83" i="48"/>
  <c r="F24" i="48" s="1"/>
  <c r="L50" i="75"/>
  <c r="L52" i="75" s="1"/>
  <c r="L53" i="75" s="1"/>
  <c r="H55" i="51"/>
  <c r="I813" i="5"/>
  <c r="I807" i="5"/>
  <c r="I808" i="5" s="1"/>
  <c r="J115" i="47"/>
  <c r="I118" i="47"/>
  <c r="J118" i="47" s="1"/>
  <c r="AC43" i="75"/>
  <c r="I212" i="5"/>
  <c r="I814" i="5" s="1"/>
  <c r="J15" i="75"/>
  <c r="J15" i="71"/>
  <c r="I810" i="5"/>
  <c r="I811" i="5" s="1"/>
  <c r="I812" i="5" s="1"/>
  <c r="I434" i="5"/>
  <c r="I457" i="5" s="1"/>
  <c r="I854" i="5" s="1"/>
  <c r="J72" i="47"/>
  <c r="I85" i="47"/>
  <c r="J85" i="47" s="1"/>
  <c r="E70" i="73"/>
  <c r="E71" i="73" s="1"/>
  <c r="N14" i="75"/>
  <c r="N36" i="75" s="1"/>
  <c r="H4472" i="18"/>
  <c r="K4457" i="18" s="1"/>
  <c r="E85" i="70"/>
  <c r="E110" i="70" s="1"/>
  <c r="E112" i="70" s="1"/>
  <c r="E113" i="70" s="1"/>
  <c r="E105" i="70"/>
  <c r="E107" i="70" s="1"/>
  <c r="E83" i="69"/>
  <c r="E84" i="69" s="1"/>
  <c r="N14" i="71"/>
  <c r="N37" i="71" s="1"/>
  <c r="N51" i="71" s="1"/>
  <c r="J28" i="47"/>
  <c r="I55" i="47"/>
  <c r="J55" i="47" s="1"/>
  <c r="E55" i="51"/>
  <c r="E55" i="47"/>
  <c r="E85" i="51"/>
  <c r="AC53" i="71"/>
  <c r="AC54" i="71" s="1"/>
  <c r="F80" i="73"/>
  <c r="F81" i="73"/>
  <c r="AC45" i="71"/>
  <c r="AC46" i="71" s="1"/>
  <c r="AC47" i="71" s="1"/>
  <c r="M50" i="46"/>
  <c r="N50" i="46" s="1"/>
  <c r="F109" i="74"/>
  <c r="E85" i="47"/>
  <c r="K61" i="72"/>
  <c r="L61" i="72" s="1"/>
  <c r="M61" i="72" s="1"/>
  <c r="E98" i="51"/>
  <c r="L61" i="46"/>
  <c r="G81" i="46"/>
  <c r="H293" i="50"/>
  <c r="L38" i="46"/>
  <c r="G77" i="46"/>
  <c r="G51" i="46"/>
  <c r="G74" i="46"/>
  <c r="Q4965" i="18" l="1"/>
  <c r="K4965" i="18"/>
  <c r="M61" i="46"/>
  <c r="N61" i="46" s="1"/>
  <c r="M77" i="46"/>
  <c r="N77" i="46" s="1"/>
  <c r="AC50" i="75"/>
  <c r="AC52" i="75" s="1"/>
  <c r="AC53" i="75" s="1"/>
  <c r="M38" i="46"/>
  <c r="N38" i="46" s="1"/>
  <c r="N55" i="2"/>
  <c r="N56" i="2" s="1"/>
  <c r="K65" i="7"/>
  <c r="K67" i="7" s="1"/>
  <c r="F121" i="5"/>
  <c r="H28" i="47"/>
  <c r="G54" i="47"/>
  <c r="H54" i="47"/>
  <c r="G28" i="47"/>
  <c r="Q4457" i="18"/>
  <c r="H72" i="47"/>
  <c r="G84" i="47"/>
  <c r="I209" i="5"/>
  <c r="G72" i="47"/>
  <c r="M81" i="46"/>
  <c r="N81" i="46" s="1"/>
  <c r="E72" i="73"/>
  <c r="E108" i="70"/>
  <c r="E126" i="70"/>
  <c r="H126" i="70" s="1"/>
  <c r="J14" i="75"/>
  <c r="P15" i="75"/>
  <c r="E74" i="73"/>
  <c r="E75" i="73" s="1"/>
  <c r="E76" i="73" s="1"/>
  <c r="I815" i="5"/>
  <c r="I816" i="5" s="1"/>
  <c r="I855" i="5"/>
  <c r="I856" i="5" s="1"/>
  <c r="I91" i="47"/>
  <c r="I870" i="5"/>
  <c r="I234" i="5"/>
  <c r="E93" i="74"/>
  <c r="E95" i="74" s="1"/>
  <c r="E96" i="74" s="1"/>
  <c r="P15" i="71"/>
  <c r="E91" i="69" s="1"/>
  <c r="E92" i="69" s="1"/>
  <c r="E93" i="69" s="1"/>
  <c r="E87" i="69"/>
  <c r="E88" i="69" s="1"/>
  <c r="E89" i="69" s="1"/>
  <c r="J14" i="71"/>
  <c r="J51" i="75"/>
  <c r="H5116" i="18"/>
  <c r="Q5096" i="18" s="1"/>
  <c r="P8" i="18" s="1"/>
  <c r="J52" i="71"/>
  <c r="AC45" i="75"/>
  <c r="AC46" i="75" s="1"/>
  <c r="E85" i="69"/>
  <c r="N50" i="75"/>
  <c r="E91" i="74"/>
  <c r="L51" i="46"/>
  <c r="L40" i="46"/>
  <c r="H326" i="50"/>
  <c r="L4965" i="18" l="1"/>
  <c r="E109" i="74"/>
  <c r="H109" i="74" s="1"/>
  <c r="M40" i="46"/>
  <c r="N40" i="46" s="1"/>
  <c r="F95" i="51"/>
  <c r="F122" i="5"/>
  <c r="F124" i="5" s="1"/>
  <c r="F869" i="5"/>
  <c r="F871" i="5" s="1"/>
  <c r="F872" i="5" s="1"/>
  <c r="I121" i="5"/>
  <c r="Q55" i="2"/>
  <c r="Q56" i="2" s="1"/>
  <c r="Q57" i="2" s="1"/>
  <c r="K68" i="7"/>
  <c r="C47" i="2"/>
  <c r="C48" i="2" s="1"/>
  <c r="N57" i="2"/>
  <c r="H55" i="47"/>
  <c r="G55" i="47"/>
  <c r="G85" i="47"/>
  <c r="M51" i="46"/>
  <c r="N51" i="46" s="1"/>
  <c r="E78" i="73"/>
  <c r="E79" i="73" s="1"/>
  <c r="E80" i="73" s="1"/>
  <c r="J91" i="47"/>
  <c r="E94" i="69"/>
  <c r="H94" i="69" s="1"/>
  <c r="J37" i="71"/>
  <c r="J51" i="71" s="1"/>
  <c r="J53" i="71" s="1"/>
  <c r="P14" i="71"/>
  <c r="P37" i="71" s="1"/>
  <c r="P51" i="71" s="1"/>
  <c r="J36" i="75"/>
  <c r="J50" i="75" s="1"/>
  <c r="J52" i="75" s="1"/>
  <c r="P14" i="75"/>
  <c r="P36" i="75" s="1"/>
  <c r="G76" i="46"/>
  <c r="L9" i="46"/>
  <c r="E81" i="73" l="1"/>
  <c r="H81" i="73" s="1"/>
  <c r="M9" i="46"/>
  <c r="N9" i="46" s="1"/>
  <c r="K94" i="7"/>
  <c r="L94" i="7" s="1"/>
  <c r="F60" i="52"/>
  <c r="F125" i="5"/>
  <c r="F787" i="5" s="1"/>
  <c r="F788" i="5" s="1"/>
  <c r="F96" i="51"/>
  <c r="F98" i="51" s="1"/>
  <c r="I95" i="51"/>
  <c r="G293" i="50"/>
  <c r="I293" i="50" s="1"/>
  <c r="J293" i="50" s="1"/>
  <c r="F95" i="47"/>
  <c r="I869" i="5"/>
  <c r="I871" i="5" s="1"/>
  <c r="I872" i="5" s="1"/>
  <c r="K4456" i="18"/>
  <c r="L4457" i="18" s="1"/>
  <c r="G294" i="50"/>
  <c r="K48" i="72"/>
  <c r="K57" i="68"/>
  <c r="I122" i="5"/>
  <c r="I124" i="5" s="1"/>
  <c r="J53" i="75"/>
  <c r="J54" i="71"/>
  <c r="P50" i="75"/>
  <c r="L74" i="46"/>
  <c r="M74" i="46" l="1"/>
  <c r="N74" i="46" s="1"/>
  <c r="N51" i="75"/>
  <c r="N52" i="75" s="1"/>
  <c r="K49" i="72"/>
  <c r="I95" i="47"/>
  <c r="F96" i="47"/>
  <c r="F98" i="47" s="1"/>
  <c r="F13" i="52"/>
  <c r="F29" i="52"/>
  <c r="I125" i="5"/>
  <c r="I787" i="5" s="1"/>
  <c r="I788" i="5" s="1"/>
  <c r="F87" i="48"/>
  <c r="K7" i="18"/>
  <c r="P7" i="18" s="1"/>
  <c r="H7" i="18"/>
  <c r="J95" i="51"/>
  <c r="I96" i="51"/>
  <c r="M94" i="7"/>
  <c r="L97" i="7"/>
  <c r="M97" i="7" s="1"/>
  <c r="F789" i="5"/>
  <c r="F877" i="5"/>
  <c r="N52" i="71"/>
  <c r="N53" i="71" s="1"/>
  <c r="K58" i="68"/>
  <c r="G97" i="51"/>
  <c r="H97" i="51" s="1"/>
  <c r="G93" i="51"/>
  <c r="H93" i="51" s="1"/>
  <c r="G88" i="51"/>
  <c r="H88" i="51" s="1"/>
  <c r="G95" i="51"/>
  <c r="H95" i="51" s="1"/>
  <c r="G89" i="51"/>
  <c r="H89" i="51" s="1"/>
  <c r="G91" i="51"/>
  <c r="H91" i="51" s="1"/>
  <c r="G87" i="51"/>
  <c r="H87" i="51" s="1"/>
  <c r="G96" i="51"/>
  <c r="G92" i="51"/>
  <c r="H92" i="51" s="1"/>
  <c r="G94" i="51"/>
  <c r="H94" i="51" s="1"/>
  <c r="G90" i="51"/>
  <c r="H90" i="51" s="1"/>
  <c r="F99" i="51"/>
  <c r="L76" i="46"/>
  <c r="M76" i="46" l="1"/>
  <c r="N76" i="46" s="1"/>
  <c r="P51" i="75"/>
  <c r="P52" i="75" s="1"/>
  <c r="P53" i="75" s="1"/>
  <c r="K50" i="72"/>
  <c r="G98" i="51"/>
  <c r="H96" i="51"/>
  <c r="H98" i="51" s="1"/>
  <c r="K59" i="68"/>
  <c r="K68" i="68" s="1"/>
  <c r="L68" i="68" s="1"/>
  <c r="M68" i="68" s="1"/>
  <c r="P52" i="71"/>
  <c r="P53" i="71" s="1"/>
  <c r="P54" i="71" s="1"/>
  <c r="J96" i="51"/>
  <c r="I98" i="51"/>
  <c r="F20" i="48"/>
  <c r="F39" i="48"/>
  <c r="N53" i="75"/>
  <c r="C43" i="75"/>
  <c r="C44" i="75" s="1"/>
  <c r="J95" i="47"/>
  <c r="I96" i="47"/>
  <c r="N54" i="71"/>
  <c r="C44" i="71"/>
  <c r="C45" i="71" s="1"/>
  <c r="I789" i="5"/>
  <c r="I877" i="5"/>
  <c r="G96" i="47"/>
  <c r="G90" i="47"/>
  <c r="H90" i="47" s="1"/>
  <c r="F99" i="47"/>
  <c r="G97" i="47"/>
  <c r="H97" i="47" s="1"/>
  <c r="G87" i="47"/>
  <c r="H87" i="47" s="1"/>
  <c r="G92" i="47"/>
  <c r="H92" i="47" s="1"/>
  <c r="G94" i="47"/>
  <c r="H94" i="47" s="1"/>
  <c r="G93" i="47"/>
  <c r="H93" i="47" s="1"/>
  <c r="G95" i="47"/>
  <c r="H95" i="47" s="1"/>
  <c r="G89" i="47"/>
  <c r="H89" i="47" s="1"/>
  <c r="G91" i="47"/>
  <c r="H91" i="47" s="1"/>
  <c r="G88" i="47"/>
  <c r="H88" i="47" s="1"/>
  <c r="L49" i="46"/>
  <c r="M49" i="46" l="1"/>
  <c r="N49" i="46" s="1"/>
  <c r="J96" i="47"/>
  <c r="I98" i="47"/>
  <c r="K59" i="72"/>
  <c r="L59" i="72" s="1"/>
  <c r="M59" i="72" s="1"/>
  <c r="H96" i="47"/>
  <c r="H98" i="47" s="1"/>
  <c r="G98" i="47"/>
  <c r="I99" i="51"/>
  <c r="J99" i="51" s="1"/>
  <c r="J98" i="51"/>
  <c r="J98" i="47" l="1"/>
  <c r="I99" i="47"/>
  <c r="J99" i="47"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3.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4.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5.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6.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7.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8.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9.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10.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1.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2.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3.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6.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18.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19.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88"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0"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5" authorId="2" shapeId="0">
      <text>
        <r>
          <rPr>
            <b/>
            <sz val="9"/>
            <color indexed="81"/>
            <rFont val="宋体"/>
            <family val="3"/>
            <charset val="134"/>
          </rPr>
          <t>胡晓明:
如需要，请在此设置公式，引用至注释小表中期末/本期数的单元格。</t>
        </r>
      </text>
    </comment>
    <comment ref="N3225" authorId="2" shapeId="0">
      <text>
        <r>
          <rPr>
            <b/>
            <sz val="9"/>
            <color indexed="81"/>
            <rFont val="宋体"/>
            <family val="3"/>
            <charset val="134"/>
          </rPr>
          <t>胡晓明:
如需要，请在此设置公式，引用至注释小表中期初/上期数的单元格。</t>
        </r>
      </text>
    </comment>
    <comment ref="K3269" authorId="2" shapeId="0">
      <text>
        <r>
          <rPr>
            <b/>
            <sz val="9"/>
            <color indexed="81"/>
            <rFont val="宋体"/>
            <family val="3"/>
            <charset val="134"/>
          </rPr>
          <t>胡晓明:
如需要，请在此设置公式，引用至注释小表中期末/本期数的单元格。</t>
        </r>
      </text>
    </comment>
    <comment ref="N3269" authorId="2" shapeId="0">
      <text>
        <r>
          <rPr>
            <b/>
            <sz val="9"/>
            <color indexed="81"/>
            <rFont val="宋体"/>
            <family val="3"/>
            <charset val="134"/>
          </rPr>
          <t>胡晓明:
如需要，请在此设置公式，引用至注释小表中期初/上期数的单元格。</t>
        </r>
      </text>
    </comment>
    <comment ref="K3276" authorId="2" shapeId="0">
      <text>
        <r>
          <rPr>
            <b/>
            <sz val="9"/>
            <color indexed="81"/>
            <rFont val="宋体"/>
            <family val="3"/>
            <charset val="134"/>
          </rPr>
          <t>胡晓明:
如需要，请在此设置公式，引用至注释小表中期末/本期数的单元格。</t>
        </r>
      </text>
    </comment>
    <comment ref="N3276" authorId="2" shapeId="0">
      <text>
        <r>
          <rPr>
            <b/>
            <sz val="9"/>
            <color indexed="81"/>
            <rFont val="宋体"/>
            <family val="3"/>
            <charset val="134"/>
          </rPr>
          <t>胡晓明:
如需要，请在此设置公式，引用至注释小表中期初/上期数的单元格。</t>
        </r>
      </text>
    </comment>
    <comment ref="S3276"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86"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3" authorId="3" shapeId="0">
      <text>
        <r>
          <rPr>
            <b/>
            <sz val="9"/>
            <rFont val="Tahoma"/>
            <family val="2"/>
          </rPr>
          <t>未解决注释间差异合计。
注：本表中的“差异”，如未 √ 以示确认，则为“未解决注释间差异（存疑差异）”。</t>
        </r>
      </text>
    </comment>
    <comment ref="N3329" authorId="2" shapeId="0">
      <text>
        <r>
          <rPr>
            <b/>
            <sz val="9"/>
            <color indexed="81"/>
            <rFont val="宋体"/>
            <family val="3"/>
            <charset val="134"/>
          </rPr>
          <t>胡晓明:
如需要，请在此设置公式，引用至注释小表中期初/上期数的单元格。</t>
        </r>
      </text>
    </comment>
    <comment ref="N3339" authorId="2" shapeId="0">
      <text>
        <r>
          <rPr>
            <b/>
            <sz val="9"/>
            <color indexed="81"/>
            <rFont val="宋体"/>
            <family val="3"/>
            <charset val="134"/>
          </rPr>
          <t>胡晓明:
如需要，请在此设置公式，引用至注释小表中期初/上期数的单元格。</t>
        </r>
      </text>
    </comment>
    <comment ref="N3349" authorId="2" shapeId="0">
      <text>
        <r>
          <rPr>
            <b/>
            <sz val="9"/>
            <color indexed="81"/>
            <rFont val="宋体"/>
            <family val="3"/>
            <charset val="134"/>
          </rPr>
          <t>胡晓明:
如需要，请在此设置公式，引用至注释小表中期初/上期数的单元格。</t>
        </r>
      </text>
    </comment>
    <comment ref="N3359" authorId="2" shapeId="0">
      <text>
        <r>
          <rPr>
            <b/>
            <sz val="9"/>
            <color indexed="81"/>
            <rFont val="宋体"/>
            <family val="3"/>
            <charset val="134"/>
          </rPr>
          <t>胡晓明:
如需要，请在此设置公式，引用至注释小表中期初/上期数的单元格。</t>
        </r>
      </text>
    </comment>
    <comment ref="S3359"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09"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1"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69" authorId="0" shapeId="0">
      <text>
        <r>
          <rPr>
            <b/>
            <sz val="9"/>
            <color indexed="81"/>
            <rFont val="Tahoma"/>
            <family val="2"/>
          </rPr>
          <t>未解决注释间差异合计。
注：本表中的“差异”，如未 √ 以示确认，则为“未解决注释间差异（存疑差异）”。</t>
        </r>
      </text>
    </comment>
    <comment ref="N3471" authorId="2" shapeId="0">
      <text>
        <r>
          <rPr>
            <b/>
            <sz val="9"/>
            <color indexed="81"/>
            <rFont val="宋体"/>
            <family val="3"/>
            <charset val="134"/>
          </rPr>
          <t>胡晓明:
如需要，请在此设置公式，引用至注释小表中期初/上期数的单元格。</t>
        </r>
      </text>
    </comment>
    <comment ref="N3481" authorId="2" shapeId="0">
      <text>
        <r>
          <rPr>
            <b/>
            <sz val="9"/>
            <color indexed="81"/>
            <rFont val="宋体"/>
            <family val="3"/>
            <charset val="134"/>
          </rPr>
          <t>胡晓明:
如需要，请在此设置公式，引用至注释小表中期初/上期数的单元格。</t>
        </r>
      </text>
    </comment>
    <comment ref="K3491" authorId="2" shapeId="0">
      <text>
        <r>
          <rPr>
            <b/>
            <sz val="9"/>
            <color indexed="81"/>
            <rFont val="宋体"/>
            <family val="3"/>
            <charset val="134"/>
          </rPr>
          <t>胡晓明:
如需要，请在此设置公式，引用至注释小表中期末/本期数的单元格。</t>
        </r>
      </text>
    </comment>
    <comment ref="N3491" authorId="2" shapeId="0">
      <text>
        <r>
          <rPr>
            <b/>
            <sz val="9"/>
            <color indexed="81"/>
            <rFont val="宋体"/>
            <family val="3"/>
            <charset val="134"/>
          </rPr>
          <t>胡晓明:
如需要，请在此设置公式，引用至注释小表中期初/上期数的单元格。</t>
        </r>
      </text>
    </comment>
    <comment ref="N3501" authorId="2" shapeId="0">
      <text>
        <r>
          <rPr>
            <b/>
            <sz val="9"/>
            <color indexed="81"/>
            <rFont val="宋体"/>
            <family val="3"/>
            <charset val="134"/>
          </rPr>
          <t>胡晓明:
如需要，请在此设置公式，引用至注释小表中期初/上期数的单元格。</t>
        </r>
      </text>
    </comment>
    <comment ref="N3511" authorId="2" shapeId="0">
      <text>
        <r>
          <rPr>
            <b/>
            <sz val="9"/>
            <color indexed="81"/>
            <rFont val="宋体"/>
            <family val="3"/>
            <charset val="134"/>
          </rPr>
          <t>胡晓明:
如需要，请在此设置公式，引用至注释小表中期初/上期数的单元格。</t>
        </r>
      </text>
    </comment>
    <comment ref="G3556" authorId="0" shapeId="0">
      <text>
        <r>
          <rPr>
            <b/>
            <sz val="9"/>
            <color indexed="81"/>
            <rFont val="Tahoma"/>
            <family val="2"/>
          </rPr>
          <t>未解决注释间差异合计。
注：本表中的“差异”，如未 √ 以示确认，则为“未解决注释间差异（存疑差异）”。</t>
        </r>
      </text>
    </comment>
    <comment ref="N3558" authorId="2" shapeId="0">
      <text>
        <r>
          <rPr>
            <b/>
            <sz val="9"/>
            <color indexed="81"/>
            <rFont val="宋体"/>
            <family val="3"/>
            <charset val="134"/>
          </rPr>
          <t>胡晓明:
如需要，请在此设置公式，引用至注释小表中期初/上期数的单元格。</t>
        </r>
      </text>
    </comment>
    <comment ref="N3568" authorId="2" shapeId="0">
      <text>
        <r>
          <rPr>
            <b/>
            <sz val="9"/>
            <color indexed="81"/>
            <rFont val="宋体"/>
            <family val="3"/>
            <charset val="134"/>
          </rPr>
          <t>胡晓明:
如需要，请在此设置公式，引用至注释小表中期初/上期数的单元格。</t>
        </r>
      </text>
    </comment>
    <comment ref="S356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1"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2"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3"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4"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78" authorId="1" shapeId="0">
      <text>
        <r>
          <rPr>
            <b/>
            <sz val="9"/>
            <color indexed="12"/>
            <rFont val="Tahoma"/>
            <family val="2"/>
          </rPr>
          <t>REAL Tips:
1</t>
        </r>
        <r>
          <rPr>
            <b/>
            <sz val="9"/>
            <color indexed="12"/>
            <rFont val="宋体"/>
            <family val="3"/>
            <charset val="134"/>
          </rPr>
          <t>、房地产开发企业增加披露本表</t>
        </r>
      </text>
    </comment>
    <comment ref="K3588" authorId="2" shapeId="0">
      <text>
        <r>
          <rPr>
            <b/>
            <sz val="9"/>
            <color indexed="81"/>
            <rFont val="宋体"/>
            <family val="3"/>
            <charset val="134"/>
          </rPr>
          <t>胡晓明:
如需要，请在此设置公式，引用至注释小表中期末/本期数的单元格。</t>
        </r>
      </text>
    </comment>
    <comment ref="N3588" authorId="2" shapeId="0">
      <text>
        <r>
          <rPr>
            <b/>
            <sz val="9"/>
            <color indexed="81"/>
            <rFont val="宋体"/>
            <family val="3"/>
            <charset val="134"/>
          </rPr>
          <t>胡晓明:
如需要，请在此设置公式，引用至注释小表中期初/上期数的单元格。</t>
        </r>
      </text>
    </comment>
    <comment ref="N3598" authorId="2" shapeId="0">
      <text>
        <r>
          <rPr>
            <b/>
            <sz val="9"/>
            <color indexed="81"/>
            <rFont val="宋体"/>
            <family val="3"/>
            <charset val="134"/>
          </rPr>
          <t>胡晓明:
如需要，请在此设置公式，引用至注释小表中期初/上期数的单元格。</t>
        </r>
      </text>
    </comment>
    <comment ref="S3617"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18"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28"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5" authorId="0" shapeId="0">
      <text>
        <r>
          <rPr>
            <b/>
            <sz val="9"/>
            <color indexed="81"/>
            <rFont val="Tahoma"/>
            <family val="2"/>
          </rPr>
          <t>未解决注释间差异合计。
注：本表中的“差异”，如未 √ 以示确认，则为“未解决注释间差异（存疑差异）”。</t>
        </r>
      </text>
    </comment>
    <comment ref="S365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79" authorId="0" shapeId="0">
      <text>
        <r>
          <rPr>
            <b/>
            <sz val="9"/>
            <color indexed="81"/>
            <rFont val="Tahoma"/>
            <family val="2"/>
          </rPr>
          <t>未解决注释间差异合计。
注：本表中的“差异”，如未 √ 以示确认，则为“未解决注释间差异（存疑差异）”。</t>
        </r>
      </text>
    </comment>
    <comment ref="S368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3"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27"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46"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0" authorId="2" shapeId="0">
      <text>
        <r>
          <rPr>
            <b/>
            <sz val="9"/>
            <color indexed="81"/>
            <rFont val="宋体"/>
            <family val="3"/>
            <charset val="134"/>
          </rPr>
          <t>胡晓明:
如需要，请在此设置公式，引用至注释小表中期末/本期数的单元格。</t>
        </r>
      </text>
    </comment>
    <comment ref="N3790" authorId="2" shapeId="0">
      <text>
        <r>
          <rPr>
            <b/>
            <sz val="9"/>
            <color indexed="81"/>
            <rFont val="宋体"/>
            <family val="3"/>
            <charset val="134"/>
          </rPr>
          <t>胡晓明:
如需要，请在此设置公式，引用至注释小表中期初/上期数的单元格。</t>
        </r>
      </text>
    </comment>
    <comment ref="N3818" authorId="2" shapeId="0">
      <text>
        <r>
          <rPr>
            <b/>
            <sz val="9"/>
            <color indexed="81"/>
            <rFont val="宋体"/>
            <family val="3"/>
            <charset val="134"/>
          </rPr>
          <t>胡晓明:
如需要，请在此设置公式，引用至注释小表中期初/上期数的单元格。</t>
        </r>
      </text>
    </comment>
    <comment ref="G3854" authorId="0" shapeId="0">
      <text>
        <r>
          <rPr>
            <b/>
            <sz val="9"/>
            <color indexed="81"/>
            <rFont val="Tahoma"/>
            <family val="2"/>
          </rPr>
          <t>未解决注释间差异合计。
注：本表中的“差异”，如未 √ 以示确认，则为“未解决注释间差异（存疑差异）”。</t>
        </r>
      </text>
    </comment>
    <comment ref="N3856" authorId="2" shapeId="0">
      <text>
        <r>
          <rPr>
            <b/>
            <sz val="9"/>
            <color indexed="81"/>
            <rFont val="宋体"/>
            <family val="3"/>
            <charset val="134"/>
          </rPr>
          <t>胡晓明:
如需要，请在此设置公式，引用至注释小表中期初/上期数的单元格。</t>
        </r>
      </text>
    </comment>
    <comment ref="N3866" authorId="2" shapeId="0">
      <text>
        <r>
          <rPr>
            <b/>
            <sz val="9"/>
            <color indexed="81"/>
            <rFont val="宋体"/>
            <family val="3"/>
            <charset val="134"/>
          </rPr>
          <t>胡晓明:
如需要，请在此设置公式，引用至注释小表中期初/上期数的单元格。</t>
        </r>
      </text>
    </comment>
    <comment ref="N3876" authorId="2" shapeId="0">
      <text>
        <r>
          <rPr>
            <b/>
            <sz val="9"/>
            <color indexed="81"/>
            <rFont val="宋体"/>
            <family val="3"/>
            <charset val="134"/>
          </rPr>
          <t>胡晓明:
如需要，请在此设置公式，引用至注释小表中期初/上期数的单元格。</t>
        </r>
      </text>
    </comment>
    <comment ref="K3886" authorId="2" shapeId="0">
      <text>
        <r>
          <rPr>
            <b/>
            <sz val="9"/>
            <color indexed="81"/>
            <rFont val="宋体"/>
            <family val="3"/>
            <charset val="134"/>
          </rPr>
          <t>胡晓明:
如需要，请在此设置公式，引用至注释小表中期末/本期数的单元格。</t>
        </r>
      </text>
    </comment>
    <comment ref="N3886" authorId="2" shapeId="0">
      <text>
        <r>
          <rPr>
            <b/>
            <sz val="9"/>
            <color indexed="81"/>
            <rFont val="宋体"/>
            <family val="3"/>
            <charset val="134"/>
          </rPr>
          <t>胡晓明:
如需要，请在此设置公式，引用至注释小表中期初/上期数的单元格。</t>
        </r>
      </text>
    </comment>
    <comment ref="N3896" authorId="2" shapeId="0">
      <text>
        <r>
          <rPr>
            <b/>
            <sz val="9"/>
            <color indexed="81"/>
            <rFont val="宋体"/>
            <family val="3"/>
            <charset val="134"/>
          </rPr>
          <t>胡晓明:
如需要，请在此设置公式，引用至注释小表中期初/上期数的单元格。</t>
        </r>
      </text>
    </comment>
    <comment ref="S3968"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4" authorId="1" shapeId="0">
      <text>
        <r>
          <rPr>
            <b/>
            <sz val="9"/>
            <rFont val="Tahoma"/>
            <family val="2"/>
          </rPr>
          <t>未解决注释间差异合计。
注：本表中的“差异”，如未 √ 以示确认，则为“未解决注释间差异（存疑差异）”。</t>
        </r>
      </text>
    </comment>
    <comment ref="N4010" authorId="2" shapeId="0">
      <text>
        <r>
          <rPr>
            <b/>
            <sz val="9"/>
            <color indexed="81"/>
            <rFont val="宋体"/>
            <family val="3"/>
            <charset val="134"/>
          </rPr>
          <t>胡晓明:
如需要，请在此设置公式，引用至注释小表中期初/上期数的单元格。</t>
        </r>
      </text>
    </comment>
    <comment ref="N4020" authorId="2" shapeId="0">
      <text>
        <r>
          <rPr>
            <b/>
            <sz val="9"/>
            <color indexed="81"/>
            <rFont val="宋体"/>
            <family val="3"/>
            <charset val="134"/>
          </rPr>
          <t>胡晓明:
如需要，请在此设置公式，引用至注释小表中期初/上期数的单元格。</t>
        </r>
      </text>
    </comment>
    <comment ref="N4030" authorId="2" shapeId="0">
      <text>
        <r>
          <rPr>
            <b/>
            <sz val="9"/>
            <color indexed="81"/>
            <rFont val="宋体"/>
            <family val="3"/>
            <charset val="134"/>
          </rPr>
          <t>胡晓明:
如需要，请在此设置公式，引用至注释小表中期初/上期数的单元格。</t>
        </r>
      </text>
    </comment>
    <comment ref="S4050"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1"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4" authorId="2" shapeId="0">
      <text>
        <r>
          <rPr>
            <b/>
            <sz val="9"/>
            <color indexed="81"/>
            <rFont val="宋体"/>
            <family val="3"/>
            <charset val="134"/>
          </rPr>
          <t>胡晓明:
如需要，请在此设置公式，引用至注释小表中期初/上期数的单元格。</t>
        </r>
      </text>
    </comment>
    <comment ref="S407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4" authorId="0" shapeId="0">
      <text>
        <r>
          <rPr>
            <b/>
            <sz val="9"/>
            <color indexed="81"/>
            <rFont val="Tahoma"/>
            <family val="2"/>
          </rPr>
          <t>未解决注释间差异合计。
注：本表中的“差异”，如未 √ 以示确认，则为“未解决注释间差异（存疑差异）”。</t>
        </r>
      </text>
    </comment>
    <comment ref="N4136" authorId="2" shapeId="0">
      <text>
        <r>
          <rPr>
            <b/>
            <sz val="9"/>
            <color indexed="81"/>
            <rFont val="宋体"/>
            <family val="3"/>
            <charset val="134"/>
          </rPr>
          <t>胡晓明:
如需要，请在此设置公式，引用至注释小表中期初/上期数的单元格。</t>
        </r>
      </text>
    </comment>
    <comment ref="S4147"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57" authorId="2" shapeId="0">
      <text>
        <r>
          <rPr>
            <b/>
            <sz val="9"/>
            <color indexed="81"/>
            <rFont val="宋体"/>
            <family val="3"/>
            <charset val="134"/>
          </rPr>
          <t>胡晓明:
如需要，请在此设置公式，引用至注释小表中期初/上期数的单元格。</t>
        </r>
      </text>
    </comment>
    <comment ref="K4178" authorId="2" shapeId="0">
      <text>
        <r>
          <rPr>
            <b/>
            <sz val="9"/>
            <color indexed="81"/>
            <rFont val="宋体"/>
            <family val="3"/>
            <charset val="134"/>
          </rPr>
          <t>胡晓明:
如需要，请在此设置公式，引用至注释小表中期末/本期数的单元格。</t>
        </r>
      </text>
    </comment>
    <comment ref="N4178" authorId="2" shapeId="0">
      <text>
        <r>
          <rPr>
            <b/>
            <sz val="9"/>
            <color indexed="81"/>
            <rFont val="宋体"/>
            <family val="3"/>
            <charset val="134"/>
          </rPr>
          <t>胡晓明:
如需要，请在此设置公式，引用至注释小表中期初/上期数的单元格。</t>
        </r>
      </text>
    </comment>
    <comment ref="K4198" authorId="2" shapeId="0">
      <text>
        <r>
          <rPr>
            <b/>
            <sz val="9"/>
            <color indexed="81"/>
            <rFont val="宋体"/>
            <family val="3"/>
            <charset val="134"/>
          </rPr>
          <t>胡晓明:
如需要，请在此设置公式，引用至注释小表中期末/本期数的单元格。</t>
        </r>
      </text>
    </comment>
    <comment ref="N4198" authorId="2" shapeId="0">
      <text>
        <r>
          <rPr>
            <b/>
            <sz val="9"/>
            <color indexed="81"/>
            <rFont val="宋体"/>
            <family val="3"/>
            <charset val="134"/>
          </rPr>
          <t>胡晓明:
如需要，请在此设置公式，引用至注释小表中期初/上期数的单元格。</t>
        </r>
      </text>
    </comment>
    <comment ref="S4198"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3" authorId="2" shapeId="0">
      <text>
        <r>
          <rPr>
            <b/>
            <sz val="9"/>
            <color indexed="81"/>
            <rFont val="宋体"/>
            <family val="3"/>
            <charset val="134"/>
          </rPr>
          <t>胡晓明:
如需要，请在此设置公式，引用至注释小表中期末/本期数的单元格。</t>
        </r>
      </text>
    </comment>
    <comment ref="N4213" authorId="2" shapeId="0">
      <text>
        <r>
          <rPr>
            <b/>
            <sz val="9"/>
            <color indexed="81"/>
            <rFont val="宋体"/>
            <family val="3"/>
            <charset val="134"/>
          </rPr>
          <t>胡晓明:
如需要，请在此设置公式，引用至注释小表中期初/上期数的单元格。</t>
        </r>
      </text>
    </comment>
    <comment ref="S4213"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2" authorId="2" shapeId="0">
      <text>
        <r>
          <rPr>
            <b/>
            <sz val="9"/>
            <color indexed="81"/>
            <rFont val="宋体"/>
            <family val="3"/>
            <charset val="134"/>
          </rPr>
          <t>胡晓明:
如需要，请在此设置公式，引用至注释小表中期末/本期数的单元格。</t>
        </r>
      </text>
    </comment>
    <comment ref="N4222" authorId="2" shapeId="0">
      <text>
        <r>
          <rPr>
            <b/>
            <sz val="9"/>
            <color indexed="81"/>
            <rFont val="宋体"/>
            <family val="3"/>
            <charset val="134"/>
          </rPr>
          <t>胡晓明:
如需要，请在此设置公式，引用至注释小表中期初/上期数的单元格。</t>
        </r>
      </text>
    </comment>
    <comment ref="S4224"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3" authorId="2" shapeId="0">
      <text>
        <r>
          <rPr>
            <b/>
            <sz val="9"/>
            <color indexed="81"/>
            <rFont val="宋体"/>
            <family val="3"/>
            <charset val="134"/>
          </rPr>
          <t>胡晓明:
如需要，请在此设置公式，引用至注释小表中期末/本期数的单元格。</t>
        </r>
      </text>
    </comment>
    <comment ref="N4233" authorId="2" shapeId="0">
      <text>
        <r>
          <rPr>
            <b/>
            <sz val="9"/>
            <color indexed="81"/>
            <rFont val="宋体"/>
            <family val="3"/>
            <charset val="134"/>
          </rPr>
          <t>胡晓明:
如需要，请在此设置公式，引用至注释小表中期初/上期数的单元格。</t>
        </r>
      </text>
    </comment>
    <comment ref="S4233"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47" authorId="1" shapeId="0">
      <text>
        <r>
          <rPr>
            <b/>
            <sz val="9"/>
            <color indexed="12"/>
            <rFont val="Tahoma"/>
            <family val="2"/>
          </rPr>
          <t>REAL Tips:
1</t>
        </r>
        <r>
          <rPr>
            <b/>
            <sz val="9"/>
            <color indexed="12"/>
            <rFont val="宋体"/>
            <family val="3"/>
            <charset val="134"/>
          </rPr>
          <t>、重要的预计负债，应披露相关重要假设、估计。</t>
        </r>
      </text>
    </comment>
    <comment ref="S4261"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69" authorId="2" shapeId="0">
      <text>
        <r>
          <rPr>
            <b/>
            <sz val="9"/>
            <color indexed="81"/>
            <rFont val="宋体"/>
            <family val="3"/>
            <charset val="134"/>
          </rPr>
          <t>胡晓明:
如需要，请在此设置公式，引用至注释小表中期末/本期数的单元格。</t>
        </r>
      </text>
    </comment>
    <comment ref="N4269" authorId="2" shapeId="0">
      <text>
        <r>
          <rPr>
            <b/>
            <sz val="9"/>
            <color indexed="81"/>
            <rFont val="宋体"/>
            <family val="3"/>
            <charset val="134"/>
          </rPr>
          <t>胡晓明:
如需要，请在此设置公式，引用至注释小表中期初/上期数的单元格。</t>
        </r>
      </text>
    </comment>
    <comment ref="S4269"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4" authorId="0" shapeId="0">
      <text>
        <r>
          <rPr>
            <b/>
            <sz val="9"/>
            <color indexed="81"/>
            <rFont val="Tahoma"/>
            <family val="2"/>
          </rPr>
          <t>未解决注释间差异合计。
注：本表中的“差异”，如未 √ 以示确认，则为“未解决注释间差异（存疑差异）”。</t>
        </r>
      </text>
    </comment>
    <comment ref="K4308" authorId="2" shapeId="0">
      <text>
        <r>
          <rPr>
            <b/>
            <sz val="9"/>
            <color indexed="81"/>
            <rFont val="宋体"/>
            <family val="3"/>
            <charset val="134"/>
          </rPr>
          <t>胡晓明:
如需要，请在此设置公式，引用至注释小表中期末/本期数的单元格。</t>
        </r>
      </text>
    </comment>
    <comment ref="N4308" authorId="2" shapeId="0">
      <text>
        <r>
          <rPr>
            <b/>
            <sz val="9"/>
            <color indexed="81"/>
            <rFont val="宋体"/>
            <family val="3"/>
            <charset val="134"/>
          </rPr>
          <t>胡晓明:
如需要，请在此设置公式，引用至注释小表中期初/上期数的单元格。</t>
        </r>
      </text>
    </comment>
    <comment ref="S4308"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0" authorId="2" shapeId="0">
      <text>
        <r>
          <rPr>
            <b/>
            <sz val="9"/>
            <color indexed="81"/>
            <rFont val="宋体"/>
            <family val="3"/>
            <charset val="134"/>
          </rPr>
          <t>胡晓明:
如需要，请在此设置公式，引用至注释小表中期初/上期数的单元格。</t>
        </r>
      </text>
    </comment>
    <comment ref="S4330"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0"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0"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2"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5"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5"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396"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3" authorId="1" shapeId="0">
      <text>
        <r>
          <rPr>
            <b/>
            <sz val="9"/>
            <color indexed="12"/>
            <rFont val="Tahoma"/>
            <family val="2"/>
          </rPr>
          <t>REAL Tips:
1</t>
        </r>
        <r>
          <rPr>
            <b/>
            <sz val="9"/>
            <color indexed="12"/>
            <rFont val="宋体"/>
            <family val="3"/>
            <charset val="134"/>
          </rPr>
          <t>、专项储备的变动情况、变动原因</t>
        </r>
      </text>
    </comment>
    <comment ref="G4444" authorId="1" shapeId="0">
      <text>
        <r>
          <rPr>
            <b/>
            <sz val="9"/>
            <color indexed="12"/>
            <rFont val="Tahoma"/>
            <family val="2"/>
          </rPr>
          <t xml:space="preserve">WPE Tips:
</t>
        </r>
        <r>
          <rPr>
            <b/>
            <sz val="9"/>
            <color indexed="12"/>
            <rFont val="宋体"/>
            <family val="3"/>
            <charset val="134"/>
          </rPr>
          <t>请注明具体项目</t>
        </r>
      </text>
    </comment>
    <comment ref="S4449" authorId="1" shapeId="0">
      <text>
        <r>
          <rPr>
            <b/>
            <sz val="9"/>
            <color indexed="12"/>
            <rFont val="Tahoma"/>
            <family val="2"/>
          </rPr>
          <t>REAL Tips:
1</t>
        </r>
        <r>
          <rPr>
            <b/>
            <sz val="9"/>
            <color indexed="12"/>
            <rFont val="宋体"/>
            <family val="3"/>
            <charset val="134"/>
          </rPr>
          <t>、一般风险准备情况说明</t>
        </r>
      </text>
    </comment>
    <comment ref="G4461" authorId="1" shapeId="0">
      <text>
        <r>
          <rPr>
            <b/>
            <sz val="9"/>
            <color indexed="12"/>
            <rFont val="Tahoma"/>
            <family val="2"/>
          </rPr>
          <t xml:space="preserve">WPE Tips:
</t>
        </r>
        <r>
          <rPr>
            <b/>
            <sz val="9"/>
            <color indexed="12"/>
            <rFont val="宋体"/>
            <family val="3"/>
            <charset val="134"/>
          </rPr>
          <t>本行被其他表链接，莫删莫删！</t>
        </r>
      </text>
    </comment>
    <comment ref="N4474" authorId="2" shapeId="0">
      <text>
        <r>
          <rPr>
            <b/>
            <sz val="9"/>
            <color indexed="81"/>
            <rFont val="宋体"/>
            <family val="3"/>
            <charset val="134"/>
          </rPr>
          <t>胡晓明:
如需要，请在此设置公式，引用至注释小表中期初/上期数的单元格。</t>
        </r>
      </text>
    </comment>
    <comment ref="S4474"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16" authorId="1" shapeId="0">
      <text>
        <r>
          <rPr>
            <b/>
            <sz val="9"/>
            <color indexed="12"/>
            <rFont val="Tahoma"/>
            <family val="2"/>
          </rPr>
          <t>REAL Tips:
1</t>
        </r>
        <r>
          <rPr>
            <b/>
            <sz val="9"/>
            <color indexed="12"/>
            <rFont val="宋体"/>
            <family val="3"/>
            <charset val="134"/>
          </rPr>
          <t>、如果企业没有报告分部，应在此处增加披露</t>
        </r>
      </text>
    </comment>
    <comment ref="G4538" authorId="1" shapeId="0">
      <text>
        <r>
          <rPr>
            <b/>
            <sz val="9"/>
            <rFont val="Tahoma"/>
            <family val="2"/>
          </rPr>
          <t>未解决注释间差异合计。
注：本表中的“差异”，如未 √ 以示确认，则为“未解决注释间差异（存疑差异）”。</t>
        </r>
      </text>
    </comment>
    <comment ref="S4540" authorId="1" shapeId="0">
      <text>
        <r>
          <rPr>
            <b/>
            <sz val="9"/>
            <color indexed="12"/>
            <rFont val="Tahoma"/>
            <family val="2"/>
          </rPr>
          <t>REAL Tips:
1</t>
        </r>
        <r>
          <rPr>
            <b/>
            <sz val="9"/>
            <color indexed="12"/>
            <rFont val="宋体"/>
            <family val="3"/>
            <charset val="134"/>
          </rPr>
          <t>、如果企业没有报告分部，应在此处增加披露</t>
        </r>
      </text>
    </comment>
    <comment ref="G4561" authorId="1" shapeId="0">
      <text>
        <r>
          <rPr>
            <b/>
            <sz val="9"/>
            <rFont val="Tahoma"/>
            <family val="2"/>
          </rPr>
          <t>未解决注释间差异合计。
注：本表中的“差异”，如未 √ 以示确认，则为“未解决注释间差异（存疑差异）”。</t>
        </r>
      </text>
    </comment>
    <comment ref="S4563" authorId="1" shapeId="0">
      <text>
        <r>
          <rPr>
            <b/>
            <sz val="9"/>
            <color indexed="12"/>
            <rFont val="Tahoma"/>
            <family val="2"/>
          </rPr>
          <t>REAL Tips:
1</t>
        </r>
        <r>
          <rPr>
            <b/>
            <sz val="9"/>
            <color indexed="12"/>
            <rFont val="宋体"/>
            <family val="3"/>
            <charset val="134"/>
          </rPr>
          <t>、如果企业没有报告分部，应在此处增加披露</t>
        </r>
      </text>
    </comment>
    <comment ref="G4580" authorId="1" shapeId="0">
      <text>
        <r>
          <rPr>
            <b/>
            <sz val="9"/>
            <rFont val="Tahoma"/>
            <family val="2"/>
          </rPr>
          <t>未解决注释间差异合计。
注：本表中的“差异”，如未 √ 以示确认，则为“未解决注释间差异（存疑差异）”。</t>
        </r>
      </text>
    </comment>
    <comment ref="K4582" authorId="2" shapeId="0">
      <text>
        <r>
          <rPr>
            <b/>
            <sz val="9"/>
            <color indexed="81"/>
            <rFont val="宋体"/>
            <family val="3"/>
            <charset val="134"/>
          </rPr>
          <t>胡晓明:
如需要，请在此设置公式，引用至注释小表中期末/本期数的单元格。</t>
        </r>
      </text>
    </comment>
    <comment ref="N4582" authorId="2" shapeId="0">
      <text>
        <r>
          <rPr>
            <b/>
            <sz val="9"/>
            <color indexed="81"/>
            <rFont val="宋体"/>
            <family val="3"/>
            <charset val="134"/>
          </rPr>
          <t>胡晓明:
如需要，请在此设置公式，引用至注释小表中期初/上期数的单元格。</t>
        </r>
      </text>
    </comment>
    <comment ref="K4597" authorId="2" shapeId="0">
      <text>
        <r>
          <rPr>
            <b/>
            <sz val="9"/>
            <color indexed="81"/>
            <rFont val="宋体"/>
            <family val="3"/>
            <charset val="134"/>
          </rPr>
          <t>胡晓明:
如需要，请在此设置公式，引用至注释小表中期末/本期数的单元格。</t>
        </r>
      </text>
    </comment>
    <comment ref="N4597" authorId="2" shapeId="0">
      <text>
        <r>
          <rPr>
            <b/>
            <sz val="9"/>
            <color indexed="81"/>
            <rFont val="宋体"/>
            <family val="3"/>
            <charset val="134"/>
          </rPr>
          <t>胡晓明:
如需要，请在此设置公式，引用至注释小表中期初/上期数的单元格。</t>
        </r>
      </text>
    </comment>
    <comment ref="S4663" authorId="1" shapeId="0">
      <text>
        <r>
          <rPr>
            <b/>
            <sz val="9"/>
            <color indexed="12"/>
            <rFont val="Tahoma"/>
            <family val="2"/>
          </rPr>
          <t>REAL Tips:
1</t>
        </r>
        <r>
          <rPr>
            <b/>
            <sz val="9"/>
            <color indexed="12"/>
            <rFont val="宋体"/>
            <family val="3"/>
            <charset val="134"/>
          </rPr>
          <t>、按费用性质列示</t>
        </r>
      </text>
    </comment>
    <comment ref="S4683" authorId="1" shapeId="0">
      <text>
        <r>
          <rPr>
            <b/>
            <sz val="9"/>
            <color indexed="12"/>
            <rFont val="Tahoma"/>
            <family val="2"/>
          </rPr>
          <t>REAL Tips:
1</t>
        </r>
        <r>
          <rPr>
            <b/>
            <sz val="9"/>
            <color indexed="12"/>
            <rFont val="宋体"/>
            <family val="3"/>
            <charset val="134"/>
          </rPr>
          <t>、按费用性质列示</t>
        </r>
      </text>
    </comment>
    <comment ref="S4694" authorId="1" shapeId="0">
      <text>
        <r>
          <rPr>
            <b/>
            <sz val="9"/>
            <color indexed="12"/>
            <rFont val="Tahoma"/>
            <family val="2"/>
          </rPr>
          <t>REAL Tips:
1</t>
        </r>
        <r>
          <rPr>
            <b/>
            <sz val="9"/>
            <color indexed="12"/>
            <rFont val="宋体"/>
            <family val="3"/>
            <charset val="134"/>
          </rPr>
          <t>、按费用性质列示</t>
        </r>
      </text>
    </comment>
    <comment ref="S4714" authorId="1" shapeId="0">
      <text>
        <r>
          <rPr>
            <b/>
            <sz val="9"/>
            <color indexed="12"/>
            <rFont val="Tahoma"/>
            <family val="2"/>
          </rPr>
          <t>REAL Tips:
1</t>
        </r>
        <r>
          <rPr>
            <b/>
            <sz val="9"/>
            <color indexed="12"/>
            <rFont val="宋体"/>
            <family val="3"/>
            <charset val="134"/>
          </rPr>
          <t>、按费用性质列示</t>
        </r>
      </text>
    </comment>
    <comment ref="S4750"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5"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796" authorId="0" shapeId="0">
      <text>
        <r>
          <rPr>
            <b/>
            <sz val="9"/>
            <color indexed="81"/>
            <rFont val="Tahoma"/>
            <family val="2"/>
          </rPr>
          <t>未解决注释间差异合计。
注：本表中的“差异”，如未 √ 以示确认，则为“未解决注释间差异（存疑差异）”。</t>
        </r>
      </text>
    </comment>
    <comment ref="S492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41" authorId="1" shapeId="0">
      <text>
        <r>
          <rPr>
            <b/>
            <sz val="9"/>
            <rFont val="Tahoma"/>
            <family val="2"/>
          </rPr>
          <t>未解决注释间差异合计。
注：本表中的“差异”，如未 √ 以示确认，则为“未解决注释间差异（存疑差异）”。</t>
        </r>
      </text>
    </comment>
    <comment ref="K4998" authorId="2" shapeId="0">
      <text>
        <r>
          <rPr>
            <b/>
            <sz val="9"/>
            <color indexed="81"/>
            <rFont val="宋体"/>
            <family val="3"/>
            <charset val="134"/>
          </rPr>
          <t>胡晓明:
如需要，请在此设置公式，引用至注释小表中期末/本期数的单元格。</t>
        </r>
      </text>
    </comment>
    <comment ref="N4998" authorId="2" shapeId="0">
      <text>
        <r>
          <rPr>
            <b/>
            <sz val="9"/>
            <color indexed="81"/>
            <rFont val="宋体"/>
            <family val="3"/>
            <charset val="134"/>
          </rPr>
          <t>胡晓明:
如需要，请在此设置公式，引用至注释小表中期初/上期数的单元格。</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96" authorId="2" shapeId="0">
      <text>
        <r>
          <rPr>
            <b/>
            <sz val="9"/>
            <color indexed="81"/>
            <rFont val="宋体"/>
            <family val="3"/>
            <charset val="134"/>
          </rPr>
          <t>胡晓明:
如需要，请在此设置公式，引用至注释小表中期末/本期数的单元格。</t>
        </r>
      </text>
    </comment>
    <comment ref="N5096" authorId="2" shapeId="0">
      <text>
        <r>
          <rPr>
            <b/>
            <sz val="9"/>
            <color indexed="81"/>
            <rFont val="宋体"/>
            <family val="3"/>
            <charset val="134"/>
          </rPr>
          <t>胡晓明:
如需要，请在此设置公式，引用至注释小表中期初/上期数的单元格。</t>
        </r>
      </text>
    </comment>
    <comment ref="K5119" authorId="2" shapeId="0">
      <text>
        <r>
          <rPr>
            <b/>
            <sz val="9"/>
            <color indexed="81"/>
            <rFont val="宋体"/>
            <family val="3"/>
            <charset val="134"/>
          </rPr>
          <t>胡晓明:
如需要，请在此设置公式，引用至注释小表中期末/本期数的单元格。</t>
        </r>
      </text>
    </comment>
    <comment ref="N5119" authorId="2" shapeId="0">
      <text>
        <r>
          <rPr>
            <b/>
            <sz val="9"/>
            <color indexed="81"/>
            <rFont val="宋体"/>
            <family val="3"/>
            <charset val="134"/>
          </rPr>
          <t>胡晓明:
如需要，请在此设置公式，引用至注释小表中期初/上期数的单元格。</t>
        </r>
      </text>
    </comment>
    <comment ref="K5127" authorId="2" shapeId="0">
      <text>
        <r>
          <rPr>
            <b/>
            <sz val="9"/>
            <color indexed="81"/>
            <rFont val="宋体"/>
            <family val="3"/>
            <charset val="134"/>
          </rPr>
          <t>胡晓明:
如需要，请在此设置公式，引用至注释小表中期末/本期数的单元格。</t>
        </r>
      </text>
    </comment>
    <comment ref="N5127" authorId="2" shapeId="0">
      <text>
        <r>
          <rPr>
            <b/>
            <sz val="9"/>
            <color indexed="81"/>
            <rFont val="宋体"/>
            <family val="3"/>
            <charset val="134"/>
          </rPr>
          <t>胡晓明:
如需要，请在此设置公式，引用至注释小表中期初/上期数的单元格。</t>
        </r>
      </text>
    </comment>
    <comment ref="K5136" authorId="2" shapeId="0">
      <text>
        <r>
          <rPr>
            <b/>
            <sz val="9"/>
            <color indexed="81"/>
            <rFont val="宋体"/>
            <family val="3"/>
            <charset val="134"/>
          </rPr>
          <t>胡晓明:
如需要，请在此设置公式，引用至注释小表中期末/本期数的单元格。</t>
        </r>
      </text>
    </comment>
    <comment ref="N5136"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S515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72" authorId="2" shapeId="0">
      <text>
        <r>
          <rPr>
            <b/>
            <sz val="9"/>
            <color indexed="81"/>
            <rFont val="宋体"/>
            <family val="3"/>
            <charset val="134"/>
          </rPr>
          <t>胡晓明:
如需要，请在此设置公式，引用至注释小表中期末/本期数的单元格。</t>
        </r>
      </text>
    </comment>
    <comment ref="N5172" authorId="2" shapeId="0">
      <text>
        <r>
          <rPr>
            <b/>
            <sz val="9"/>
            <color indexed="81"/>
            <rFont val="宋体"/>
            <family val="3"/>
            <charset val="134"/>
          </rPr>
          <t>胡晓明:
如需要，请在此设置公式，引用至注释小表中期初/上期数的单元格。</t>
        </r>
      </text>
    </comment>
    <comment ref="K5183" authorId="2" shapeId="0">
      <text>
        <r>
          <rPr>
            <b/>
            <sz val="9"/>
            <color indexed="81"/>
            <rFont val="宋体"/>
            <family val="3"/>
            <charset val="134"/>
          </rPr>
          <t>胡晓明:
如需要，请在此设置公式，引用至注释小表中期末/本期数的单元格。</t>
        </r>
      </text>
    </comment>
    <comment ref="N5183" authorId="2" shapeId="0">
      <text>
        <r>
          <rPr>
            <b/>
            <sz val="9"/>
            <color indexed="81"/>
            <rFont val="宋体"/>
            <family val="3"/>
            <charset val="134"/>
          </rPr>
          <t>胡晓明:
如需要，请在此设置公式，引用至注释小表中期初/上期数的单元格。</t>
        </r>
      </text>
    </comment>
    <comment ref="S518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194" authorId="2" shapeId="0">
      <text>
        <r>
          <rPr>
            <b/>
            <sz val="9"/>
            <color indexed="81"/>
            <rFont val="宋体"/>
            <family val="3"/>
            <charset val="134"/>
          </rPr>
          <t>胡晓明:
如需要，请在此设置公式，引用至注释小表中期末/本期数的单元格。</t>
        </r>
      </text>
    </comment>
    <comment ref="N5194" authorId="2" shapeId="0">
      <text>
        <r>
          <rPr>
            <b/>
            <sz val="9"/>
            <color indexed="81"/>
            <rFont val="宋体"/>
            <family val="3"/>
            <charset val="134"/>
          </rPr>
          <t>胡晓明:
如需要，请在此设置公式，引用至注释小表中期初/上期数的单元格。</t>
        </r>
      </text>
    </comment>
    <comment ref="K5208" authorId="2" shapeId="0">
      <text>
        <r>
          <rPr>
            <b/>
            <sz val="9"/>
            <color indexed="81"/>
            <rFont val="宋体"/>
            <family val="3"/>
            <charset val="134"/>
          </rPr>
          <t>胡晓明:
如需要，请在此设置公式，引用至注释小表中期末/本期数的单元格。</t>
        </r>
      </text>
    </comment>
    <comment ref="N5208" authorId="2" shapeId="0">
      <text>
        <r>
          <rPr>
            <b/>
            <sz val="9"/>
            <color indexed="81"/>
            <rFont val="宋体"/>
            <family val="3"/>
            <charset val="134"/>
          </rPr>
          <t>胡晓明:
如需要，请在此设置公式，引用至注释小表中期初/上期数的单元格。</t>
        </r>
      </text>
    </comment>
    <comment ref="S520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54" authorId="2" shapeId="0">
      <text>
        <r>
          <rPr>
            <b/>
            <sz val="9"/>
            <color indexed="81"/>
            <rFont val="宋体"/>
            <family val="3"/>
            <charset val="134"/>
          </rPr>
          <t>胡晓明:
如需要，请在此设置公式，引用至注释小表中期末/本期数的单元格。</t>
        </r>
      </text>
    </comment>
    <comment ref="N5454" authorId="2" shapeId="0">
      <text>
        <r>
          <rPr>
            <b/>
            <sz val="9"/>
            <color indexed="81"/>
            <rFont val="宋体"/>
            <family val="3"/>
            <charset val="134"/>
          </rPr>
          <t>胡晓明:
如需要，请在此设置公式，引用至注释小表中期初/上期数的单元格。</t>
        </r>
      </text>
    </comment>
    <comment ref="S545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48" authorId="2" shapeId="0">
      <text>
        <r>
          <rPr>
            <b/>
            <sz val="9"/>
            <color indexed="81"/>
            <rFont val="宋体"/>
            <family val="3"/>
            <charset val="134"/>
          </rPr>
          <t>胡晓明:
如需要，请在此设置公式，引用至注释小表中期初/上期数的单元格。</t>
        </r>
      </text>
    </comment>
    <comment ref="N5557" authorId="2" shapeId="0">
      <text>
        <r>
          <rPr>
            <b/>
            <sz val="9"/>
            <color indexed="81"/>
            <rFont val="宋体"/>
            <family val="3"/>
            <charset val="134"/>
          </rPr>
          <t>胡晓明:
如需要，请在此设置公式，引用至注释小表中期初/上期数的单元格。</t>
        </r>
      </text>
    </comment>
    <comment ref="K5575" authorId="2" shapeId="0">
      <text>
        <r>
          <rPr>
            <b/>
            <sz val="9"/>
            <color indexed="81"/>
            <rFont val="宋体"/>
            <family val="3"/>
            <charset val="134"/>
          </rPr>
          <t>胡晓明:
如需要，请在此设置公式，引用至注释小表中期末/本期数的单元格。</t>
        </r>
      </text>
    </comment>
    <comment ref="N5575" authorId="2" shapeId="0">
      <text>
        <r>
          <rPr>
            <b/>
            <sz val="9"/>
            <color indexed="81"/>
            <rFont val="宋体"/>
            <family val="3"/>
            <charset val="134"/>
          </rPr>
          <t>胡晓明:
如需要，请在此设置公式，引用至注释小表中期初/上期数的单元格。</t>
        </r>
      </text>
    </comment>
    <comment ref="K5601" authorId="2" shapeId="0">
      <text>
        <r>
          <rPr>
            <b/>
            <sz val="9"/>
            <color indexed="81"/>
            <rFont val="宋体"/>
            <family val="3"/>
            <charset val="134"/>
          </rPr>
          <t>胡晓明:
如需要，请在此设置公式，引用至注释小表中期末/本期数的单元格。</t>
        </r>
      </text>
    </comment>
    <comment ref="N5601" authorId="2" shapeId="0">
      <text>
        <r>
          <rPr>
            <b/>
            <sz val="9"/>
            <color indexed="81"/>
            <rFont val="宋体"/>
            <family val="3"/>
            <charset val="134"/>
          </rPr>
          <t>胡晓明:
如需要，请在此设置公式，引用至注释小表中期初/上期数的单元格。</t>
        </r>
      </text>
    </comment>
    <comment ref="S560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47" authorId="2" shapeId="0">
      <text>
        <r>
          <rPr>
            <b/>
            <sz val="9"/>
            <color indexed="81"/>
            <rFont val="宋体"/>
            <family val="3"/>
            <charset val="134"/>
          </rPr>
          <t>胡晓明:
如需要，请在此设置公式，引用至注释小表中期末/本期数的单元格。</t>
        </r>
      </text>
    </comment>
    <comment ref="N5647" authorId="2" shapeId="0">
      <text>
        <r>
          <rPr>
            <b/>
            <sz val="9"/>
            <color indexed="81"/>
            <rFont val="宋体"/>
            <family val="3"/>
            <charset val="134"/>
          </rPr>
          <t>胡晓明:
如需要，请在此设置公式，引用至注释小表中期初/上期数的单元格。</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G5740" authorId="1" shapeId="0">
      <text>
        <r>
          <rPr>
            <sz val="9"/>
            <rFont val="Tahoma"/>
            <family val="2"/>
          </rPr>
          <t xml:space="preserve">
</t>
        </r>
        <r>
          <rPr>
            <sz val="9"/>
            <rFont val="宋体"/>
            <family val="3"/>
            <charset val="134"/>
          </rPr>
          <t>注：一般不按具体人列示</t>
        </r>
      </text>
    </comment>
    <comment ref="K5774" authorId="2" shapeId="0">
      <text>
        <r>
          <rPr>
            <b/>
            <sz val="9"/>
            <color indexed="81"/>
            <rFont val="宋体"/>
            <family val="3"/>
            <charset val="134"/>
          </rPr>
          <t>胡晓明:
如需要，请在此设置公式，引用至注释小表中期末/本期数的单元格。</t>
        </r>
      </text>
    </comment>
    <comment ref="N5774" authorId="2" shapeId="0">
      <text>
        <r>
          <rPr>
            <b/>
            <sz val="9"/>
            <color indexed="81"/>
            <rFont val="宋体"/>
            <family val="3"/>
            <charset val="134"/>
          </rPr>
          <t>胡晓明:
如需要，请在此设置公式，引用至注释小表中期初/上期数的单元格。</t>
        </r>
      </text>
    </comment>
    <comment ref="S580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36" authorId="2" shapeId="0">
      <text>
        <r>
          <rPr>
            <b/>
            <sz val="9"/>
            <color indexed="81"/>
            <rFont val="宋体"/>
            <family val="3"/>
            <charset val="134"/>
          </rPr>
          <t>胡晓明:
如需要，请在此设置公式，引用至注释小表中期末/本期数的单元格。</t>
        </r>
      </text>
    </comment>
    <comment ref="N5836" authorId="2" shapeId="0">
      <text>
        <r>
          <rPr>
            <b/>
            <sz val="9"/>
            <color indexed="81"/>
            <rFont val="宋体"/>
            <family val="3"/>
            <charset val="134"/>
          </rPr>
          <t>胡晓明:
如需要，请在此设置公式，引用至注释小表中期初/上期数的单元格。</t>
        </r>
      </text>
    </comment>
    <comment ref="S583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S585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68" authorId="2" shapeId="0">
      <text>
        <r>
          <rPr>
            <b/>
            <sz val="9"/>
            <color indexed="81"/>
            <rFont val="宋体"/>
            <family val="3"/>
            <charset val="134"/>
          </rPr>
          <t>胡晓明:
如需要，请在此设置公式，引用至注释小表中期初/上期数的单元格。</t>
        </r>
      </text>
    </comment>
    <comment ref="N5879" authorId="2" shapeId="0">
      <text>
        <r>
          <rPr>
            <b/>
            <sz val="9"/>
            <color indexed="81"/>
            <rFont val="宋体"/>
            <family val="3"/>
            <charset val="134"/>
          </rPr>
          <t>胡晓明:
如需要，请在此设置公式，引用至注释小表中期初/上期数的单元格。</t>
        </r>
      </text>
    </comment>
    <comment ref="N5890" authorId="2" shapeId="0">
      <text>
        <r>
          <rPr>
            <b/>
            <sz val="9"/>
            <color indexed="81"/>
            <rFont val="宋体"/>
            <family val="3"/>
            <charset val="134"/>
          </rPr>
          <t>胡晓明:
如需要，请在此设置公式，引用至注释小表中期初/上期数的单元格。</t>
        </r>
      </text>
    </comment>
    <comment ref="N5901" authorId="2" shapeId="0">
      <text>
        <r>
          <rPr>
            <b/>
            <sz val="9"/>
            <color indexed="81"/>
            <rFont val="宋体"/>
            <family val="3"/>
            <charset val="134"/>
          </rPr>
          <t>胡晓明:
如需要，请在此设置公式，引用至注释小表中期初/上期数的单元格。</t>
        </r>
      </text>
    </comment>
    <comment ref="N5912" authorId="2" shapeId="0">
      <text>
        <r>
          <rPr>
            <b/>
            <sz val="9"/>
            <color indexed="81"/>
            <rFont val="宋体"/>
            <family val="3"/>
            <charset val="134"/>
          </rPr>
          <t>胡晓明:
如需要，请在此设置公式，引用至注释小表中期初/上期数的单元格。</t>
        </r>
      </text>
    </comment>
    <comment ref="N5923" authorId="2" shapeId="0">
      <text>
        <r>
          <rPr>
            <b/>
            <sz val="9"/>
            <color indexed="81"/>
            <rFont val="宋体"/>
            <family val="3"/>
            <charset val="134"/>
          </rPr>
          <t>胡晓明:
如需要，请在此设置公式，引用至注释小表中期初/上期数的单元格。</t>
        </r>
      </text>
    </comment>
    <comment ref="N5934" authorId="2" shapeId="0">
      <text>
        <r>
          <rPr>
            <b/>
            <sz val="9"/>
            <color indexed="81"/>
            <rFont val="宋体"/>
            <family val="3"/>
            <charset val="134"/>
          </rPr>
          <t>胡晓明:
如需要，请在此设置公式，引用至注释小表中期初/上期数的单元格。</t>
        </r>
      </text>
    </comment>
    <comment ref="N5945" authorId="2" shapeId="0">
      <text>
        <r>
          <rPr>
            <b/>
            <sz val="9"/>
            <color indexed="81"/>
            <rFont val="宋体"/>
            <family val="3"/>
            <charset val="134"/>
          </rPr>
          <t>胡晓明:
如需要，请在此设置公式，引用至注释小表中期初/上期数的单元格。</t>
        </r>
      </text>
    </comment>
    <comment ref="N5956" authorId="2" shapeId="0">
      <text>
        <r>
          <rPr>
            <b/>
            <sz val="9"/>
            <color indexed="81"/>
            <rFont val="宋体"/>
            <family val="3"/>
            <charset val="134"/>
          </rPr>
          <t>胡晓明:
如需要，请在此设置公式，引用至注释小表中期初/上期数的单元格。</t>
        </r>
      </text>
    </comment>
    <comment ref="N5975" authorId="2" shapeId="0">
      <text>
        <r>
          <rPr>
            <b/>
            <sz val="9"/>
            <color indexed="81"/>
            <rFont val="宋体"/>
            <family val="3"/>
            <charset val="134"/>
          </rPr>
          <t>胡晓明:
如需要，请在此设置公式，引用至注释小表中期初/上期数的单元格。</t>
        </r>
      </text>
    </comment>
    <comment ref="N5996" authorId="2" shapeId="0">
      <text>
        <r>
          <rPr>
            <b/>
            <sz val="9"/>
            <color indexed="81"/>
            <rFont val="宋体"/>
            <family val="3"/>
            <charset val="134"/>
          </rPr>
          <t>胡晓明:
如需要，请在此设置公式，引用至注释小表中期初/上期数的单元格。</t>
        </r>
      </text>
    </comment>
    <comment ref="N6007" authorId="2" shapeId="0">
      <text>
        <r>
          <rPr>
            <b/>
            <sz val="9"/>
            <color indexed="81"/>
            <rFont val="宋体"/>
            <family val="3"/>
            <charset val="134"/>
          </rPr>
          <t>胡晓明:
如需要，请在此设置公式，引用至注释小表中期初/上期数的单元格。</t>
        </r>
      </text>
    </comment>
    <comment ref="N6019" authorId="2" shapeId="0">
      <text>
        <r>
          <rPr>
            <b/>
            <sz val="9"/>
            <color indexed="81"/>
            <rFont val="宋体"/>
            <family val="3"/>
            <charset val="134"/>
          </rPr>
          <t>胡晓明:
如需要，请在此设置公式，引用至注释小表中期初/上期数的单元格。</t>
        </r>
      </text>
    </comment>
    <comment ref="N6031" authorId="2" shapeId="0">
      <text>
        <r>
          <rPr>
            <b/>
            <sz val="9"/>
            <color indexed="81"/>
            <rFont val="宋体"/>
            <family val="3"/>
            <charset val="134"/>
          </rPr>
          <t>胡晓明:
如需要，请在此设置公式，引用至注释小表中期初/上期数的单元格。</t>
        </r>
      </text>
    </comment>
    <comment ref="N6054" authorId="2" shapeId="0">
      <text>
        <r>
          <rPr>
            <b/>
            <sz val="9"/>
            <color indexed="81"/>
            <rFont val="宋体"/>
            <family val="3"/>
            <charset val="134"/>
          </rPr>
          <t>胡晓明:
如需要，请在此设置公式，引用至注释小表中期初/上期数的单元格。</t>
        </r>
      </text>
    </comment>
    <comment ref="N6063" authorId="2" shapeId="0">
      <text>
        <r>
          <rPr>
            <b/>
            <sz val="9"/>
            <color indexed="81"/>
            <rFont val="宋体"/>
            <family val="3"/>
            <charset val="134"/>
          </rPr>
          <t>胡晓明:
如需要，请在此设置公式，引用至注释小表中期初/上期数的单元格。</t>
        </r>
      </text>
    </comment>
    <comment ref="N6074" authorId="2" shapeId="0">
      <text>
        <r>
          <rPr>
            <b/>
            <sz val="9"/>
            <color indexed="81"/>
            <rFont val="宋体"/>
            <family val="3"/>
            <charset val="134"/>
          </rPr>
          <t>胡晓明:
如需要，请在此设置公式，引用至注释小表中期初/上期数的单元格。</t>
        </r>
      </text>
    </comment>
    <comment ref="N6083" authorId="2" shapeId="0">
      <text>
        <r>
          <rPr>
            <b/>
            <sz val="9"/>
            <color indexed="81"/>
            <rFont val="宋体"/>
            <family val="3"/>
            <charset val="134"/>
          </rPr>
          <t>胡晓明:
如需要，请在此设置公式，引用至注释小表中期初/上期数的单元格。</t>
        </r>
      </text>
    </comment>
    <comment ref="N6092" authorId="2" shapeId="0">
      <text>
        <r>
          <rPr>
            <b/>
            <sz val="9"/>
            <color indexed="81"/>
            <rFont val="宋体"/>
            <family val="3"/>
            <charset val="134"/>
          </rPr>
          <t>胡晓明:
如需要，请在此设置公式，引用至注释小表中期初/上期数的单元格。</t>
        </r>
      </text>
    </comment>
    <comment ref="N6106"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5" authorId="2" shapeId="0">
      <text>
        <r>
          <rPr>
            <b/>
            <sz val="9"/>
            <color indexed="81"/>
            <rFont val="宋体"/>
            <family val="3"/>
            <charset val="134"/>
          </rPr>
          <t>胡晓明:
如需要，请在此设置公式，引用至注释小表中期初/上期数的单元格。</t>
        </r>
      </text>
    </comment>
    <comment ref="N6136" authorId="2" shapeId="0">
      <text>
        <r>
          <rPr>
            <b/>
            <sz val="9"/>
            <color indexed="81"/>
            <rFont val="宋体"/>
            <family val="3"/>
            <charset val="134"/>
          </rPr>
          <t>胡晓明:
如需要，请在此设置公式，引用至注释小表中期初/上期数的单元格。</t>
        </r>
      </text>
    </comment>
    <comment ref="N6145" authorId="2" shapeId="0">
      <text>
        <r>
          <rPr>
            <b/>
            <sz val="9"/>
            <color indexed="81"/>
            <rFont val="宋体"/>
            <family val="3"/>
            <charset val="134"/>
          </rPr>
          <t>胡晓明:
如需要，请在此设置公式，引用至注释小表中期初/上期数的单元格。</t>
        </r>
      </text>
    </comment>
    <comment ref="N6154" authorId="2" shapeId="0">
      <text>
        <r>
          <rPr>
            <b/>
            <sz val="9"/>
            <color indexed="81"/>
            <rFont val="宋体"/>
            <family val="3"/>
            <charset val="134"/>
          </rPr>
          <t>胡晓明:
如需要，请在此设置公式，引用至注释小表中期初/上期数的单元格。</t>
        </r>
      </text>
    </comment>
    <comment ref="N6163" authorId="2" shapeId="0">
      <text>
        <r>
          <rPr>
            <b/>
            <sz val="9"/>
            <color indexed="81"/>
            <rFont val="宋体"/>
            <family val="3"/>
            <charset val="134"/>
          </rPr>
          <t>胡晓明:
如需要，请在此设置公式，引用至注释小表中期初/上期数的单元格。</t>
        </r>
      </text>
    </comment>
    <comment ref="N6185" authorId="2" shapeId="0">
      <text>
        <r>
          <rPr>
            <b/>
            <sz val="9"/>
            <color indexed="81"/>
            <rFont val="宋体"/>
            <family val="3"/>
            <charset val="134"/>
          </rPr>
          <t>胡晓明:
如需要，请在此设置公式，引用至注释小表中期初/上期数的单元格。</t>
        </r>
      </text>
    </comment>
    <comment ref="N6212" authorId="2" shapeId="0">
      <text>
        <r>
          <rPr>
            <b/>
            <sz val="9"/>
            <color indexed="81"/>
            <rFont val="宋体"/>
            <family val="3"/>
            <charset val="134"/>
          </rPr>
          <t>胡晓明:
如需要，请在此设置公式，引用至注释小表中期初/上期数的单元格。</t>
        </r>
      </text>
    </comment>
    <comment ref="N6241" authorId="2" shapeId="0">
      <text>
        <r>
          <rPr>
            <b/>
            <sz val="9"/>
            <color indexed="81"/>
            <rFont val="宋体"/>
            <family val="3"/>
            <charset val="134"/>
          </rPr>
          <t>胡晓明:
如需要，请在此设置公式，引用至注释小表中期初/上期数的单元格。</t>
        </r>
      </text>
    </comment>
  </commentList>
</comments>
</file>

<file path=xl/comments20.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1.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2.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4.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5.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6.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7.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8.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29.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<sst xmlns="http://schemas.openxmlformats.org/spreadsheetml/2006/main" count="42322" uniqueCount="6844">
  <si>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</si>
  <si>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</si>
  <si>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</si>
  <si>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</si>
  <si>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</si>
  <si>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</si>
  <si>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</si>
  <si>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</si>
  <si>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</si>
  <si>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</si>
  <si>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</si>
  <si>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</si>
  <si>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</si>
  <si>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</si>
  <si>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</si>
  <si>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</si>
  <si>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</si>
  <si>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</si>
  <si>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</si>
  <si>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</si>
  <si>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</si>
  <si>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</si>
  <si>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</si>
  <si>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</si>
  <si>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</si>
  <si>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</si>
  <si>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</si>
  <si>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</si>
  <si>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</si>
  <si>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</si>
  <si>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</si>
  <si>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</si>
  <si>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</si>
  <si>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</si>
  <si>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</si>
  <si>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</si>
  <si>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</si>
  <si>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</si>
  <si>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</si>
  <si>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</si>
  <si>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</si>
  <si>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</si>
  <si>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</si>
  <si>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</si>
  <si>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</si>
  <si>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</si>
  <si>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</si>
  <si>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</si>
  <si>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</si>
  <si>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</si>
  <si>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</si>
  <si>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</si>
  <si>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</si>
  <si>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</si>
  <si>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</si>
  <si>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</si>
  <si>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</si>
  <si>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</si>
  <si>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</si>
  <si>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</si>
  <si>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</si>
  <si>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</si>
  <si>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</si>
  <si>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</si>
  <si>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</si>
  <si>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</si>
  <si>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</si>
  <si>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</si>
  <si>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</si>
  <si>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</si>
  <si>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</si>
  <si>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</si>
  <si>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</si>
  <si>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</si>
  <si>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</si>
  <si>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</si>
  <si>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</si>
  <si>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</si>
  <si>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</si>
  <si>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</si>
  <si>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</si>
  <si>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</si>
  <si>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</si>
  <si>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</si>
  <si>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</si>
  <si>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</si>
  <si>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</si>
  <si>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</si>
  <si>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</si>
  <si>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</si>
  <si>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</si>
  <si>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</si>
  <si>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</si>
  <si>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</si>
  <si>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</si>
  <si>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</si>
  <si>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</si>
  <si>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</si>
  <si>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</si>
  <si>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</si>
  <si>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</si>
  <si>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</si>
  <si>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</si>
  <si>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</si>
  <si>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</si>
  <si>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</si>
  <si>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</si>
  <si>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</si>
  <si>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</si>
  <si>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</si>
  <si>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</si>
  <si>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</si>
  <si>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</si>
  <si>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</si>
  <si>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</si>
  <si>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</si>
  <si>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</si>
  <si>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</si>
  <si>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</si>
  <si>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</si>
  <si>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</si>
  <si>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</si>
  <si>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</si>
  <si>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</si>
  <si>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</si>
  <si>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</si>
  <si>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</si>
  <si>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</si>
  <si>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</si>
  <si>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</si>
  <si>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</si>
  <si>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</si>
  <si>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</si>
  <si>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</si>
  <si>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</si>
  <si>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</si>
  <si>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</si>
  <si>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</si>
  <si>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</si>
  <si>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</si>
  <si>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</si>
  <si>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</si>
  <si>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</si>
  <si>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</si>
  <si>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</si>
  <si>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</si>
  <si>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</si>
  <si>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</si>
  <si>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</si>
  <si>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</si>
  <si>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</si>
  <si>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</si>
  <si>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</si>
  <si>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</si>
  <si>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</si>
  <si>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</si>
  <si>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</si>
  <si>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</si>
  <si>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</si>
  <si>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</si>
  <si>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</si>
  <si>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</si>
  <si>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</si>
  <si>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</si>
  <si>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</si>
  <si>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</si>
  <si>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</si>
  <si>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</si>
  <si>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</si>
  <si>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</si>
  <si>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</si>
  <si>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</si>
  <si>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</si>
  <si>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</si>
  <si>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</si>
  <si>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</si>
  <si>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</si>
  <si>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</si>
  <si>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</si>
  <si>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</si>
  <si>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</si>
  <si>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</si>
  <si>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</si>
  <si>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</si>
  <si>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</si>
  <si>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</si>
  <si>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</si>
  <si>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</si>
  <si>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</si>
  <si>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</si>
  <si>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</si>
  <si>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</si>
  <si>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</si>
  <si>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</si>
  <si>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</si>
  <si>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</si>
  <si>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</si>
  <si>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</si>
  <si>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</si>
  <si>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</si>
  <si>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</si>
  <si>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</si>
  <si>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</si>
  <si>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</si>
  <si>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</si>
  <si>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</si>
  <si>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</si>
  <si>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</si>
  <si>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</si>
  <si>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</si>
  <si>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</si>
  <si>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</si>
  <si>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</si>
  <si>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</si>
  <si>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</si>
  <si>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</si>
  <si>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</si>
  <si>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</si>
  <si>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</si>
  <si>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</si>
  <si>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</si>
  <si>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</si>
  <si>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</si>
  <si>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</si>
  <si>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</si>
  <si>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</si>
  <si>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</si>
  <si>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</si>
  <si>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</si>
  <si>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</si>
  <si>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</si>
  <si>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</si>
  <si>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</si>
  <si>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</si>
  <si>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</si>
  <si>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</si>
  <si>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</si>
  <si>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</si>
  <si>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</si>
  <si>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</si>
  <si>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</si>
  <si>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</si>
  <si>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</si>
  <si>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</si>
  <si>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</si>
  <si>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</si>
  <si>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</si>
  <si>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</si>
  <si>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</si>
  <si>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</si>
  <si>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</si>
  <si>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</si>
  <si>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</si>
  <si>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</si>
  <si>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</si>
  <si>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</si>
  <si>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</si>
  <si>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</si>
  <si>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</si>
  <si>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</si>
  <si>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</si>
  <si>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</si>
  <si>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</si>
  <si>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</si>
  <si>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</si>
  <si>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</si>
  <si>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</si>
  <si>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</si>
  <si>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</si>
  <si>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</si>
  <si>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</si>
  <si>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</si>
  <si>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</si>
  <si>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</si>
  <si>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</si>
  <si>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</si>
  <si>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</si>
  <si>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</si>
  <si>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</si>
  <si>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</si>
  <si>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</si>
  <si>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</si>
  <si>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</si>
  <si>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</si>
  <si>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</si>
  <si>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</si>
  <si>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</si>
  <si>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</si>
  <si>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</si>
  <si>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</si>
  <si>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</si>
  <si>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</si>
  <si>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</si>
  <si>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</si>
  <si>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</si>
  <si>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</si>
  <si>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</si>
  <si>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</si>
  <si>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</si>
  <si>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</si>
  <si>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</si>
  <si>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</si>
  <si>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</si>
  <si>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</si>
  <si>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</si>
  <si>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</si>
  <si>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</si>
  <si>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</si>
  <si>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</si>
  <si>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</si>
  <si>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</si>
  <si>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</si>
  <si>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</si>
  <si>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</si>
  <si>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</si>
  <si>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</si>
  <si>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</si>
  <si>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</si>
  <si>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</si>
  <si>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</si>
  <si>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</si>
  <si>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</si>
  <si>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</si>
  <si>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</si>
  <si>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</si>
  <si>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</si>
  <si>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</si>
  <si>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</si>
  <si>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</si>
  <si>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</si>
  <si>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</si>
  <si>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</si>
  <si>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</si>
  <si>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</si>
  <si>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</si>
  <si>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</si>
  <si>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</si>
  <si>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</si>
  <si>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</si>
  <si>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</si>
  <si>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</si>
  <si>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</si>
  <si>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</si>
  <si>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</si>
  <si>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</si>
  <si>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</si>
  <si>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</si>
  <si>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</si>
  <si>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</si>
  <si>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</si>
  <si>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</si>
  <si>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</si>
  <si>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</si>
  <si>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</si>
  <si>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</si>
  <si>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</si>
  <si>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</si>
  <si>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</si>
  <si>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</si>
  <si>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</si>
  <si>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</si>
  <si>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</si>
  <si>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</si>
  <si>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</si>
  <si>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</si>
  <si>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</si>
  <si>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</si>
  <si>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</si>
  <si>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</si>
  <si>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</si>
  <si>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</si>
  <si>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</si>
  <si>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</si>
  <si>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</si>
  <si>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</si>
  <si>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</si>
  <si>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</si>
  <si>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</si>
  <si>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</si>
  <si>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</si>
  <si>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</si>
  <si>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</si>
  <si>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</si>
  <si>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</si>
  <si>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</si>
  <si>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</si>
  <si>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</si>
  <si>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</si>
  <si>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</si>
  <si>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</si>
  <si>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</si>
  <si>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</si>
  <si>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</si>
  <si>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</si>
  <si>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</si>
  <si>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</si>
  <si>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</si>
  <si>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</si>
  <si>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</si>
  <si>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</si>
  <si>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</si>
  <si>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</si>
  <si>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</si>
  <si>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</si>
  <si>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</si>
  <si>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</si>
  <si>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</si>
  <si>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</si>
  <si>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</si>
  <si>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</si>
  <si>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</si>
  <si>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</si>
  <si>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</si>
  <si>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</si>
  <si>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</si>
  <si>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</si>
  <si>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</si>
  <si>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</si>
  <si>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</si>
  <si>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</si>
  <si>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</si>
  <si>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</si>
  <si>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</si>
  <si>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</si>
  <si>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</si>
  <si>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</si>
  <si>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</si>
  <si>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</si>
  <si>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</si>
  <si>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</si>
  <si>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</si>
  <si>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</si>
  <si>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</si>
  <si>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</si>
  <si>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</si>
  <si>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</si>
  <si>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</si>
  <si>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</si>
  <si>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</si>
  <si>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</si>
  <si>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</si>
  <si>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</si>
  <si>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</si>
  <si>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</si>
  <si>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</si>
  <si>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</si>
  <si>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</si>
  <si>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</si>
  <si>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</si>
  <si>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</si>
  <si>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</si>
  <si>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</si>
  <si>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</si>
  <si>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</si>
  <si>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</si>
  <si>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</si>
  <si>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</si>
  <si>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</si>
  <si>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</si>
  <si>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</si>
  <si>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</si>
  <si>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</si>
  <si>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</si>
  <si>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</si>
  <si>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</si>
  <si>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</si>
  <si>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</si>
  <si>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</si>
  <si>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</si>
  <si>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</si>
  <si>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</si>
  <si>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</si>
  <si>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</si>
  <si>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</si>
  <si>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</si>
  <si>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</si>
  <si>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</si>
  <si>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</si>
  <si>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</si>
  <si>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</si>
  <si>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</si>
  <si>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</si>
  <si>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</si>
  <si>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</si>
  <si>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</si>
  <si>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</si>
  <si>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</si>
  <si>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</si>
  <si>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</si>
  <si>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</si>
  <si>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</si>
  <si>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</si>
  <si>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</si>
  <si>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</si>
  <si>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</si>
  <si>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</si>
  <si>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</si>
  <si>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</si>
  <si>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</si>
  <si>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</si>
  <si>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</si>
  <si>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</si>
  <si>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</si>
  <si>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</si>
  <si>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</si>
  <si>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</si>
  <si>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</si>
  <si>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</si>
  <si>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</si>
  <si>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</si>
  <si>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</si>
  <si>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</si>
  <si>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</si>
  <si>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</si>
  <si>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</si>
  <si>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</si>
  <si>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</si>
  <si>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</si>
  <si>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</si>
  <si>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</si>
  <si>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</si>
  <si>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</si>
  <si>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</si>
  <si>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</si>
  <si>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</si>
  <si>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</si>
  <si>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</si>
  <si>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</si>
  <si>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</si>
  <si>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</si>
  <si>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</si>
  <si>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</si>
  <si>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</si>
  <si>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</si>
  <si>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</si>
  <si>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</si>
  <si>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</si>
  <si>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</si>
  <si>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</si>
  <si>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</si>
  <si>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</si>
  <si>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</si>
  <si>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</si>
  <si>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</si>
  <si>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</si>
  <si>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</si>
  <si>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</si>
  <si>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</si>
  <si>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</si>
  <si>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</si>
  <si>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</si>
  <si>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</si>
  <si>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</si>
  <si>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</si>
  <si>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</si>
  <si>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</si>
  <si>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</si>
  <si>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</si>
  <si>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</si>
  <si>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</si>
  <si>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</si>
  <si>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</si>
  <si>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</si>
  <si>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</si>
  <si>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</si>
  <si>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</si>
  <si>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</si>
  <si>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</si>
  <si>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</si>
  <si>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</si>
  <si>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</si>
  <si>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</si>
  <si>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</si>
  <si>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</si>
  <si>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</si>
  <si>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</si>
  <si>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</si>
  <si>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</si>
  <si>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</si>
  <si>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</si>
  <si>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</si>
  <si>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</si>
  <si>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</si>
  <si>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</si>
  <si>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</si>
  <si>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</si>
  <si>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</si>
  <si>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</si>
  <si>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</si>
  <si>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</si>
  <si>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</si>
  <si>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</si>
  <si>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</si>
  <si>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</si>
  <si>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</si>
  <si>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</si>
  <si>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</si>
  <si>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</si>
  <si>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</si>
  <si>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</si>
  <si>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</si>
  <si>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</si>
  <si>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</si>
  <si>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</si>
  <si>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</si>
  <si>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</si>
  <si>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</si>
  <si>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</si>
  <si>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</si>
  <si>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</si>
  <si>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</si>
  <si>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</si>
  <si>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</si>
  <si>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</si>
  <si>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</si>
  <si>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</si>
  <si>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</si>
  <si>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</si>
  <si>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</si>
  <si>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</si>
  <si>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</si>
  <si>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</si>
  <si>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</si>
  <si>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</si>
  <si>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</si>
  <si>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</si>
  <si>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</si>
  <si>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</si>
  <si>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</si>
  <si>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</si>
  <si>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</si>
  <si>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</si>
  <si>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</si>
  <si>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</si>
  <si>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</si>
  <si>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</si>
  <si>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</si>
  <si>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</si>
  <si>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</si>
  <si>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</si>
  <si>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</si>
  <si>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</si>
  <si>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</si>
  <si>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</si>
  <si>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</si>
  <si>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</si>
  <si>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</si>
  <si>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</si>
  <si>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</si>
  <si>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</si>
  <si>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</si>
  <si>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</si>
  <si>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</si>
  <si>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</si>
  <si>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</si>
  <si>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</si>
  <si>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</si>
  <si>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</si>
  <si>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</si>
  <si>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</si>
  <si>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</si>
  <si>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</si>
  <si>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</si>
  <si>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</si>
  <si>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</si>
  <si>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</si>
  <si>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</si>
  <si>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</si>
  <si>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</si>
  <si>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</si>
  <si>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</si>
  <si>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</si>
  <si>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</si>
  <si>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</si>
  <si>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</si>
  <si>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</si>
  <si>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</si>
  <si>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</si>
  <si>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</si>
  <si>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</si>
  <si>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</si>
  <si>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</si>
  <si>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</si>
  <si>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</si>
  <si>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</si>
  <si>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</si>
  <si>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</si>
  <si>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</si>
  <si>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</si>
  <si>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</si>
  <si>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</si>
  <si>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</si>
  <si>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</si>
  <si>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</si>
  <si>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</si>
  <si>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</si>
  <si>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</si>
  <si>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</si>
  <si>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</si>
  <si>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</si>
  <si>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</si>
  <si>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</si>
  <si>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</si>
  <si>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</si>
  <si>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</si>
  <si>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</si>
  <si>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</si>
  <si>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</si>
  <si>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</si>
  <si>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</si>
  <si>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</si>
  <si>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</si>
  <si>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</si>
  <si>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</si>
  <si>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</si>
  <si>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</si>
  <si>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</si>
  <si>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</si>
  <si>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</si>
  <si>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</si>
  <si>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</si>
  <si>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</si>
  <si>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</si>
  <si>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</si>
  <si>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</si>
  <si>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</si>
  <si>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</si>
  <si>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</si>
  <si>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</si>
  <si>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</si>
  <si>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</si>
  <si>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</si>
  <si>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</si>
  <si>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</si>
  <si>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</si>
  <si>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</si>
  <si>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</si>
  <si>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</si>
  <si>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</si>
  <si>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</si>
  <si>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</si>
  <si>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</si>
  <si>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</si>
  <si>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</si>
  <si>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</si>
  <si>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</si>
  <si>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</si>
  <si>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</si>
  <si>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</si>
  <si>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</si>
  <si>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</si>
  <si>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</si>
  <si>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</si>
  <si>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</si>
  <si>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</si>
  <si>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</si>
  <si>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</si>
  <si>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</si>
  <si>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</si>
  <si>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</si>
  <si>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</si>
  <si>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</si>
  <si>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</si>
  <si>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</si>
  <si>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</si>
  <si>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</si>
  <si>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</si>
  <si>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</si>
  <si>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</si>
  <si>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</si>
  <si>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</si>
  <si>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</si>
  <si>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</si>
  <si>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</si>
  <si>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</si>
  <si>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</si>
  <si>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</si>
  <si>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</si>
  <si>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</si>
  <si>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</si>
  <si>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</si>
  <si>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</si>
  <si>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</si>
  <si>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</si>
  <si>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</si>
  <si>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</si>
  <si>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</si>
  <si>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</si>
  <si>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</si>
  <si>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</si>
  <si>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</si>
  <si>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</si>
  <si>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</si>
  <si>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</si>
  <si>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</si>
  <si>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</si>
  <si>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</si>
  <si>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</si>
  <si>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</si>
  <si>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</si>
  <si>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</si>
  <si>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</si>
  <si>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</si>
  <si>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</si>
  <si>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</si>
  <si>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</si>
  <si>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</si>
  <si>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</si>
  <si>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</si>
  <si>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</si>
  <si>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</si>
  <si>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</si>
  <si>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</si>
  <si>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</si>
  <si>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</si>
  <si>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</si>
  <si>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</si>
  <si>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</si>
  <si>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</si>
  <si>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</si>
  <si>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</si>
  <si>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</si>
  <si>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</si>
  <si>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</si>
  <si>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</si>
  <si>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</si>
  <si>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</si>
  <si>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</si>
  <si>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</si>
  <si>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</si>
  <si>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</si>
  <si>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</si>
  <si>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</si>
  <si>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</si>
  <si>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</si>
  <si>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</si>
  <si>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</si>
  <si>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</si>
  <si>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</si>
  <si>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</si>
  <si>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</si>
  <si>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</si>
  <si>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</si>
  <si>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</si>
  <si>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</si>
  <si>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</si>
  <si>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</si>
  <si>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</si>
  <si>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</si>
  <si>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</si>
  <si>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</si>
  <si>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</si>
  <si>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</si>
  <si>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</si>
  <si>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</si>
  <si>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</si>
  <si>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</si>
  <si>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</si>
  <si>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</si>
  <si>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</si>
  <si>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</si>
  <si>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</si>
  <si>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</si>
  <si>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</si>
  <si>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</si>
  <si>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</si>
  <si>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</si>
  <si>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</si>
  <si>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</si>
  <si>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</si>
  <si>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</si>
  <si>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</si>
  <si>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</si>
  <si>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</si>
  <si>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</si>
  <si>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</si>
  <si>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</si>
  <si>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</si>
  <si>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</si>
  <si>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</si>
  <si>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</si>
  <si>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</si>
  <si>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</si>
  <si>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</si>
  <si>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</si>
  <si>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</si>
  <si>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</si>
  <si>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</si>
  <si>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</si>
  <si>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</si>
  <si>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</si>
  <si>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</si>
  <si>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</si>
  <si>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</si>
  <si>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</si>
  <si>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</si>
  <si>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</si>
  <si>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</si>
  <si>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</si>
  <si>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</si>
  <si>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</si>
  <si>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</si>
  <si>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</si>
  <si>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</si>
  <si>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</si>
  <si>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</si>
  <si>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</si>
  <si>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</si>
  <si>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</si>
  <si>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</si>
  <si>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</si>
  <si>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</si>
  <si>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</si>
  <si>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</si>
  <si>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</si>
  <si>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</si>
  <si>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</si>
  <si>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</si>
  <si>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</si>
  <si>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</si>
  <si>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</si>
  <si>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</si>
  <si>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</si>
  <si>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</si>
  <si>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</si>
  <si>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</si>
  <si>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</si>
  <si>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</si>
  <si>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</si>
  <si>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</si>
  <si>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</si>
  <si>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</si>
  <si>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</si>
  <si>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</si>
  <si>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</si>
  <si>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</si>
  <si>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</si>
  <si>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</si>
  <si>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</si>
  <si>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</si>
  <si>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</si>
  <si>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</si>
  <si>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</si>
  <si>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</si>
  <si>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</si>
  <si>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</si>
  <si>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</si>
  <si>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</si>
  <si>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</si>
  <si>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</si>
  <si>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</si>
  <si>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</si>
  <si>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</si>
  <si>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</si>
  <si>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</si>
  <si>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</si>
  <si>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</si>
  <si>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</si>
  <si>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</si>
  <si>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</si>
  <si>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</si>
  <si>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</si>
  <si>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</si>
  <si>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</si>
  <si>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</si>
  <si>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</si>
  <si>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</si>
  <si>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</si>
  <si>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</si>
  <si>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</si>
  <si>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</si>
  <si>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</si>
  <si>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</si>
  <si>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</si>
  <si>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</si>
  <si>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</si>
  <si>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</si>
  <si>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</si>
  <si>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</si>
  <si>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</si>
  <si>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</si>
  <si>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</si>
  <si>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</si>
  <si>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</si>
  <si>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</si>
  <si>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</si>
  <si>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</si>
  <si>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</si>
  <si>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</si>
  <si>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</si>
  <si>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</si>
  <si>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</si>
  <si>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</si>
  <si>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</si>
  <si>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</si>
  <si>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</si>
  <si>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</si>
  <si>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</si>
  <si>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</si>
  <si>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</si>
  <si>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</si>
  <si>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</si>
  <si>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</si>
  <si>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</si>
  <si>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</si>
  <si>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</si>
  <si>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</si>
  <si>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</si>
  <si>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</si>
  <si>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</si>
  <si>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</si>
  <si>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</si>
  <si>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</si>
  <si>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</si>
  <si>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</si>
  <si>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</si>
  <si>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</si>
  <si>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</si>
  <si>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</si>
  <si>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</si>
  <si>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</si>
  <si>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</si>
  <si>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</si>
  <si>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</si>
  <si>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</si>
  <si>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</si>
  <si>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</si>
  <si>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</si>
  <si>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</si>
  <si>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</si>
  <si>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</si>
  <si>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</si>
  <si>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</si>
  <si>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</si>
  <si>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</si>
  <si>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</si>
  <si>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</si>
  <si>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</si>
  <si>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</si>
  <si>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</si>
  <si>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</si>
  <si>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</si>
  <si>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</si>
  <si>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</si>
  <si>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</si>
  <si>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</si>
  <si>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</si>
  <si>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</si>
  <si>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</si>
  <si>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</si>
  <si>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</si>
  <si>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</si>
  <si>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</si>
  <si>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</si>
  <si>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</si>
  <si>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</si>
  <si>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</si>
  <si>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</si>
  <si>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</si>
  <si>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</si>
  <si>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</si>
  <si>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</si>
  <si>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</si>
  <si>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</si>
  <si>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</si>
  <si>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</si>
  <si>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</si>
  <si>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</si>
  <si>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</si>
  <si>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</si>
  <si>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</si>
  <si>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</si>
  <si>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</si>
  <si>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</si>
  <si>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</si>
  <si>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</si>
  <si>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</si>
  <si>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</si>
  <si>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</si>
  <si>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</si>
  <si>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</si>
  <si>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</si>
  <si>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</si>
  <si>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</si>
  <si>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</si>
  <si>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</si>
  <si>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</si>
  <si>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</si>
  <si>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</si>
  <si>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</si>
  <si>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</si>
  <si>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</si>
  <si>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</si>
  <si>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</si>
  <si>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</si>
  <si>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</si>
  <si>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</si>
  <si>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</si>
  <si>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</si>
  <si>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</si>
  <si>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</si>
  <si>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</si>
  <si>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</si>
  <si>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</si>
  <si>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</si>
  <si>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</si>
  <si>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</si>
  <si>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</si>
  <si>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</si>
  <si>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</si>
  <si>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</si>
  <si>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</si>
  <si>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</si>
  <si>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</si>
  <si>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</si>
  <si>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</si>
  <si>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</si>
  <si>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</si>
  <si>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</si>
  <si>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</si>
  <si>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</si>
  <si>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</si>
  <si>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</si>
  <si>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</si>
  <si>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</si>
  <si>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</si>
  <si>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</si>
  <si>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</si>
  <si>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</si>
  <si>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</si>
  <si>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</si>
  <si>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</si>
  <si>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</si>
  <si>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</si>
  <si>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</si>
  <si>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</si>
  <si>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</si>
  <si>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</si>
  <si>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</si>
  <si>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</si>
  <si>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</si>
  <si>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</si>
  <si>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</si>
  <si>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</si>
  <si>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</si>
  <si>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</si>
  <si>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</si>
  <si>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</si>
  <si>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</si>
  <si>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</si>
  <si>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</si>
  <si>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</si>
  <si>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</si>
  <si>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</si>
  <si>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</si>
  <si>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</si>
  <si>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</si>
  <si>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</si>
  <si>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</si>
  <si>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</si>
  <si>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</si>
  <si>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</si>
  <si>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</si>
  <si>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</si>
  <si>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</si>
  <si>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</si>
  <si>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</si>
  <si>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</si>
  <si>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</si>
  <si>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</si>
  <si>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</si>
  <si>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</si>
  <si>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</si>
  <si>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</si>
  <si>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</si>
  <si>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</si>
  <si>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</si>
  <si>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</si>
  <si>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</si>
  <si>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</si>
  <si>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</si>
  <si>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</si>
  <si>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</si>
  <si>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</si>
  <si>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</si>
  <si>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</si>
  <si>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</si>
  <si>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</si>
  <si>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</si>
  <si>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</si>
  <si>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</si>
  <si>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</si>
  <si>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</si>
  <si>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</si>
  <si>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</si>
  <si>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</si>
  <si>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</si>
  <si>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</si>
  <si>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</si>
  <si>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</si>
  <si>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</si>
  <si>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</si>
  <si>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</si>
  <si>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</si>
  <si>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</si>
  <si>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</si>
  <si>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</si>
  <si>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</si>
  <si>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</si>
  <si>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</si>
  <si>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</si>
  <si>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</si>
  <si>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</si>
  <si>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</si>
  <si>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</si>
  <si>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</si>
  <si>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</si>
  <si>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</si>
  <si>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</si>
  <si>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</si>
  <si>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</si>
  <si>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</si>
  <si>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</si>
  <si>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</si>
  <si>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</si>
  <si>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</si>
  <si>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</si>
  <si>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</si>
  <si>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</si>
  <si>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</si>
  <si>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</si>
  <si>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</si>
  <si>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</si>
  <si>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</si>
  <si>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</si>
  <si>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</si>
  <si>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</si>
  <si>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</si>
  <si>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</si>
  <si>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</si>
  <si>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</si>
  <si>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</si>
  <si>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</si>
  <si>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</si>
  <si>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</si>
  <si>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</si>
  <si>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</si>
  <si>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</si>
  <si>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</si>
  <si>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</si>
  <si>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</si>
  <si>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</si>
  <si>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</si>
  <si>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</si>
  <si>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</si>
  <si>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</si>
  <si>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</si>
  <si>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</si>
  <si>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</si>
  <si>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</si>
  <si>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</si>
  <si>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</si>
  <si>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</si>
  <si>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</si>
  <si>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</si>
  <si>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</si>
  <si>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</si>
  <si>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</si>
  <si>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</si>
  <si>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</si>
  <si>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</si>
  <si>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</si>
  <si>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</si>
  <si>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</si>
  <si>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</si>
  <si>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</si>
  <si>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</si>
  <si>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</si>
  <si>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</si>
  <si>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</si>
  <si>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</si>
  <si>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</si>
  <si>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</si>
  <si>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</si>
  <si>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</si>
  <si>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</si>
  <si>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</si>
  <si>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</si>
  <si>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</si>
  <si>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</si>
  <si>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</si>
  <si>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</si>
  <si>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</si>
  <si>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</si>
  <si>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</si>
  <si>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</si>
  <si>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</si>
  <si>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</si>
  <si>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</si>
  <si>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</si>
  <si>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</si>
  <si>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</si>
  <si>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</si>
  <si>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</si>
  <si>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</si>
  <si>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</si>
  <si>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</si>
  <si>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</si>
  <si>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</si>
  <si>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</si>
  <si>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</si>
  <si>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</si>
  <si>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</si>
  <si>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</si>
  <si>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</si>
  <si>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</si>
  <si>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</si>
  <si>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</si>
  <si>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</si>
  <si>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</si>
  <si>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</si>
  <si>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</si>
  <si>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</si>
  <si>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</si>
  <si>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</si>
  <si>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</si>
  <si>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</si>
  <si>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</si>
  <si>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</si>
  <si>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</si>
  <si>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</si>
  <si>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</si>
  <si>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</si>
  <si>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</si>
  <si>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</si>
  <si>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</si>
  <si>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</si>
  <si>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</si>
  <si>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</si>
  <si>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</si>
  <si>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</si>
  <si>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</si>
  <si>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</si>
  <si>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</si>
  <si>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</si>
  <si>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</si>
  <si>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</si>
  <si>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</si>
  <si>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</si>
  <si>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</si>
  <si>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</si>
  <si>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</si>
  <si>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</si>
  <si>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</si>
  <si>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</si>
  <si>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</si>
  <si>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</si>
  <si>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</si>
  <si>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</si>
  <si>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</si>
  <si>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</si>
  <si>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</si>
  <si>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</si>
  <si>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</si>
  <si>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</si>
  <si>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</si>
  <si>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</si>
  <si>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</si>
  <si>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</si>
  <si>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</si>
  <si>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</si>
  <si>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</si>
  <si>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</si>
  <si>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</si>
  <si>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</si>
  <si>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</si>
  <si>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</si>
  <si>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</si>
  <si>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</si>
  <si>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</si>
  <si>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</si>
  <si>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</si>
  <si>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</si>
  <si>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</si>
  <si>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</si>
  <si>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</si>
  <si>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</si>
  <si>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</si>
  <si>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</si>
  <si>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</si>
  <si>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</si>
  <si>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</si>
  <si>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</si>
  <si>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</si>
  <si>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</si>
  <si>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</si>
  <si>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</si>
  <si>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</si>
  <si>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</si>
  <si>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</si>
  <si>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</si>
  <si>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</si>
  <si>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</si>
  <si>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</si>
  <si>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</si>
  <si>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</si>
  <si>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</si>
  <si>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</si>
  <si>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</si>
  <si>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</si>
  <si>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</si>
  <si>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</si>
  <si>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</si>
  <si>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</si>
  <si>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</si>
  <si>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</si>
  <si>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</si>
  <si>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</si>
  <si>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</si>
  <si>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</si>
  <si>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</si>
  <si>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</si>
  <si>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</si>
  <si>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</si>
  <si>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</si>
  <si>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</si>
  <si>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</si>
  <si>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</si>
  <si>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</si>
  <si>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</si>
  <si>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</si>
  <si>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</si>
  <si>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</si>
  <si>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</si>
  <si>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</si>
  <si>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</si>
  <si>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</si>
  <si>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</si>
  <si>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</si>
  <si>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</si>
  <si>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</si>
  <si>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</si>
  <si>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</si>
  <si>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</si>
  <si>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</si>
  <si>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</si>
  <si>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</si>
  <si>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</si>
  <si>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</si>
  <si>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</si>
  <si>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</si>
  <si>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</si>
  <si>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</si>
  <si>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</si>
  <si>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</si>
  <si>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</si>
  <si>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</si>
  <si>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</si>
  <si>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</si>
  <si>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</si>
  <si>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</si>
  <si>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</si>
  <si>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</si>
  <si>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</si>
  <si>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</si>
  <si>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</si>
  <si>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</si>
  <si>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</si>
  <si>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</si>
  <si>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</si>
  <si>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</si>
  <si>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</si>
  <si>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</si>
  <si>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</si>
  <si>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</si>
  <si>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</si>
  <si>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</si>
  <si>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</si>
  <si>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</si>
  <si>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</si>
  <si>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</si>
  <si>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</si>
  <si>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</si>
  <si>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</si>
  <si>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</si>
  <si>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</si>
  <si>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</si>
  <si>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</si>
  <si>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</si>
  <si>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</si>
  <si>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</si>
  <si>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</si>
  <si>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</si>
  <si>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</si>
  <si>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</si>
  <si>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</si>
  <si>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</si>
  <si>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</si>
  <si>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</si>
  <si>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</si>
  <si>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</si>
  <si>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</si>
  <si>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</si>
  <si>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</si>
  <si>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</si>
  <si>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</si>
  <si>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</si>
  <si>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</si>
  <si>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</si>
  <si>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</si>
  <si>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</si>
  <si>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</si>
  <si>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</si>
  <si>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</si>
  <si>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</si>
  <si>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</si>
  <si>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</si>
  <si>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</si>
  <si>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</si>
  <si>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</si>
  <si>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</si>
  <si>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</si>
  <si>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</si>
  <si>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</si>
  <si>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</si>
  <si>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</si>
  <si>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</si>
  <si>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</si>
  <si>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</si>
  <si>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</si>
  <si>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</si>
  <si>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</si>
  <si>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</si>
  <si>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</si>
  <si>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</si>
  <si>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</si>
  <si>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</si>
  <si>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</si>
  <si>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</si>
  <si>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</si>
  <si>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</si>
  <si>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</si>
  <si>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</si>
  <si>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</si>
  <si>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</si>
  <si>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</si>
  <si>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</si>
  <si>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</si>
  <si>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</si>
  <si>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</si>
  <si>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</si>
  <si>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</si>
  <si>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</si>
  <si>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</si>
  <si>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</si>
  <si>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</si>
  <si>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</si>
  <si>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</si>
  <si>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</si>
  <si>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</si>
  <si>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</si>
  <si>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</si>
  <si>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</si>
  <si>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</si>
  <si>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</si>
  <si>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</si>
  <si>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</si>
  <si>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</si>
  <si>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</si>
  <si>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</si>
  <si>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</si>
  <si>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</si>
  <si>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</si>
  <si>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</si>
  <si>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</si>
  <si>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</si>
  <si>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</si>
  <si>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</si>
  <si>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</si>
  <si>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</si>
  <si>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</si>
  <si>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</si>
  <si>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</si>
  <si>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</si>
  <si>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</si>
  <si>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</si>
  <si>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</si>
  <si>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</si>
  <si>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</si>
  <si>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</si>
  <si>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</si>
  <si>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</si>
  <si>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</si>
  <si>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</si>
  <si>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</si>
  <si>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</si>
  <si>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</si>
  <si>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</si>
  <si>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</si>
  <si>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</si>
  <si>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</si>
  <si>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</si>
  <si>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</si>
  <si>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</si>
  <si>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</si>
  <si>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</si>
  <si>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</si>
  <si>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</si>
  <si>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</si>
  <si>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</si>
  <si>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</si>
  <si>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</si>
  <si>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</si>
  <si>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</si>
  <si>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</si>
  <si>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</si>
  <si>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</si>
  <si>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</si>
  <si>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</si>
  <si>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</si>
  <si>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</si>
  <si>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</si>
  <si>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</si>
  <si>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</si>
  <si>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</si>
  <si>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</si>
  <si>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</si>
  <si>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</si>
  <si>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</si>
  <si>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</si>
  <si>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</si>
  <si>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</si>
  <si>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</si>
  <si>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</si>
  <si>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</si>
  <si>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</si>
  <si>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</si>
  <si>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</si>
  <si>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</si>
  <si>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</si>
  <si>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</si>
  <si>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</si>
  <si>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</si>
  <si>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</si>
  <si>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</si>
  <si>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</si>
  <si>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</si>
  <si>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</si>
  <si>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</si>
  <si>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</si>
  <si>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</si>
  <si>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</si>
  <si>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</si>
  <si>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</si>
  <si>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</si>
  <si>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</si>
  <si>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</si>
  <si>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</si>
  <si>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</si>
  <si>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</si>
  <si>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</si>
  <si>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</si>
  <si>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</si>
  <si>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</si>
  <si>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</si>
  <si>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</si>
  <si>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</si>
  <si>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</si>
  <si>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</si>
  <si>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</si>
  <si>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</si>
  <si>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</si>
  <si>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</si>
  <si>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</si>
  <si>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</si>
  <si>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</si>
  <si>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</si>
  <si>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</si>
  <si>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</si>
  <si>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</si>
  <si>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</si>
  <si>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</si>
  <si>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</si>
  <si>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</si>
  <si>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</si>
  <si>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</si>
  <si>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</si>
  <si>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</si>
  <si>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</si>
  <si>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</si>
  <si>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</si>
  <si>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</si>
  <si>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</si>
  <si>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</si>
  <si>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</si>
  <si>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</si>
  <si>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</si>
  <si>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</si>
  <si>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</si>
  <si>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</si>
  <si>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</si>
  <si>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</si>
  <si>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</si>
  <si>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</si>
  <si>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</si>
  <si>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</si>
  <si>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</si>
  <si>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</si>
  <si>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</si>
  <si>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</si>
  <si>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</si>
  <si>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</si>
  <si>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</si>
  <si>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</si>
  <si>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</si>
  <si>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</si>
  <si>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</si>
  <si>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</si>
  <si>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</si>
  <si>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</si>
  <si>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</si>
  <si>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</si>
  <si>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</si>
  <si>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</si>
  <si>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</si>
  <si>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</si>
  <si>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</si>
  <si>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</si>
  <si>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</si>
  <si>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</si>
  <si>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</si>
  <si>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</si>
  <si>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</si>
  <si>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</si>
  <si>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</si>
  <si>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</si>
  <si>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</si>
  <si>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</si>
  <si>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</si>
  <si>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</si>
  <si>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</si>
  <si>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</si>
  <si>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</si>
  <si>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</si>
  <si>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</si>
  <si>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</si>
  <si>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</si>
  <si>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</si>
  <si>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</si>
  <si>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</si>
  <si>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</si>
  <si>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</si>
  <si>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</si>
  <si>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</si>
  <si>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</si>
  <si>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</si>
  <si>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</si>
  <si>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</si>
  <si>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</si>
  <si>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</si>
  <si>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</si>
  <si>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</si>
  <si>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</si>
  <si>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</si>
  <si>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</si>
  <si>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</si>
  <si>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</si>
  <si>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</si>
  <si>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</si>
  <si>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</si>
  <si>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</si>
  <si>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</si>
  <si>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</si>
  <si>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</si>
  <si>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</si>
  <si>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</si>
  <si>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</si>
  <si>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</si>
  <si>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</si>
  <si>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</si>
  <si>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</si>
  <si>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</si>
  <si>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</si>
  <si>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</si>
  <si>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</si>
  <si>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</si>
  <si>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</si>
  <si>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</si>
  <si>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</si>
  <si>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</si>
  <si>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</si>
  <si>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</si>
  <si>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</si>
  <si>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</si>
  <si>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</si>
  <si>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</si>
  <si>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</si>
  <si>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</si>
  <si>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</si>
  <si>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</si>
  <si>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</si>
  <si>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</si>
  <si>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</si>
  <si>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</si>
  <si>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</si>
  <si>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</si>
  <si>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</si>
  <si>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</si>
  <si>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</si>
  <si>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</si>
  <si>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</si>
  <si>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</si>
  <si>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</si>
  <si>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</si>
  <si>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</si>
  <si>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</si>
  <si>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</si>
  <si>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</si>
  <si>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</si>
  <si>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</si>
  <si>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</si>
  <si>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</si>
  <si>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</si>
  <si>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</si>
  <si>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</si>
  <si>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</si>
  <si>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</si>
  <si>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</si>
  <si>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</si>
  <si>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</si>
  <si>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</si>
  <si>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</si>
  <si>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</si>
  <si>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</si>
  <si>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</si>
  <si>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</si>
  <si>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</si>
  <si>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</si>
  <si>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</si>
  <si>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</si>
  <si>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</si>
  <si>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</si>
  <si>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</si>
  <si>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</si>
  <si>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</si>
  <si>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</si>
  <si>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</si>
  <si>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</si>
  <si>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</si>
  <si>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</si>
  <si>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</si>
  <si>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</si>
  <si>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</si>
  <si>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</si>
  <si>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</si>
  <si>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</si>
  <si>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</si>
  <si>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</si>
  <si>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</si>
  <si>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</si>
  <si>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</si>
  <si>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</si>
  <si>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</si>
  <si>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</si>
  <si>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</si>
  <si>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</si>
  <si>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</si>
  <si>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</si>
  <si>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</si>
  <si>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</si>
  <si>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</si>
  <si>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</si>
  <si>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</si>
  <si>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</si>
  <si>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</si>
  <si>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</si>
  <si>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</si>
  <si>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</si>
  <si>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</si>
  <si>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</si>
  <si>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</si>
  <si>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</si>
  <si>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</si>
  <si>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</si>
  <si>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</si>
  <si>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</si>
  <si>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</si>
  <si>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</si>
  <si>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</si>
  <si>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</si>
  <si>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</si>
  <si>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</si>
  <si>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</si>
  <si>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</si>
  <si>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</si>
  <si>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</si>
  <si>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</si>
  <si>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</si>
  <si>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</si>
  <si>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</si>
  <si>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</si>
  <si>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</si>
  <si>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</si>
  <si>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</si>
  <si>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</si>
  <si>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</si>
  <si>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</si>
  <si>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</si>
  <si>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</si>
  <si>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</si>
  <si>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</si>
  <si>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</si>
  <si>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</si>
  <si>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</si>
  <si>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</si>
  <si>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</si>
  <si>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</si>
  <si>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</si>
  <si>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</si>
  <si>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</si>
  <si>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</si>
  <si>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</si>
  <si>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</si>
  <si>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</si>
  <si>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</si>
  <si>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</si>
  <si>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</si>
  <si>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</si>
  <si>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</si>
  <si>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</si>
  <si>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</si>
  <si>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</si>
  <si>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</si>
  <si>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</si>
  <si>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</si>
  <si>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</si>
  <si>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</si>
  <si>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</si>
  <si>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</si>
  <si>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</si>
  <si>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</si>
  <si>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</si>
  <si>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</si>
  <si>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</si>
  <si>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</si>
  <si>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</si>
  <si>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</si>
  <si>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</si>
  <si>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</si>
  <si>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</si>
  <si>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</si>
  <si>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</si>
  <si>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</si>
  <si>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</si>
  <si>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</si>
  <si>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</si>
  <si>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</si>
  <si>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</si>
  <si>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</si>
  <si>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</si>
  <si>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</si>
  <si>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</si>
  <si>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</si>
  <si>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</si>
  <si>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</si>
  <si>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</si>
  <si>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</si>
  <si>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</si>
  <si>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</si>
  <si>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</si>
  <si>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</si>
  <si>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</si>
  <si>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</si>
  <si>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</si>
  <si>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</si>
  <si>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</si>
  <si>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</si>
  <si>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</si>
  <si>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</si>
  <si>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</si>
  <si>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</si>
  <si>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</si>
  <si>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</si>
  <si>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</si>
  <si>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</si>
  <si>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</si>
  <si>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</si>
  <si>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</si>
  <si>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</si>
  <si>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</si>
  <si>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</si>
  <si>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</si>
  <si>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</si>
  <si>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</si>
  <si>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</si>
  <si>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</si>
  <si>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</si>
  <si>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</si>
  <si>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</si>
  <si>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</si>
  <si>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</si>
  <si>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</si>
  <si>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</si>
  <si>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</si>
  <si>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</si>
  <si>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</si>
  <si>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</si>
  <si>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</si>
  <si>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</si>
  <si>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</si>
  <si>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</si>
  <si>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</si>
  <si>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</si>
  <si>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</si>
  <si>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</si>
  <si>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</si>
  <si>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</si>
  <si>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</si>
  <si>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</si>
  <si>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</si>
  <si>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</si>
  <si>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</si>
  <si>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</si>
  <si>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</si>
  <si>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</si>
  <si>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</si>
  <si>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</si>
  <si>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</si>
  <si>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</si>
  <si>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</si>
  <si>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</si>
  <si>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</si>
  <si>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</si>
  <si>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</si>
  <si>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</si>
  <si>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</si>
  <si>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</si>
  <si>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</si>
  <si>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</si>
  <si>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</si>
  <si>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</si>
  <si>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</si>
  <si>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</si>
  <si>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</si>
  <si>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</si>
  <si>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</si>
  <si>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</si>
  <si>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</si>
  <si>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</si>
  <si>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</si>
  <si>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</si>
  <si>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</si>
  <si>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</si>
  <si>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</si>
  <si>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</si>
  <si>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</si>
  <si>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</si>
  <si>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</si>
  <si>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</si>
  <si>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</si>
  <si>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</si>
  <si>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</si>
  <si>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</si>
  <si>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</si>
  <si>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</si>
  <si>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</si>
  <si>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</si>
  <si>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</si>
  <si>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</si>
  <si>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</si>
  <si>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</si>
  <si>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</si>
  <si>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</si>
  <si>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</si>
  <si>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</si>
  <si>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</si>
  <si>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</si>
  <si>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</si>
  <si>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</si>
  <si>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</si>
  <si>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</si>
  <si>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</si>
  <si>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</si>
  <si>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</si>
  <si>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</si>
  <si>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</si>
  <si>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</si>
  <si>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</si>
  <si>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</si>
  <si>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</si>
  <si>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</si>
  <si>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</si>
  <si>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</si>
  <si>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</si>
  <si>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</si>
  <si>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</si>
  <si>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</si>
  <si>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</si>
  <si>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</si>
  <si>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</si>
  <si>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</si>
  <si>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</si>
  <si>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</si>
  <si>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</si>
  <si>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</si>
  <si>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</si>
  <si>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</si>
  <si>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</si>
  <si>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</si>
  <si>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</si>
  <si>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</si>
  <si>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</si>
  <si>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</si>
  <si>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</si>
  <si>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</si>
  <si>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</si>
  <si>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</si>
  <si>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</si>
  <si>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</si>
  <si>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</si>
  <si>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</si>
  <si>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</si>
  <si>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</si>
  <si>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</si>
  <si>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</si>
  <si>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</si>
  <si>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</si>
  <si>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</si>
  <si>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</si>
  <si>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</si>
  <si>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</si>
  <si>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</si>
  <si>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</si>
  <si>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</si>
  <si>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</si>
  <si>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</si>
  <si>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</si>
  <si>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</si>
  <si>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</si>
  <si>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</si>
  <si>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</si>
  <si>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</si>
  <si>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</si>
  <si>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</si>
  <si>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</si>
  <si>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</si>
  <si>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</si>
  <si>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</si>
  <si>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</si>
  <si>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</si>
  <si>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</si>
  <si>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</si>
  <si>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</si>
  <si>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</si>
  <si>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</si>
  <si>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</si>
  <si>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</si>
  <si>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</si>
  <si>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</si>
  <si>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</si>
  <si>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</si>
  <si>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</si>
  <si>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</si>
  <si>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</si>
  <si>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</si>
  <si>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</si>
  <si>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</si>
  <si>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</si>
  <si>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</si>
  <si>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</si>
  <si>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</si>
  <si>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</si>
  <si>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</si>
  <si>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</si>
  <si>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</si>
  <si>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</si>
  <si>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</si>
  <si>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</si>
  <si>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</si>
  <si>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</si>
  <si>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</si>
  <si>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</si>
  <si>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</si>
  <si>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</si>
  <si>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</si>
  <si>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</si>
  <si>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</si>
  <si>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</si>
  <si>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</si>
  <si>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</si>
  <si>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</si>
  <si>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</si>
  <si>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</si>
  <si>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</si>
  <si>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</si>
  <si>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</si>
  <si>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</si>
  <si>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</si>
  <si>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</si>
  <si>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</si>
  <si>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</si>
  <si>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</si>
  <si>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</si>
  <si>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</si>
  <si>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</si>
  <si>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</si>
  <si>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</si>
  <si>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</si>
  <si>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</si>
  <si>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</si>
  <si>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</si>
  <si>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</si>
  <si>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</si>
  <si>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</si>
  <si>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</si>
  <si>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</si>
  <si>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</si>
  <si>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</si>
  <si>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</si>
  <si>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</si>
  <si>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</si>
  <si>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</si>
  <si>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</si>
  <si>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</si>
  <si>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</si>
  <si>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</si>
  <si>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</si>
  <si>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</si>
  <si>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</si>
  <si>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</si>
  <si>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</si>
  <si>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</si>
  <si>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</si>
  <si>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</si>
  <si>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</si>
  <si>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</si>
  <si>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</si>
  <si>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</si>
  <si>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</si>
  <si>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</si>
  <si>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</si>
  <si>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</si>
  <si>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</si>
  <si>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</si>
  <si>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</si>
  <si>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</si>
  <si>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</si>
  <si>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</si>
  <si>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</si>
  <si>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</si>
  <si>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</si>
  <si>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</si>
  <si>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</si>
  <si>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</si>
  <si>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</si>
  <si>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</si>
  <si>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</si>
  <si>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</si>
  <si>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</si>
  <si>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</si>
  <si>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</si>
  <si>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</si>
  <si>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</si>
  <si>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</si>
  <si>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</si>
  <si>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</si>
  <si>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</si>
  <si>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</si>
  <si>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</si>
  <si>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</si>
  <si>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</si>
  <si>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</si>
  <si>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</si>
  <si>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</si>
  <si>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</si>
  <si>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</si>
  <si>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</si>
  <si>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</si>
  <si>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</si>
  <si>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</si>
  <si>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</si>
  <si>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</si>
  <si>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</si>
  <si>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</si>
  <si>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</si>
  <si>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</si>
  <si>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</si>
  <si>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</si>
  <si>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</si>
  <si>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</si>
  <si>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</si>
  <si>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</si>
  <si>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</si>
  <si>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</si>
  <si>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</si>
  <si>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</si>
  <si>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</si>
  <si>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</si>
  <si>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</si>
  <si>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</si>
  <si>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</si>
  <si>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</si>
  <si>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</si>
  <si>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</si>
  <si>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</si>
  <si>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</si>
  <si>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</si>
  <si>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</si>
  <si>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</si>
  <si>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</si>
  <si>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</si>
  <si>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</si>
  <si>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</si>
  <si>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</si>
  <si>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</si>
  <si>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</si>
  <si>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</si>
  <si>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</si>
  <si>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</si>
  <si>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</si>
  <si>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</si>
  <si>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</si>
  <si>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</si>
  <si>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</si>
  <si>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</si>
  <si>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</si>
  <si>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</si>
  <si>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</si>
  <si>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</si>
  <si>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</si>
  <si>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</si>
  <si>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</si>
  <si>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</si>
  <si>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</si>
  <si>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</si>
  <si>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</si>
  <si>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</si>
  <si>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</si>
  <si>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</si>
  <si>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</si>
  <si>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</si>
  <si>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</si>
  <si>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</si>
  <si>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</si>
  <si>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</si>
  <si>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</si>
  <si>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</si>
  <si>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</si>
  <si>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</si>
  <si>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</si>
  <si>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</si>
  <si>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</si>
  <si>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</si>
  <si>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</si>
  <si>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</si>
  <si>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</si>
  <si>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</si>
  <si>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</si>
  <si>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</si>
  <si>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</si>
  <si>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</si>
  <si>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</si>
  <si>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</si>
  <si>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</si>
  <si>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</si>
  <si>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</si>
  <si>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</si>
  <si>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</si>
  <si>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</si>
  <si>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</si>
  <si>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</si>
  <si>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</si>
  <si>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</si>
  <si>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</si>
  <si>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</si>
  <si>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</si>
  <si>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</si>
  <si>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</si>
  <si>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</si>
  <si>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</si>
  <si>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</si>
  <si>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</si>
  <si>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</si>
  <si>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</si>
  <si>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</si>
  <si>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</si>
  <si>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</si>
  <si>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</si>
  <si>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</si>
  <si>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</si>
  <si>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</si>
  <si>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</si>
  <si>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</si>
  <si>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</si>
  <si>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</si>
  <si>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</si>
  <si>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</si>
  <si>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</si>
  <si>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</si>
  <si>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</si>
  <si>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</si>
  <si>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</si>
  <si>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</si>
  <si>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</si>
  <si>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</si>
  <si>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</si>
  <si>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</si>
  <si>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</si>
  <si>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</si>
  <si>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</si>
  <si>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</si>
  <si>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</si>
  <si>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</si>
  <si>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</si>
  <si>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</si>
  <si>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</si>
  <si>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</si>
  <si>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</si>
  <si>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</si>
  <si>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</si>
  <si>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</si>
  <si>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</si>
  <si>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</si>
  <si>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</si>
  <si>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</si>
  <si>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</si>
  <si>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</si>
  <si>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</si>
  <si>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</si>
  <si>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</si>
  <si>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</si>
  <si>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</si>
  <si>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</si>
  <si>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</si>
  <si>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</si>
  <si>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</si>
  <si>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</si>
  <si>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</si>
  <si>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</si>
  <si>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</si>
  <si>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</si>
  <si>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</si>
  <si>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</si>
  <si>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</si>
  <si>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</si>
  <si>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</si>
  <si>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</si>
  <si>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</si>
  <si>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</si>
  <si>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</si>
  <si>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</si>
  <si>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</si>
  <si>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</si>
  <si>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</si>
  <si>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</si>
  <si>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</si>
  <si>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</si>
  <si>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</si>
  <si>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</si>
  <si>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</si>
  <si>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</si>
  <si>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</si>
  <si>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</si>
  <si>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</si>
  <si>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</si>
  <si>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</si>
  <si>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</si>
  <si>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</si>
  <si>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</si>
  <si>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</si>
  <si>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</si>
  <si>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</si>
  <si>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</si>
  <si>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</si>
  <si>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</si>
  <si>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</si>
  <si>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</si>
  <si>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</si>
  <si>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</si>
  <si>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</si>
  <si>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</si>
  <si>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</si>
  <si>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</si>
  <si>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</si>
  <si>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</si>
  <si>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</si>
  <si>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</si>
  <si>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</si>
  <si>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</si>
  <si>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</si>
  <si>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</si>
  <si>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</si>
  <si>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</si>
  <si>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</si>
  <si>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</si>
  <si>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</si>
  <si>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</si>
  <si>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</si>
  <si>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</si>
  <si>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</si>
  <si>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</si>
  <si>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</si>
  <si>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</si>
  <si>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</si>
  <si>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</si>
  <si>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</si>
  <si>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</si>
  <si>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</si>
  <si>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</si>
  <si>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</si>
  <si>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</si>
  <si>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</si>
  <si>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</si>
  <si>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</si>
  <si>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</si>
  <si>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</si>
  <si>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</si>
  <si>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</si>
  <si>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</si>
  <si>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</si>
  <si>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</si>
  <si>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</si>
  <si>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</si>
  <si>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</si>
  <si>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</si>
  <si>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</si>
  <si>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</si>
  <si>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</si>
  <si>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</si>
  <si>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</si>
  <si>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</si>
  <si>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</si>
  <si>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</si>
  <si>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</si>
  <si>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</si>
  <si>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</si>
  <si>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</si>
  <si>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</si>
  <si>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</si>
  <si>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</si>
  <si>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</si>
  <si>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</si>
  <si>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</si>
  <si>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</si>
  <si>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</si>
  <si>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</si>
  <si>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</si>
  <si>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</si>
  <si>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</si>
  <si>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</si>
  <si>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</si>
  <si>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</si>
  <si>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</si>
  <si>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</si>
  <si>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</si>
  <si>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</si>
  <si>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</si>
  <si>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</si>
  <si>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</si>
  <si>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</si>
  <si>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</si>
  <si>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</si>
  <si>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</si>
  <si>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</si>
  <si>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</si>
  <si>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</si>
  <si>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</si>
  <si>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</si>
  <si>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</si>
  <si>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</si>
  <si>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</si>
  <si>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</si>
  <si>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</si>
  <si>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</si>
  <si>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</si>
  <si>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</si>
  <si>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</si>
  <si>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</si>
  <si>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</si>
  <si>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</si>
  <si>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</si>
  <si>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</si>
  <si>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</si>
  <si>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</si>
  <si>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</si>
  <si>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</si>
  <si>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</si>
  <si>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</si>
  <si>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</si>
  <si>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</si>
  <si>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</si>
  <si>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</si>
  <si>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</si>
  <si>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</si>
  <si>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</si>
  <si>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</si>
  <si>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</si>
  <si>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</si>
  <si>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</si>
  <si>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</si>
  <si>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</si>
  <si>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</si>
  <si>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</si>
  <si>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</si>
  <si>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</si>
  <si>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</si>
  <si>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</si>
  <si>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</si>
  <si>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</si>
  <si>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</si>
  <si>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</si>
  <si>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</si>
  <si>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</si>
  <si>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</si>
  <si>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</si>
  <si>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</si>
  <si>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</si>
  <si>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</si>
  <si>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</si>
  <si>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</si>
  <si>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</si>
  <si>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</si>
  <si>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</si>
  <si>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</si>
  <si>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</si>
  <si>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</si>
  <si>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</si>
  <si>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</si>
  <si>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</si>
  <si>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</si>
  <si>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</si>
  <si>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</si>
  <si>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</si>
  <si>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</si>
  <si>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</si>
  <si>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</si>
  <si>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</si>
  <si>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</si>
  <si>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</si>
  <si>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</si>
  <si>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</si>
  <si>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</si>
  <si>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</si>
  <si>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</si>
  <si>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</si>
  <si>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</si>
  <si>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</si>
  <si>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</si>
  <si>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</si>
  <si>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</si>
  <si>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</si>
  <si>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</si>
  <si>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</si>
  <si>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</si>
  <si>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</si>
  <si>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</si>
  <si>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</si>
  <si>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</si>
  <si>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</si>
  <si>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</si>
  <si>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</si>
  <si>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</si>
  <si>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</si>
  <si>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</si>
  <si>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</si>
  <si>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</si>
  <si>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</si>
  <si>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</si>
  <si>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</si>
  <si>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</si>
  <si>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</si>
  <si>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</si>
  <si>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</si>
  <si>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</si>
  <si>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</si>
  <si>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</si>
  <si>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</si>
  <si>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</si>
  <si>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</si>
  <si>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</si>
  <si>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</si>
  <si>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</si>
  <si>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</si>
  <si>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</si>
  <si>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</si>
  <si>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</si>
  <si>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</si>
  <si>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</si>
  <si>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</si>
  <si>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</si>
  <si>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</si>
  <si>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</si>
  <si>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</si>
  <si>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</si>
  <si>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</si>
  <si>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</si>
  <si>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</si>
  <si>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</si>
  <si>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</si>
  <si>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</si>
  <si>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</si>
  <si>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</si>
  <si>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</si>
  <si>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</si>
  <si>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</si>
  <si>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</si>
  <si>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</si>
  <si>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</si>
  <si>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</si>
  <si>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</si>
  <si>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</si>
  <si>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</si>
  <si>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</si>
  <si>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</si>
  <si>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</si>
  <si>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</si>
  <si>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</si>
  <si>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</si>
  <si>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</si>
  <si>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</si>
  <si>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</si>
  <si>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</si>
  <si>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</si>
  <si>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</si>
  <si>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</si>
  <si>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</si>
  <si>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</si>
  <si>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</si>
  <si>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</si>
  <si>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</si>
  <si>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</si>
  <si>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</si>
  <si>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</si>
  <si>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</si>
  <si>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</si>
  <si>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</si>
  <si>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</si>
  <si>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</si>
  <si>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</si>
  <si>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</si>
  <si>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</si>
  <si>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</si>
  <si>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</si>
  <si>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</si>
  <si>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</si>
  <si>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</si>
  <si>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</si>
  <si>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</si>
  <si>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</si>
  <si>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</si>
  <si>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</si>
  <si>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</si>
  <si>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</si>
  <si>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</si>
  <si>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</si>
  <si>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</si>
  <si>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</si>
  <si>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</si>
  <si>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</si>
  <si>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</si>
  <si>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</si>
  <si>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</si>
  <si>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</si>
  <si>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</si>
  <si>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</si>
  <si>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</si>
  <si>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</si>
  <si>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</si>
  <si>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</si>
  <si>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</si>
  <si>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</si>
  <si>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</si>
  <si>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</si>
  <si>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</si>
  <si>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</si>
  <si>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</si>
  <si>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</si>
  <si>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</si>
  <si>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</si>
  <si>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</si>
  <si>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</si>
  <si>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</si>
  <si>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</si>
  <si>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</si>
  <si>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</si>
  <si>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</si>
  <si>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</si>
  <si>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</si>
  <si>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</si>
  <si>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</si>
  <si>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</si>
  <si>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</si>
  <si>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</si>
  <si>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</si>
  <si>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</si>
  <si>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</si>
  <si>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</si>
  <si>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</si>
  <si>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</si>
  <si>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</si>
  <si>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</si>
  <si>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</si>
  <si>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</si>
  <si>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</si>
  <si>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</si>
  <si>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</si>
  <si>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</si>
  <si>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</si>
  <si>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</si>
  <si>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</si>
  <si>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</si>
  <si>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</si>
  <si>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</si>
  <si>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</si>
  <si>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</si>
  <si>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</si>
  <si>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</si>
  <si>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</si>
  <si>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</si>
  <si>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</si>
  <si>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</si>
  <si>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</si>
  <si>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</si>
  <si>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</si>
  <si>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</si>
  <si>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</si>
  <si>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</si>
  <si>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</si>
  <si>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</si>
  <si>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</si>
  <si>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</si>
  <si>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</si>
  <si>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</si>
  <si>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</si>
  <si>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</si>
  <si>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</si>
  <si>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</si>
  <si>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</si>
  <si>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</si>
  <si>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</si>
  <si>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</si>
  <si>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</si>
  <si>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</si>
  <si>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</si>
  <si>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</si>
  <si>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</si>
  <si>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</si>
  <si>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</si>
  <si>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</si>
  <si>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</si>
  <si>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</si>
  <si>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</si>
  <si>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</si>
  <si>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</si>
  <si>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</si>
  <si>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</si>
  <si>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</si>
  <si>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</si>
  <si>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</si>
  <si>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</si>
  <si>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</si>
  <si>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</si>
  <si>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</si>
  <si>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</si>
  <si>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</si>
  <si>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</si>
  <si>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</si>
  <si>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</si>
  <si>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</si>
  <si>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</si>
  <si>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</si>
  <si>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</si>
  <si>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</si>
  <si>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</si>
  <si>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</si>
  <si>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</si>
  <si>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</si>
  <si>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</si>
  <si>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</si>
  <si>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</si>
  <si>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</si>
  <si>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</si>
  <si>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</si>
  <si>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</si>
  <si>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</si>
  <si>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</si>
  <si>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</si>
  <si>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</si>
  <si>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</si>
  <si>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</si>
  <si>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</si>
  <si>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</si>
  <si>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</si>
  <si>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</si>
  <si>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</si>
  <si>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</si>
  <si>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</si>
  <si>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</si>
  <si>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</si>
  <si>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</si>
  <si>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</si>
  <si>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</si>
  <si>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</si>
  <si>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</si>
  <si>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</si>
  <si>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</si>
  <si>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</si>
  <si>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</si>
  <si>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</si>
  <si>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</si>
  <si>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</si>
  <si>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</si>
  <si>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</si>
  <si>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</si>
  <si>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</si>
  <si>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</si>
  <si>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</si>
  <si>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</si>
  <si>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</si>
  <si>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</si>
  <si>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</si>
  <si>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</si>
  <si>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</si>
  <si>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</si>
  <si>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</si>
  <si>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</si>
  <si>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</si>
  <si>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</si>
  <si>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</si>
  <si>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</si>
  <si>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</si>
  <si>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</si>
  <si>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</si>
  <si>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</si>
  <si>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</si>
  <si>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</si>
  <si>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</si>
  <si>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</si>
  <si>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</si>
  <si>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</si>
  <si>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</si>
  <si>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</si>
  <si>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</si>
  <si>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</si>
  <si>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</si>
  <si>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</si>
  <si>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</si>
  <si>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</si>
  <si>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</si>
  <si>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</si>
  <si>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</si>
  <si>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</si>
  <si>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</si>
  <si>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</si>
  <si>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</si>
  <si>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</si>
  <si>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</si>
  <si>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</si>
  <si>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</si>
  <si>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</si>
  <si>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</si>
  <si>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</si>
  <si>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</si>
  <si>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</si>
  <si>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</si>
  <si>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</si>
  <si>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</si>
  <si>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</si>
  <si>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</si>
  <si>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</si>
  <si>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</si>
  <si>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</si>
  <si>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</si>
  <si>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</si>
  <si>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</si>
  <si>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</si>
  <si>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</si>
  <si>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</si>
  <si>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</si>
  <si>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</si>
  <si>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</si>
  <si>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</si>
  <si>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</si>
  <si>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</si>
  <si>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</si>
  <si>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</si>
  <si>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</si>
  <si>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</si>
  <si>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</si>
  <si>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</si>
  <si>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</si>
  <si>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</si>
  <si>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</si>
  <si>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</si>
  <si>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</si>
  <si>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</si>
  <si>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</si>
  <si>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</si>
  <si>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</si>
  <si>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</si>
  <si>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</si>
  <si>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</si>
  <si>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</si>
  <si>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</si>
  <si>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</si>
  <si>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</si>
  <si>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</si>
  <si>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</si>
  <si>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</si>
  <si>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</si>
  <si>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</si>
  <si>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</si>
  <si>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</si>
  <si>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</si>
  <si>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</si>
  <si>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</si>
  <si>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</si>
  <si>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</si>
  <si>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</si>
  <si>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</si>
  <si>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</si>
  <si>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</si>
  <si>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</si>
  <si>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</si>
  <si>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</si>
  <si>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</si>
  <si>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</si>
  <si>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</si>
  <si>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</si>
  <si>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</si>
  <si>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</si>
  <si>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</si>
  <si>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</si>
  <si>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</si>
  <si>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</si>
  <si>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</si>
  <si>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</si>
  <si>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</si>
  <si>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</si>
  <si>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</si>
  <si>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</si>
  <si>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</si>
  <si>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</si>
  <si>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</si>
  <si>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</si>
  <si>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</si>
  <si>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</si>
  <si>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</si>
  <si>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</si>
  <si>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</si>
  <si>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</si>
  <si>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</si>
  <si>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</si>
  <si>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</si>
  <si>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</si>
  <si>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</si>
  <si>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</si>
  <si>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</si>
  <si>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</si>
  <si>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</si>
  <si>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</si>
  <si>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</si>
  <si>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</si>
  <si>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</si>
  <si>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</si>
  <si>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</si>
  <si>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</si>
  <si>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</si>
  <si>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</si>
  <si>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</si>
  <si>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</si>
  <si>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</si>
  <si>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</si>
  <si>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</si>
  <si>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</si>
  <si>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</si>
  <si>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</si>
  <si>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</si>
  <si>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</si>
  <si>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</si>
  <si>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</si>
  <si>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</si>
  <si>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</si>
  <si>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</si>
  <si>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</si>
  <si>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</si>
  <si>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</si>
  <si>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</si>
  <si>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</si>
  <si>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</si>
  <si>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</si>
  <si>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</si>
  <si>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</si>
  <si>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</si>
  <si>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</si>
  <si>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</si>
  <si>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</si>
  <si>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</si>
  <si>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</si>
  <si>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</si>
  <si>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</si>
  <si>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</si>
  <si>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</si>
  <si>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</si>
  <si>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</si>
  <si>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</si>
  <si>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</si>
  <si>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</si>
  <si>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</si>
  <si>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</si>
  <si>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</si>
  <si>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</si>
  <si>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</si>
  <si>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</si>
  <si>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</si>
  <si>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</si>
  <si>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</si>
  <si>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</si>
  <si>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</si>
  <si>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</si>
  <si>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</si>
  <si>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</si>
  <si>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</si>
  <si>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</si>
  <si>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</si>
  <si>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</si>
  <si>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</si>
  <si>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</si>
  <si>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</si>
  <si>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</si>
  <si>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</si>
  <si>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</si>
  <si>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</si>
  <si>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</si>
  <si>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</si>
  <si>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</si>
  <si>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</si>
  <si>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</si>
  <si>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</si>
  <si>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</si>
  <si>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</si>
  <si>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</si>
  <si>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</si>
  <si>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</si>
  <si>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</si>
  <si>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</si>
  <si>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</si>
  <si>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</si>
  <si>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</si>
  <si>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</si>
  <si>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</si>
  <si>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</si>
  <si>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</si>
  <si>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</si>
  <si>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</si>
  <si>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</si>
  <si>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</si>
  <si>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</si>
  <si>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</si>
  <si>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</si>
  <si>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</si>
  <si>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</si>
  <si>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</si>
  <si>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</si>
  <si>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</si>
  <si>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</si>
  <si>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</si>
  <si>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</si>
  <si>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</si>
  <si>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</si>
  <si>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</si>
  <si>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</si>
  <si>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</si>
  <si>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</si>
  <si>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</si>
  <si>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</si>
  <si>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</si>
  <si>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</si>
  <si>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</si>
  <si>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</si>
  <si>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</si>
  <si>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</si>
  <si>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</si>
  <si>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</si>
  <si>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</si>
  <si>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</si>
  <si>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</si>
  <si>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</si>
  <si>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</si>
  <si>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</si>
  <si>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</si>
  <si>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</si>
  <si>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</si>
  <si>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</si>
  <si>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</si>
  <si>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</si>
  <si>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</si>
  <si>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</si>
  <si>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</si>
  <si>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</si>
  <si>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</si>
  <si>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</si>
  <si>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</si>
  <si>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</si>
  <si>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</si>
  <si>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</si>
  <si>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</si>
  <si>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</si>
  <si>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</si>
  <si>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</si>
  <si>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</si>
  <si>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</si>
  <si>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</si>
  <si>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</si>
  <si>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</si>
  <si>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</si>
  <si>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</si>
  <si>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</si>
  <si>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</si>
  <si>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</si>
  <si>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</si>
  <si>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</si>
  <si>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</si>
  <si>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</si>
  <si>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</si>
  <si>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</si>
  <si>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</si>
  <si>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</si>
  <si>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</si>
  <si>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</si>
  <si>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</si>
  <si>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</si>
  <si>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</si>
  <si>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</si>
  <si>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</si>
  <si>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</si>
  <si>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</si>
  <si>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</si>
  <si>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</si>
  <si>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</si>
  <si>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</si>
  <si>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</si>
  <si>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</si>
  <si>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</si>
  <si>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</si>
  <si>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</si>
  <si>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</si>
  <si>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</si>
  <si>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</si>
  <si>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</si>
  <si>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</si>
  <si>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</si>
  <si>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</si>
  <si>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</si>
  <si>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</si>
  <si>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</si>
  <si>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</si>
  <si>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</si>
  <si>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</si>
  <si>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</si>
  <si>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</si>
  <si>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</si>
  <si>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</si>
  <si>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</si>
  <si>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</si>
  <si>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</si>
  <si>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</si>
  <si>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</si>
  <si>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</si>
  <si>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</si>
  <si>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</si>
  <si>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</si>
  <si>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</si>
  <si>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</si>
  <si>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</si>
  <si>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</si>
  <si>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</si>
  <si>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</si>
  <si>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</si>
  <si>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</si>
  <si>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</si>
  <si>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</si>
  <si>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</si>
  <si>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</si>
  <si>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</si>
  <si>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</si>
  <si>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</si>
  <si>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</si>
  <si>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</si>
  <si>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</si>
  <si>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</si>
  <si>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</si>
  <si>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</si>
  <si>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</si>
  <si>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</si>
  <si>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</si>
  <si>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</si>
  <si>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</si>
  <si>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</si>
  <si>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</si>
  <si>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</si>
  <si>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</si>
  <si>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</si>
  <si>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</si>
  <si>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</si>
  <si>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</si>
  <si>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</si>
  <si>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</si>
  <si>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</si>
  <si>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</si>
  <si>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</si>
  <si>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</si>
  <si>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</si>
  <si>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</si>
  <si>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</si>
  <si>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</si>
  <si>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</si>
  <si>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</si>
  <si>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</si>
  <si>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</si>
  <si>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</si>
  <si>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</si>
  <si>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</si>
  <si>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</si>
  <si>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</si>
  <si>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</si>
  <si>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</si>
  <si>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</si>
  <si>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</si>
  <si>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</si>
  <si>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</si>
  <si>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</si>
  <si>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</si>
  <si>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</si>
  <si>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</si>
  <si>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</si>
  <si>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</si>
  <si>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</si>
  <si>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</si>
  <si>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</si>
  <si>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</si>
  <si>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</si>
  <si>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</si>
  <si>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</si>
  <si>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</si>
  <si>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</si>
  <si>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</si>
  <si>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</si>
  <si>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</si>
  <si>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</si>
  <si>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</si>
  <si>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</si>
  <si>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</si>
  <si>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</si>
  <si>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</si>
  <si>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</si>
  <si>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</si>
  <si>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</si>
  <si>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</si>
  <si>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</si>
  <si>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</si>
  <si>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</si>
  <si>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</si>
  <si>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</si>
  <si>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</si>
  <si>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</si>
  <si>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</si>
  <si>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</si>
  <si>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</si>
  <si>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</si>
  <si>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</si>
  <si>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</si>
  <si>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</si>
  <si>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</si>
  <si>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</si>
  <si>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</si>
  <si>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</si>
  <si>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</si>
  <si>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</si>
  <si>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</si>
  <si>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</si>
  <si>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</si>
  <si>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</si>
  <si>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</si>
  <si>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</si>
  <si>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</si>
  <si>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</si>
  <si>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</si>
  <si>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</si>
  <si>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</si>
  <si>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</si>
  <si>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</si>
  <si>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</si>
  <si>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</si>
  <si>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</si>
  <si>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</si>
  <si>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</si>
  <si>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</si>
  <si>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</si>
  <si>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</si>
  <si>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</si>
  <si>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</si>
  <si>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</si>
  <si>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</si>
  <si>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</si>
  <si>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</si>
  <si>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</si>
  <si>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</si>
  <si>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</si>
  <si>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</si>
  <si>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</si>
  <si>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</si>
  <si>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</si>
  <si>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</si>
  <si>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</si>
  <si>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</si>
  <si>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</si>
  <si>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</si>
  <si>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</si>
  <si>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</si>
  <si>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</si>
  <si>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</si>
  <si>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</si>
  <si>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</si>
  <si>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</si>
  <si>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</si>
  <si>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</si>
  <si>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</si>
  <si>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</si>
  <si>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</si>
  <si>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</si>
  <si>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</si>
  <si>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</si>
  <si>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</si>
  <si>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</si>
  <si>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</si>
  <si>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</si>
  <si>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</si>
  <si>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</si>
  <si>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</si>
  <si>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</si>
  <si>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</si>
  <si>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</si>
  <si>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</si>
  <si>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</si>
  <si>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</si>
  <si>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</si>
  <si>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</si>
  <si>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</si>
  <si>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</si>
  <si>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</si>
  <si>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</si>
  <si>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</si>
  <si>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</si>
  <si>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</si>
  <si>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</si>
  <si>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</si>
  <si>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</si>
  <si>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</si>
  <si>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</si>
  <si>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</si>
  <si>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</si>
  <si>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</si>
  <si>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</si>
  <si>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</si>
  <si>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</si>
  <si>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</si>
  <si>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</si>
  <si>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</si>
  <si>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</si>
  <si>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</si>
  <si>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</si>
  <si>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</si>
  <si>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</si>
  <si>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</si>
  <si>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</si>
  <si>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</si>
  <si>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</si>
  <si>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</si>
  <si>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</si>
  <si>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</si>
  <si>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</si>
  <si>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</si>
  <si>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</si>
  <si>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</si>
  <si>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</si>
  <si>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</si>
  <si>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</si>
  <si>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</si>
  <si>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</si>
  <si>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</si>
  <si>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</si>
  <si>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</si>
  <si>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</si>
  <si>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</si>
  <si>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</si>
  <si>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</si>
  <si>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</si>
  <si>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</si>
  <si>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</si>
  <si>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</si>
  <si>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</si>
  <si>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</si>
  <si>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</si>
  <si>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</si>
  <si>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</si>
  <si>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</si>
  <si>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</si>
  <si>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</si>
  <si>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</si>
  <si>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</si>
  <si>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</si>
  <si>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</si>
  <si>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</si>
  <si>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</si>
  <si>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</si>
  <si>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</si>
  <si>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</si>
  <si>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</si>
  <si>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</si>
  <si>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</si>
  <si>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</si>
  <si>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</si>
  <si>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</si>
  <si>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</si>
  <si>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</si>
  <si>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</si>
  <si>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</si>
  <si>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</si>
  <si>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</si>
  <si>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</si>
  <si>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</si>
  <si>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</si>
  <si>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</si>
  <si>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</si>
  <si>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</si>
  <si>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</si>
  <si>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</si>
  <si>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</si>
  <si>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</si>
  <si>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</si>
  <si>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</si>
  <si>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</si>
  <si>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</si>
  <si>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</si>
  <si>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</si>
  <si>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</si>
  <si>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</si>
  <si>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</si>
  <si>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</si>
  <si>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</si>
  <si>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</si>
  <si>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</si>
  <si>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</si>
  <si>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</si>
  <si>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</si>
  <si>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</si>
  <si>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</si>
  <si>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</si>
  <si>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</si>
  <si>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</si>
  <si>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</si>
  <si>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</si>
  <si>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</si>
  <si>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</si>
  <si>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</si>
  <si>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</si>
  <si>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</si>
  <si>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</si>
  <si>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</si>
  <si>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</si>
  <si>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</si>
  <si>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</si>
  <si>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</si>
  <si>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</si>
  <si>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</si>
  <si>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</si>
  <si>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</si>
  <si>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</si>
  <si>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</si>
  <si>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</si>
  <si>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</si>
  <si>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</si>
  <si>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</si>
  <si>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</si>
  <si>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</si>
  <si>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</si>
  <si>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</si>
  <si>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</si>
  <si>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</si>
  <si>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</si>
  <si>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</si>
  <si>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</si>
  <si>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</si>
  <si>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</si>
  <si>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</si>
  <si>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</si>
  <si>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</si>
  <si>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</si>
  <si>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</si>
  <si>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</si>
  <si>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</si>
  <si>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</si>
  <si>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</si>
  <si>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</si>
  <si>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</si>
  <si>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</si>
  <si>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</si>
  <si>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</si>
  <si>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</si>
  <si>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</si>
  <si>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</si>
  <si>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</si>
  <si>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</si>
  <si>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</si>
  <si>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</si>
  <si>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</si>
  <si>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</si>
  <si>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</si>
  <si>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</si>
  <si>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</si>
  <si>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</si>
  <si>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</si>
  <si>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</si>
  <si>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</si>
  <si>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</si>
  <si>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</si>
  <si>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</si>
  <si>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</si>
  <si>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</si>
  <si>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</si>
  <si>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</si>
  <si>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</si>
  <si>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</si>
  <si>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</si>
  <si>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</si>
  <si>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</si>
  <si>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</si>
  <si>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</si>
  <si>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</si>
  <si>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</si>
  <si>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</si>
  <si>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</si>
  <si>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</si>
  <si>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</si>
  <si>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</si>
  <si>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</si>
  <si>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</si>
  <si>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</si>
  <si>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</si>
  <si>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</si>
  <si>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</si>
  <si>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</si>
  <si>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</si>
  <si>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</si>
  <si>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</si>
  <si>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</si>
  <si>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</si>
  <si>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</si>
  <si>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</si>
  <si>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</si>
  <si>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</si>
  <si>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</si>
  <si>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</si>
  <si>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</si>
  <si>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</si>
  <si>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</si>
  <si>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</si>
  <si>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</si>
  <si>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</si>
  <si>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</si>
  <si>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</si>
  <si>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</si>
  <si>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</si>
  <si>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</si>
  <si>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</si>
  <si>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</si>
  <si>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</si>
  <si>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</si>
  <si>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</si>
  <si>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</si>
  <si>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</si>
  <si>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</si>
  <si>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</si>
  <si>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</si>
  <si>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</si>
  <si>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</si>
  <si>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</si>
  <si>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</si>
  <si>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</si>
  <si>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</si>
  <si>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</si>
  <si>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</si>
  <si>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</si>
  <si>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</si>
  <si>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</si>
  <si>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</si>
  <si>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</si>
  <si>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</si>
  <si>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</si>
  <si>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</si>
  <si>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</si>
  <si>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</si>
  <si>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</si>
  <si>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</si>
  <si>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</si>
  <si>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</si>
  <si>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</si>
  <si>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</si>
  <si>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</si>
  <si>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</si>
  <si>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</si>
  <si>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</si>
  <si>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</si>
  <si>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</si>
  <si>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</si>
  <si>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</si>
  <si>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</si>
  <si>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</si>
  <si>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</si>
  <si>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</si>
  <si>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</si>
  <si>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</si>
  <si>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</si>
  <si>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</si>
  <si>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</si>
  <si>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</si>
  <si>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</si>
  <si>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</si>
  <si>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</si>
  <si>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</si>
  <si>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</si>
  <si>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</si>
  <si>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</si>
  <si>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</si>
  <si>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</si>
  <si>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</si>
  <si>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</si>
  <si>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</si>
  <si>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</si>
  <si>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</si>
  <si>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</si>
  <si>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</si>
  <si>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</si>
  <si>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</si>
  <si>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</si>
  <si>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</si>
  <si>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</si>
  <si>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</si>
  <si>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</si>
  <si>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</si>
  <si>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</si>
  <si>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</si>
  <si>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</si>
  <si>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</si>
  <si>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</si>
  <si>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</si>
  <si>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</si>
  <si>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</si>
  <si>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</si>
  <si>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</si>
  <si>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</si>
  <si>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</si>
  <si>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</si>
  <si>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</si>
  <si>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</si>
  <si>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</si>
  <si>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</si>
  <si>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</si>
  <si>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</si>
  <si>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</si>
  <si>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</si>
  <si>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</si>
  <si>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</si>
  <si>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</si>
  <si>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</si>
  <si>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</si>
  <si>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</si>
  <si>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</si>
  <si>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</si>
  <si>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</si>
  <si>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</si>
  <si>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</si>
  <si>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</si>
  <si>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</si>
  <si>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</si>
  <si>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</si>
  <si>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</si>
  <si>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</si>
  <si>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</si>
  <si>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</si>
  <si>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</si>
  <si>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</si>
  <si>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</si>
  <si>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</si>
  <si>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</si>
  <si>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</si>
  <si>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</si>
  <si>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</si>
  <si>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</si>
  <si>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</si>
  <si>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</si>
  <si>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</si>
  <si>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</si>
  <si>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</si>
  <si>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</si>
  <si>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</si>
  <si>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</si>
  <si>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</si>
  <si>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</si>
  <si>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</si>
  <si>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</si>
  <si>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</si>
  <si>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</si>
  <si>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</si>
  <si>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</si>
  <si>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</si>
  <si>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</si>
  <si>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</si>
  <si>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</si>
  <si>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</si>
  <si>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</si>
  <si>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</si>
  <si>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</si>
  <si>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</si>
  <si>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</si>
  <si>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</si>
  <si>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</si>
  <si>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</si>
  <si>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</si>
  <si>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</si>
  <si>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</si>
  <si>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</si>
  <si>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</si>
  <si>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</si>
  <si>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</si>
  <si>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</si>
  <si>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</si>
  <si>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</si>
  <si>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</si>
  <si>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</si>
  <si>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</si>
  <si>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</si>
  <si>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</si>
  <si>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</si>
  <si>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</si>
  <si>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</si>
  <si>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</si>
  <si>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</si>
  <si>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</si>
  <si>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</si>
  <si>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</si>
  <si>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</si>
  <si>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</si>
  <si>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</si>
  <si>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</si>
  <si>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</si>
  <si>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</si>
  <si>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</si>
  <si>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</si>
  <si>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</si>
  <si>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</si>
  <si>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</si>
  <si>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</si>
  <si>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</si>
  <si>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</si>
  <si>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</si>
  <si>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</si>
  <si>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</si>
  <si>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</si>
  <si>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</si>
  <si>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</si>
  <si>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</si>
  <si>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</si>
  <si>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</si>
  <si>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</si>
  <si>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</si>
  <si>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</si>
  <si>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</si>
  <si>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</si>
  <si>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</si>
  <si>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</si>
  <si>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</si>
  <si>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</si>
  <si>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</si>
  <si>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</si>
  <si>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</si>
  <si>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</si>
  <si>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</si>
  <si>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</si>
  <si>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</si>
  <si>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</si>
  <si>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</si>
  <si>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</si>
  <si>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</si>
  <si>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</si>
  <si>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</si>
  <si>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</si>
  <si>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</si>
  <si>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</si>
  <si>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</si>
  <si>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</si>
  <si>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</si>
  <si>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</si>
  <si>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</si>
  <si>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</si>
  <si>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</si>
  <si>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</si>
  <si>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</si>
  <si>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</si>
  <si>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</si>
  <si>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</si>
  <si>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</si>
  <si>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</si>
  <si>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</si>
  <si>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</si>
  <si>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</si>
  <si>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</si>
  <si>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</si>
  <si>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</si>
  <si>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</si>
  <si>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</si>
  <si>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</si>
  <si>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</si>
  <si>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</si>
  <si>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</si>
  <si>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</si>
  <si>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</si>
  <si>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</si>
  <si>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</si>
  <si>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</si>
  <si>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</si>
  <si>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</si>
  <si>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</si>
  <si>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</si>
  <si>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</si>
  <si>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</si>
  <si>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</si>
  <si>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</si>
  <si>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</si>
  <si>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</si>
  <si>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</si>
  <si>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</si>
  <si>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</si>
  <si>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</si>
  <si>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</si>
  <si>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</si>
  <si>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</si>
  <si>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</si>
  <si>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</si>
  <si>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</si>
  <si>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</si>
  <si>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</si>
  <si>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</si>
  <si>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</si>
  <si>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</si>
  <si>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</si>
  <si>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</si>
  <si>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</si>
  <si>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</si>
  <si>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</si>
  <si>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</si>
  <si>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</si>
  <si>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</si>
  <si>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</si>
  <si>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</si>
  <si>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</si>
  <si>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</si>
  <si>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</si>
  <si>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</si>
  <si>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</si>
  <si>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</si>
  <si>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</si>
  <si>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</si>
  <si>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</si>
  <si>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</si>
  <si>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</si>
  <si>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</si>
  <si>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</si>
  <si>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</si>
  <si>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</si>
  <si>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</si>
  <si>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</si>
  <si>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</si>
  <si>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</si>
  <si>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</si>
  <si>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</si>
  <si>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</si>
  <si>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</si>
  <si>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</si>
  <si>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</si>
  <si>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</si>
  <si>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</si>
  <si>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</si>
  <si>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</si>
  <si>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</si>
  <si>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</si>
  <si>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</si>
  <si>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</si>
  <si>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</si>
  <si>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</si>
  <si>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</si>
  <si>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</si>
  <si>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</si>
  <si>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</si>
  <si>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</si>
  <si>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</si>
  <si>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</si>
  <si>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</si>
  <si>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</si>
  <si>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</si>
  <si>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</si>
  <si>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</si>
  <si>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</si>
  <si>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</si>
  <si>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</si>
  <si>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</si>
  <si>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</si>
  <si>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</si>
  <si>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</si>
  <si>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</si>
  <si>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</si>
  <si>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</si>
  <si>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</si>
  <si>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</si>
  <si>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</si>
  <si>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</si>
  <si>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</si>
  <si>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</si>
  <si>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</si>
  <si>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</si>
  <si>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</si>
  <si>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</si>
  <si>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</si>
  <si>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</si>
  <si>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</si>
  <si>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</si>
  <si>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</si>
  <si>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</si>
  <si>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</si>
  <si>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</si>
  <si>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</si>
  <si>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</si>
  <si>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</si>
  <si>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</si>
  <si>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</si>
  <si>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</si>
  <si>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</si>
  <si>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</si>
  <si>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</si>
  <si>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</si>
  <si>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</si>
  <si>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</si>
  <si>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</si>
  <si>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</si>
  <si>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</si>
  <si>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</si>
  <si>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</si>
  <si>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</si>
  <si>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</si>
  <si>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</si>
  <si>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</si>
  <si>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</si>
  <si>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</si>
  <si>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</si>
  <si>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</si>
  <si>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</si>
  <si>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</si>
  <si>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</si>
  <si>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</si>
  <si>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</si>
  <si>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</si>
  <si>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</si>
  <si>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</si>
  <si>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</si>
  <si>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</si>
  <si>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</si>
  <si>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</si>
  <si>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</si>
  <si>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</si>
  <si>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</si>
  <si>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</si>
  <si>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</si>
  <si>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</si>
  <si>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</si>
  <si>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</si>
  <si>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</si>
  <si>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</si>
  <si>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</si>
  <si>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</si>
  <si>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</si>
  <si>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</si>
  <si>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</si>
  <si>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</si>
  <si>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</si>
  <si>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</si>
  <si>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</si>
  <si>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</si>
  <si>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</si>
  <si>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</si>
  <si>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</si>
  <si>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</si>
  <si>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</si>
  <si>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</si>
  <si>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</si>
  <si>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</si>
  <si>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</si>
  <si>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</si>
  <si>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</si>
  <si>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</si>
  <si>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</si>
  <si>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</si>
  <si>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</si>
  <si>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</si>
  <si>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</si>
  <si>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</si>
  <si>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</si>
  <si>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</si>
  <si>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</si>
  <si>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</si>
  <si>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</si>
  <si>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</si>
  <si>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</si>
  <si>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</si>
  <si>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</si>
  <si>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</si>
  <si>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</si>
  <si>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</si>
  <si>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</si>
  <si>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</si>
  <si>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</si>
  <si>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</si>
  <si>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</si>
  <si>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</si>
  <si>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</si>
  <si>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</si>
  <si>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</si>
  <si>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</si>
  <si>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</si>
  <si>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</si>
  <si>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</si>
  <si>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</si>
  <si>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</si>
  <si>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</si>
  <si>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</si>
  <si>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</si>
  <si>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</si>
  <si>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</si>
  <si>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</si>
  <si>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</si>
  <si>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</si>
  <si>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</si>
  <si>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</si>
  <si>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</si>
  <si>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</si>
  <si>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</si>
  <si>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</si>
  <si>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</si>
  <si>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</si>
  <si>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</si>
  <si>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</si>
  <si>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</si>
  <si>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</si>
  <si>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</si>
  <si>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</si>
  <si>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</si>
  <si>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</si>
  <si>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</si>
  <si>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</si>
  <si>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</si>
  <si>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</si>
  <si>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</si>
  <si>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</si>
  <si>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</si>
  <si>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</si>
  <si>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</si>
  <si>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</si>
  <si>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</si>
  <si>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</si>
  <si>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</si>
  <si>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</si>
  <si>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</si>
  <si>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</si>
  <si>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</si>
  <si>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</si>
  <si>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</si>
  <si>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</si>
  <si>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</si>
  <si>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</si>
  <si>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</si>
  <si>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</si>
  <si>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</si>
  <si>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</si>
  <si>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</si>
  <si>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</si>
  <si>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</si>
  <si>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</si>
  <si>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</si>
  <si>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</si>
  <si>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</si>
  <si>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</si>
  <si>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</si>
  <si>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</si>
  <si>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</si>
  <si>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</si>
  <si>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</si>
  <si>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</si>
  <si>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</si>
  <si>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</si>
  <si>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</si>
  <si>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</si>
  <si>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</si>
  <si>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</si>
  <si>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</si>
  <si>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</si>
  <si>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</si>
  <si>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</si>
  <si>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</si>
  <si>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</si>
  <si>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</si>
  <si>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</si>
  <si>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</si>
  <si>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</si>
  <si>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</si>
  <si>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</si>
  <si>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</si>
  <si>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</si>
  <si>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</si>
  <si>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</si>
  <si>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</si>
  <si>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</si>
  <si>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</si>
  <si>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</si>
  <si>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</si>
  <si>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</si>
  <si>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</si>
  <si>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</si>
  <si>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</si>
  <si>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</si>
  <si>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</si>
  <si>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</si>
  <si>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</si>
  <si>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</si>
  <si>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</si>
  <si>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</si>
  <si>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</si>
  <si>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</si>
  <si>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</si>
  <si>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</si>
  <si>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</si>
  <si>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</si>
  <si>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</si>
  <si>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</si>
  <si>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</si>
  <si>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</si>
  <si>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</si>
  <si>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</si>
  <si>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</si>
  <si>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</si>
  <si>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</si>
  <si>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</si>
  <si>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</si>
  <si>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</si>
  <si>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</si>
  <si>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</si>
  <si>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</si>
  <si>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</si>
  <si>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</si>
  <si>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</si>
  <si>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</si>
  <si>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</si>
  <si>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</si>
  <si>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</si>
  <si>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</si>
  <si>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</si>
  <si>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</si>
  <si>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</si>
  <si>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</si>
  <si>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</si>
  <si>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</si>
  <si>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</si>
  <si>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</si>
  <si>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</si>
  <si>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</si>
  <si>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</si>
  <si>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</si>
  <si>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</si>
  <si>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</si>
  <si>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</si>
  <si>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</si>
  <si>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</si>
  <si>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</si>
  <si>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</si>
  <si>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</si>
  <si>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</si>
  <si>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</si>
  <si>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</si>
  <si>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</si>
  <si>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</si>
  <si>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</si>
  <si>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</si>
  <si>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</si>
  <si>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</si>
  <si>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</si>
  <si>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</si>
  <si>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</si>
  <si>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</si>
  <si>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</si>
  <si>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</si>
  <si>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</si>
  <si>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</si>
  <si>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</si>
  <si>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</si>
  <si>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</si>
  <si>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</si>
  <si>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</si>
  <si>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</si>
  <si>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</si>
  <si>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</si>
  <si>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</si>
  <si>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</si>
  <si>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</si>
  <si>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</si>
  <si>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</si>
  <si>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</si>
  <si>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</si>
  <si>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</si>
  <si>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</si>
  <si>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</si>
  <si>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</si>
  <si>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</si>
  <si>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</si>
  <si>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</si>
  <si>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</si>
  <si>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</si>
  <si>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</si>
  <si>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</si>
  <si>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</si>
  <si>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</si>
  <si>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</si>
  <si>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</si>
  <si>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</si>
  <si>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</si>
  <si>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</si>
  <si>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</si>
  <si>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</si>
  <si>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</si>
  <si>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</si>
  <si>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</si>
  <si>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</si>
  <si>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</si>
  <si>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</si>
  <si>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</si>
  <si>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</si>
  <si>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</si>
  <si>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</si>
  <si>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</si>
  <si>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</si>
  <si>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</si>
  <si>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</si>
  <si>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</si>
  <si>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</si>
  <si>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</si>
  <si>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</si>
  <si>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</si>
  <si>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</si>
  <si>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</si>
  <si>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</si>
  <si>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</si>
  <si>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</si>
  <si>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</si>
  <si>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</si>
  <si>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</si>
  <si>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</si>
  <si>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</si>
  <si>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</si>
  <si>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</si>
  <si>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</si>
  <si>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</si>
  <si>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</si>
  <si>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</si>
  <si>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</si>
  <si>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</si>
  <si>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</si>
  <si>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</si>
  <si>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</si>
  <si>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</si>
  <si>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</si>
  <si>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</si>
  <si>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</si>
  <si>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</si>
  <si>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</si>
  <si>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</si>
  <si>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</si>
  <si>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</si>
  <si>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</si>
  <si>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</si>
  <si>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</si>
  <si>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</si>
  <si>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</si>
  <si>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</si>
  <si>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</si>
  <si>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</si>
  <si>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</si>
  <si>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</si>
  <si>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</si>
  <si>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</si>
  <si>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</si>
  <si>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</si>
  <si>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</si>
  <si>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</si>
  <si>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</si>
  <si>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</si>
  <si>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</si>
  <si>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</si>
  <si>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</si>
  <si>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</si>
  <si>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</si>
  <si>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</si>
  <si>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</si>
  <si>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</si>
  <si>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</si>
  <si>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</si>
  <si>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</si>
  <si>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</si>
  <si>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</si>
  <si>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</si>
  <si>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</si>
  <si>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</si>
  <si>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</si>
  <si>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</si>
  <si>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</si>
  <si>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</si>
  <si>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</si>
  <si>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</si>
  <si>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</si>
  <si>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</si>
  <si>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</si>
  <si>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</si>
  <si>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</si>
  <si>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</si>
  <si>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</si>
  <si>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</si>
  <si>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</si>
  <si>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</si>
  <si>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</si>
  <si>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</si>
  <si>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</si>
  <si>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</si>
  <si>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</si>
  <si>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</si>
  <si>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</si>
  <si>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</si>
  <si>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</si>
  <si>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</si>
  <si>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</si>
  <si>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</si>
  <si>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</si>
  <si>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</si>
  <si>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</si>
  <si>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</si>
  <si>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</si>
  <si>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</si>
  <si>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</si>
  <si>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</si>
  <si>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</si>
  <si>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</si>
  <si>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</si>
  <si>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</si>
  <si>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</si>
  <si>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</si>
  <si>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</si>
  <si>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</si>
  <si>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</si>
  <si>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</si>
  <si>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</si>
  <si>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</si>
  <si>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</si>
  <si>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</si>
  <si>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</si>
  <si>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</si>
  <si>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</si>
  <si>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</si>
  <si>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</si>
  <si>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</si>
  <si>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</si>
  <si>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</si>
  <si>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</si>
  <si>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</si>
  <si>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</si>
  <si>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</si>
  <si>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</si>
  <si>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</si>
  <si>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</si>
  <si>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</si>
  <si>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</si>
  <si>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</si>
  <si>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</si>
  <si>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</si>
  <si>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</si>
  <si>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</si>
  <si>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</si>
  <si>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</si>
  <si>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</si>
  <si>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</si>
  <si>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</si>
  <si>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</si>
  <si>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</si>
  <si>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</si>
  <si>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</si>
  <si>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</si>
  <si>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</si>
  <si>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</si>
  <si>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</si>
  <si>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</si>
  <si>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</si>
  <si>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</si>
  <si>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</si>
  <si>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</si>
  <si>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</si>
  <si>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</si>
  <si>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</si>
  <si>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</si>
  <si>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</si>
  <si>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</si>
  <si>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</si>
  <si>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</si>
  <si>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</si>
  <si>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</si>
  <si>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</si>
  <si>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</si>
  <si>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</si>
  <si>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</si>
  <si>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</si>
  <si>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</si>
  <si>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</si>
  <si>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</si>
  <si>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</si>
  <si>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</si>
  <si>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</si>
  <si>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</si>
  <si>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</si>
  <si>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</si>
  <si>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</si>
  <si>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</si>
  <si>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</si>
  <si>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</si>
  <si>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</si>
  <si>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</si>
  <si>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</si>
  <si>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</si>
  <si>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</si>
  <si>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</si>
  <si>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</si>
  <si>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</si>
  <si>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</si>
  <si>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</si>
  <si>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</si>
  <si>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</si>
  <si>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</si>
  <si>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</si>
  <si>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</si>
  <si>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</si>
  <si>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</si>
  <si>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</si>
  <si>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</si>
  <si>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</si>
  <si>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</si>
  <si>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</si>
  <si>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</si>
  <si>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</si>
  <si>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</si>
  <si>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</si>
  <si>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</si>
  <si>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</si>
  <si>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</si>
  <si>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</si>
  <si>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</si>
  <si>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</si>
  <si>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</si>
  <si>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</si>
  <si>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</si>
  <si>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</si>
  <si>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</si>
  <si>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</si>
  <si>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</si>
  <si>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</si>
  <si>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</si>
  <si>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</si>
  <si>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</si>
  <si>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</si>
  <si>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</si>
  <si>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</si>
  <si>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</si>
  <si>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</si>
  <si>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</si>
  <si>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</si>
  <si>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</si>
  <si>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</si>
  <si>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</si>
  <si>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</si>
  <si>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</si>
  <si>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</si>
  <si>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</si>
  <si>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</si>
  <si>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</si>
  <si>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</si>
  <si>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</si>
  <si>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</si>
  <si>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</si>
  <si>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</si>
  <si>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</si>
  <si>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</si>
  <si>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</si>
  <si>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</si>
  <si>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</si>
  <si>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</si>
  <si>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</si>
  <si>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</si>
  <si>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</si>
  <si>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</si>
  <si>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</si>
  <si>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</si>
  <si>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</si>
  <si>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</si>
  <si>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</si>
  <si>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</si>
  <si>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</si>
  <si>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</si>
  <si>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</si>
  <si>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</si>
  <si>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</si>
  <si>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</si>
  <si>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</si>
  <si>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</si>
  <si>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</si>
  <si>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</si>
  <si>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</si>
  <si>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</si>
  <si>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</si>
  <si>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</si>
  <si>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</si>
  <si>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</si>
  <si>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</si>
  <si>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</si>
  <si>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</si>
  <si>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</si>
  <si>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</si>
  <si>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</si>
  <si>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</si>
  <si>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</si>
  <si>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</si>
  <si>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</si>
  <si>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</si>
  <si>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</si>
  <si>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</si>
  <si>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</si>
  <si>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</si>
  <si>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</si>
  <si>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</si>
  <si>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</si>
  <si>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</si>
  <si>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</si>
  <si>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</si>
  <si>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</si>
  <si>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</si>
  <si>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</si>
  <si>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</si>
  <si>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</si>
  <si>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</si>
  <si>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</si>
  <si>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</si>
  <si>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</si>
  <si>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</si>
  <si>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</si>
  <si>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</si>
  <si>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</si>
  <si>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</si>
  <si>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</si>
  <si>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</si>
  <si>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</si>
  <si>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</si>
  <si>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</si>
  <si>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</si>
  <si>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</si>
  <si>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</si>
  <si>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</si>
  <si>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</si>
  <si>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</si>
  <si>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</si>
  <si>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</si>
  <si>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</si>
  <si>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</si>
  <si>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</si>
  <si>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</si>
  <si>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</si>
  <si>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</si>
  <si>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</si>
  <si>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</si>
  <si>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</si>
  <si>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</si>
  <si>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</si>
  <si>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</si>
  <si>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</si>
  <si>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</si>
  <si>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</si>
  <si>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</si>
  <si>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</si>
  <si>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</si>
  <si>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</si>
  <si>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</si>
  <si>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</si>
  <si>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</si>
  <si>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</si>
  <si>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</si>
  <si>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</si>
  <si>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</si>
  <si>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</si>
  <si>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</si>
  <si>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</si>
  <si>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</si>
  <si>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</si>
  <si>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</si>
  <si>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</si>
  <si>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</si>
  <si>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</si>
  <si>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</si>
  <si>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</si>
  <si>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</si>
  <si>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</si>
  <si>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</si>
  <si>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</si>
  <si>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</si>
  <si>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</si>
  <si>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</si>
  <si>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</si>
  <si>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</si>
  <si>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</si>
  <si>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</si>
  <si>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</si>
  <si>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</si>
  <si>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</si>
  <si>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</si>
  <si>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</si>
  <si>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</si>
  <si>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</si>
  <si>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</si>
  <si>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</si>
  <si>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</si>
  <si>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</si>
  <si>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</si>
  <si>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</si>
  <si>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</si>
  <si>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</si>
  <si>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</si>
  <si>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</si>
  <si>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</si>
  <si>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</si>
  <si>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</si>
  <si>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</si>
  <si>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</si>
  <si>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</si>
  <si>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</si>
  <si>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</si>
  <si>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</si>
  <si>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</si>
  <si>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</si>
  <si>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</si>
  <si>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</si>
  <si>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</si>
  <si>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</si>
  <si>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</si>
  <si>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</si>
  <si>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</si>
  <si>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</si>
  <si>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</si>
  <si>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</si>
  <si>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</si>
  <si>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</si>
  <si>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</si>
  <si>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</si>
  <si>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</si>
  <si>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</si>
  <si>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</si>
  <si>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</si>
  <si>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</si>
  <si>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</si>
  <si>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</si>
  <si>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</si>
  <si>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</si>
  <si>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</si>
  <si>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</si>
  <si>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</si>
  <si>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</si>
  <si>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</si>
  <si>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</si>
  <si>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</si>
  <si>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</si>
  <si>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</si>
  <si>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</si>
  <si>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</si>
  <si>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</si>
  <si>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</si>
  <si>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</si>
  <si>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</si>
  <si>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</si>
  <si>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</si>
  <si>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</si>
  <si>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</si>
  <si>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</si>
  <si>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</si>
  <si>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</si>
  <si>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</si>
  <si>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</si>
  <si>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</si>
  <si>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</si>
  <si>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</si>
  <si>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</si>
  <si>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</si>
  <si>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</si>
  <si>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</si>
  <si>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</si>
  <si>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</si>
  <si>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</si>
  <si>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</si>
  <si>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</si>
  <si>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</si>
  <si>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</si>
  <si>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</si>
  <si>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</si>
  <si>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</si>
  <si>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</si>
  <si>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</si>
  <si>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</si>
  <si>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</si>
  <si>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</si>
  <si>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</si>
  <si>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</si>
  <si>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</si>
  <si>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</si>
  <si>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</si>
  <si>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</si>
  <si>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</si>
  <si>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</si>
  <si>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</si>
  <si>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</si>
  <si>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</si>
  <si>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</si>
  <si>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</si>
  <si>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</si>
  <si>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</si>
  <si>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</si>
  <si>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</si>
  <si>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</si>
  <si>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</si>
  <si>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</si>
  <si>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</si>
  <si>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</si>
  <si>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</si>
  <si>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</si>
  <si>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</si>
  <si>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</si>
  <si>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</si>
  <si>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</si>
  <si>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</si>
  <si>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</si>
  <si>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</si>
  <si>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</si>
  <si>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</si>
  <si>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</si>
  <si>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</si>
  <si>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</si>
  <si>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</si>
  <si>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</si>
  <si>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</si>
  <si>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</si>
  <si>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</si>
  <si>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</si>
  <si>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</si>
  <si>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</si>
  <si>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</si>
  <si>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</si>
  <si>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</si>
  <si>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</si>
  <si>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</si>
  <si>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</si>
  <si>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</si>
  <si>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</si>
  <si>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</si>
  <si>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</si>
  <si>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</si>
  <si>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</si>
  <si>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</si>
  <si>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</si>
  <si>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</si>
  <si>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</si>
  <si>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</si>
  <si>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</si>
  <si>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</si>
  <si>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</si>
  <si>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</si>
  <si>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</si>
  <si>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</si>
  <si>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</si>
  <si>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</si>
  <si>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</si>
  <si>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</si>
  <si>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</si>
  <si>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</si>
  <si>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</si>
  <si>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</si>
  <si>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</si>
  <si>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</si>
  <si>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</si>
  <si>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</si>
  <si>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</si>
  <si>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</si>
  <si>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</si>
  <si>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</si>
  <si>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</si>
  <si>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</si>
  <si>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</si>
  <si>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</si>
  <si>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</si>
  <si>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</si>
  <si>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</si>
  <si>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</si>
  <si>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</si>
  <si>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</si>
  <si>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</si>
  <si>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</si>
  <si>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</si>
  <si>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</si>
  <si>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</si>
  <si>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</si>
  <si>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</si>
  <si>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</si>
  <si>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</si>
  <si>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</si>
  <si>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</si>
  <si>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</si>
  <si>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</si>
  <si>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</si>
  <si>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</si>
  <si>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</si>
  <si>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</si>
  <si>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</si>
  <si>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</si>
  <si>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</si>
  <si>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</si>
  <si>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</si>
  <si>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</si>
  <si>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</si>
  <si>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</si>
  <si>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</si>
  <si>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</si>
  <si>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</si>
  <si>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</si>
  <si>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</si>
  <si>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</si>
  <si>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</si>
  <si>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</si>
  <si>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</si>
  <si>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</si>
  <si>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</si>
  <si>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</si>
  <si>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</si>
  <si>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</si>
  <si>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</si>
  <si>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</si>
  <si>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</si>
  <si>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</si>
  <si>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</si>
  <si>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</si>
  <si>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</si>
  <si>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</si>
  <si>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</si>
  <si>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</si>
  <si>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</si>
  <si>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</si>
  <si>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</si>
  <si>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</si>
  <si>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</si>
  <si>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</si>
  <si>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</si>
  <si>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</si>
  <si>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</si>
  <si>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</si>
  <si>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</si>
  <si>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</si>
  <si>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</si>
  <si>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</si>
  <si>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</si>
  <si>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</si>
  <si>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</si>
  <si>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</si>
  <si>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</si>
  <si>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</si>
  <si>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</si>
  <si>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</si>
  <si>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</si>
  <si>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</si>
  <si>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</si>
  <si>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</si>
  <si>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</si>
  <si>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</si>
  <si>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</si>
  <si>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</si>
  <si>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</si>
  <si>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</si>
  <si>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</si>
  <si>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</si>
  <si>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</si>
  <si>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</si>
  <si>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</si>
  <si>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</si>
  <si>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</si>
  <si>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</si>
  <si>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</si>
  <si>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</si>
  <si>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</si>
  <si>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</si>
  <si>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</si>
  <si>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</si>
  <si>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</si>
  <si>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</si>
  <si>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</si>
  <si>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</si>
  <si>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</si>
  <si>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</si>
  <si>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</si>
  <si>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</si>
  <si>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</si>
  <si>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</si>
  <si>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</si>
  <si>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</si>
  <si>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</si>
  <si>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</si>
  <si>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</si>
  <si>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</si>
  <si>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</si>
  <si>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</si>
  <si>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</si>
  <si>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</si>
  <si>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</si>
  <si>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</si>
  <si>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</si>
  <si>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</si>
  <si>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</si>
  <si>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</si>
  <si>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</si>
  <si>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</si>
  <si>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</si>
  <si>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</si>
  <si>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</si>
  <si>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</si>
  <si>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</si>
  <si>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</si>
  <si>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</si>
  <si>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</si>
  <si>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</si>
  <si>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</si>
  <si>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</si>
  <si>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</si>
  <si>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</si>
  <si>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</si>
  <si>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</si>
  <si>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</si>
  <si>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</si>
  <si>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</si>
  <si>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</si>
  <si>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</si>
  <si>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</si>
  <si>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</si>
  <si>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</si>
  <si>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</si>
  <si>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</si>
  <si>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</si>
  <si>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</si>
  <si>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</si>
  <si>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</si>
  <si>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</si>
  <si>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</si>
  <si>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</si>
  <si>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</si>
  <si>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</si>
  <si>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</si>
  <si>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</si>
  <si>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</si>
  <si>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</si>
  <si>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</si>
  <si>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</si>
  <si>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</si>
  <si>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</si>
  <si>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</si>
  <si>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</si>
  <si>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</si>
  <si>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</si>
  <si>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</si>
  <si>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</si>
  <si>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</si>
  <si>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</si>
  <si>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</si>
  <si>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</si>
  <si>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</si>
  <si>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</si>
  <si>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</si>
  <si>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</si>
  <si>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</si>
  <si>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</si>
  <si>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</si>
  <si>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</si>
  <si>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</si>
  <si>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</si>
  <si>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</si>
  <si>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</si>
  <si>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</si>
  <si>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</si>
  <si>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</si>
  <si>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</si>
  <si>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</si>
  <si>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</si>
  <si>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</si>
  <si>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</si>
  <si>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</si>
  <si>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</si>
  <si>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</si>
  <si>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</si>
  <si>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</si>
  <si>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</si>
  <si>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</si>
  <si>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</si>
  <si>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</si>
  <si>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</si>
  <si>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</si>
  <si>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</si>
  <si>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</si>
  <si>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</si>
  <si>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</si>
  <si>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</si>
  <si>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</si>
  <si>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</si>
  <si>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</si>
  <si>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</si>
  <si>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</si>
  <si>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</si>
  <si>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</si>
  <si>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</si>
  <si>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</si>
  <si>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</si>
  <si>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</si>
  <si>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</si>
  <si>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</si>
  <si>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</si>
  <si>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</si>
  <si>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</si>
  <si>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</si>
  <si>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</si>
  <si>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</si>
  <si>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</si>
  <si>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</si>
  <si>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</si>
  <si>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</si>
  <si>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</si>
  <si>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</si>
  <si>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</si>
  <si>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</si>
  <si>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</si>
  <si>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</si>
  <si>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</si>
  <si>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</si>
  <si>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</si>
  <si>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</si>
  <si>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</si>
  <si>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</si>
  <si>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</si>
  <si>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</si>
  <si>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</si>
  <si>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</si>
  <si>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</si>
  <si>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</si>
  <si>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</si>
  <si>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</si>
  <si>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</si>
  <si>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</si>
  <si>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</si>
  <si>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</si>
  <si>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</si>
  <si>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</si>
  <si>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</si>
  <si>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</si>
  <si>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</si>
  <si>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</si>
  <si>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</si>
  <si>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</si>
  <si>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</si>
  <si>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</si>
  <si>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</si>
  <si>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</si>
  <si>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</si>
  <si>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</si>
  <si>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</si>
  <si>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</si>
  <si>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</si>
  <si>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</si>
  <si>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</si>
  <si>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</si>
  <si>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</si>
  <si>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</si>
  <si>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</si>
  <si>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</si>
  <si>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</si>
  <si>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</si>
  <si>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</si>
  <si>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</si>
  <si>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</si>
  <si>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</si>
  <si>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</si>
  <si>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</si>
  <si>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</si>
  <si>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</si>
  <si>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</si>
  <si>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</si>
  <si>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</si>
  <si>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</si>
  <si>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</si>
  <si>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</si>
  <si>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</si>
  <si>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</si>
  <si>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</si>
  <si>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</si>
  <si>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</si>
  <si>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</si>
  <si>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</si>
  <si>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</si>
  <si>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</si>
  <si>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</si>
  <si>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</si>
  <si>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</si>
  <si>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</si>
  <si>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</si>
  <si>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</si>
  <si>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</si>
  <si>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</si>
  <si>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</si>
  <si>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</si>
  <si>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</si>
  <si>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</si>
  <si>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</si>
  <si>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</si>
  <si>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</si>
  <si>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</si>
  <si>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</si>
  <si>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</si>
  <si>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</si>
  <si>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</si>
  <si>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</si>
  <si>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</si>
  <si>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</si>
  <si>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</si>
  <si>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</si>
  <si>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</si>
  <si>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</si>
  <si>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</si>
  <si>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</si>
  <si>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</si>
  <si>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</si>
  <si>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</si>
  <si>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</si>
  <si>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</si>
  <si>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</si>
  <si>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</si>
  <si>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</si>
  <si>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</si>
  <si>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</si>
  <si>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</si>
  <si>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</si>
  <si>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</si>
  <si>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</si>
  <si>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</si>
  <si>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</si>
  <si>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</si>
  <si>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</si>
  <si>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</si>
  <si>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</si>
  <si>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</si>
  <si>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</si>
  <si>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</si>
  <si>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</si>
  <si>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</si>
  <si>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</si>
  <si>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</si>
  <si>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</si>
  <si>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</si>
  <si>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</si>
  <si>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</si>
  <si>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</si>
  <si>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</si>
  <si>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</si>
  <si>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</si>
  <si>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</si>
  <si>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</si>
  <si>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</si>
  <si>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</si>
  <si>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</si>
  <si>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</si>
  <si>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</si>
  <si>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</si>
  <si>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</si>
  <si>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</si>
  <si>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</si>
  <si>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</si>
  <si>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</si>
  <si>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</si>
  <si>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</si>
  <si>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</si>
  <si>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</si>
  <si>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</si>
  <si>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</si>
  <si>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</si>
  <si>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</si>
  <si>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</si>
  <si>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</si>
  <si>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</si>
  <si>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</si>
  <si>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</si>
  <si>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</si>
  <si>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</si>
  <si>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</si>
  <si>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</si>
  <si>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</si>
  <si>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</si>
  <si>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</si>
  <si>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</si>
  <si>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</si>
  <si>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</si>
  <si>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</si>
  <si>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</si>
  <si>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</si>
  <si>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</si>
  <si>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</si>
  <si>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</si>
  <si>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</si>
  <si>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</si>
  <si>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</si>
  <si>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</si>
  <si>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</si>
  <si>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</si>
  <si>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</si>
  <si>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</si>
  <si>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</si>
  <si>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</si>
  <si>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</si>
  <si>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</si>
  <si>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</si>
  <si>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</si>
  <si>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</si>
  <si>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</si>
  <si>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</si>
  <si>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</si>
  <si>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</si>
  <si>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</si>
  <si>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</si>
  <si>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</si>
  <si>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</si>
  <si>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</si>
  <si>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</si>
  <si>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</si>
  <si>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</si>
  <si>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</si>
  <si>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</si>
  <si>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</si>
  <si>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</si>
  <si>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</si>
  <si>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</si>
  <si>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</si>
  <si>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</si>
  <si>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</si>
  <si>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</si>
  <si>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</si>
  <si>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</si>
  <si>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</si>
  <si>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</si>
  <si>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</si>
  <si>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</si>
  <si>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</si>
  <si>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</si>
  <si>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</si>
  <si>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</si>
  <si>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</si>
  <si>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</si>
  <si>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</si>
  <si>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</si>
  <si>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</si>
  <si>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</si>
  <si>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</si>
  <si>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</si>
  <si>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</si>
  <si>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</si>
  <si>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</si>
  <si>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</si>
  <si>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</si>
  <si>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</si>
  <si>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</si>
  <si>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</si>
  <si>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</si>
  <si>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</si>
  <si>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</si>
  <si>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</si>
  <si>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</si>
  <si>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</si>
  <si>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</si>
  <si>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</si>
  <si>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</si>
  <si>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</si>
  <si>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</si>
  <si>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</si>
  <si>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</si>
  <si>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</si>
  <si>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</si>
  <si>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</si>
  <si>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</si>
  <si>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</si>
  <si>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</si>
  <si>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</si>
  <si>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</si>
  <si>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</si>
  <si>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</si>
  <si>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</si>
  <si>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</si>
  <si>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</si>
  <si>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</si>
  <si>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</si>
  <si>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</si>
  <si>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</si>
  <si>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</si>
  <si>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</si>
  <si>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</si>
  <si>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</si>
  <si>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</si>
  <si>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</si>
  <si>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</si>
  <si>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</si>
  <si>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</si>
  <si>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</si>
  <si>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</si>
  <si>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</si>
  <si>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</si>
  <si>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</si>
  <si>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</si>
  <si>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</si>
  <si>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</si>
  <si>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</si>
  <si>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</si>
  <si>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</si>
  <si>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</si>
  <si>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</si>
  <si>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</si>
  <si>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</si>
  <si>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</si>
  <si>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</si>
  <si>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</si>
  <si>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</si>
  <si>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</si>
  <si>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</si>
  <si>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</si>
  <si>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</si>
  <si>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</si>
  <si>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</si>
  <si>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</si>
  <si>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</si>
  <si>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</si>
  <si>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</si>
  <si>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</si>
  <si>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</si>
  <si>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</si>
  <si>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</si>
  <si>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</si>
  <si>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</si>
  <si>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</si>
  <si>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</si>
  <si>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</si>
  <si>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</si>
  <si>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</si>
  <si>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</si>
  <si>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</si>
  <si>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</si>
  <si>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</si>
  <si>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</si>
  <si>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</si>
  <si>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</si>
  <si>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</si>
  <si>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</si>
  <si>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</si>
  <si>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</si>
  <si>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</si>
  <si>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</si>
  <si>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</si>
  <si>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</si>
  <si>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</si>
  <si>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</si>
  <si>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</si>
  <si>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</si>
  <si>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</si>
  <si>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</si>
  <si>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</si>
  <si>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</si>
  <si>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</si>
  <si>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</si>
  <si>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</si>
  <si>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</si>
  <si>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</si>
  <si>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</si>
  <si>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</si>
  <si>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</si>
  <si>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</si>
  <si>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</si>
  <si>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</si>
  <si>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</si>
  <si>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</si>
  <si>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</si>
  <si>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</si>
  <si>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</si>
  <si>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</si>
  <si>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</si>
  <si>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</si>
  <si>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</si>
  <si>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</si>
  <si>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</si>
  <si>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</si>
  <si>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</si>
  <si>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</si>
  <si>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</si>
  <si>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</si>
  <si>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</si>
  <si>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</si>
  <si>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</si>
  <si>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</si>
  <si>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</si>
  <si>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</si>
  <si>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</si>
  <si>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</si>
  <si>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</si>
  <si>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</si>
  <si>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</si>
  <si>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</si>
  <si>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</si>
  <si>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</si>
  <si>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</si>
  <si>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</si>
  <si>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</si>
  <si>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</si>
  <si>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</si>
  <si>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</si>
  <si>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</si>
  <si>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</si>
  <si>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</si>
  <si>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</si>
  <si>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</si>
  <si>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</si>
  <si>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</si>
  <si>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</si>
  <si>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</si>
  <si>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</si>
  <si>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</si>
  <si>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</si>
  <si>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</si>
  <si>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</si>
  <si>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</si>
  <si>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</si>
  <si>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</si>
  <si>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</si>
  <si>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</si>
  <si>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</si>
  <si>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</si>
  <si>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</si>
  <si>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</si>
  <si>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</si>
  <si>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</si>
  <si>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</si>
  <si>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</si>
  <si>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</si>
  <si>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</si>
  <si>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</si>
  <si>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</si>
  <si>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</si>
  <si>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</si>
  <si>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</si>
  <si>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</si>
  <si>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</si>
  <si>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</si>
  <si>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</si>
  <si>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</si>
  <si>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</si>
  <si>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</si>
  <si>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</si>
  <si>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</si>
  <si>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</si>
  <si>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</si>
  <si>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</si>
  <si>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</si>
  <si>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</si>
  <si>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</si>
  <si>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</si>
  <si>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</si>
  <si>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</si>
  <si>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</si>
  <si>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</si>
  <si>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</si>
  <si>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</si>
  <si>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</si>
  <si>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</si>
  <si>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</si>
  <si>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</si>
  <si>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</si>
  <si>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</si>
  <si>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</si>
  <si>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</si>
  <si>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</si>
  <si>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</si>
  <si>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</si>
  <si>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</si>
  <si>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</si>
  <si>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</si>
  <si>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</si>
  <si>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</si>
  <si>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</si>
  <si>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</si>
  <si>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</si>
  <si>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</si>
  <si>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</si>
  <si>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</si>
  <si>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</si>
  <si>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</si>
  <si>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</si>
  <si>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</si>
  <si>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</si>
  <si>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</si>
  <si>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</si>
  <si>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</si>
  <si>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</si>
  <si>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</si>
  <si>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</si>
  <si>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</si>
  <si>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</si>
  <si>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</si>
  <si>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</si>
  <si>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</si>
  <si>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</si>
  <si>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</si>
  <si>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</si>
  <si>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</si>
  <si>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</si>
  <si>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</si>
  <si>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</si>
  <si>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</si>
  <si>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</si>
  <si>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</si>
  <si>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</si>
  <si>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</si>
  <si>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</si>
  <si>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</si>
  <si>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</si>
  <si>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</si>
  <si>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</si>
  <si>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</si>
  <si>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</si>
  <si>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</si>
  <si>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</si>
  <si>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</si>
  <si>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</si>
  <si>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</si>
  <si>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</si>
  <si>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</si>
  <si>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</si>
  <si>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</si>
  <si>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</si>
  <si>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</si>
  <si>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</si>
  <si>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</si>
  <si>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</si>
  <si>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</si>
  <si>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</si>
  <si>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</si>
  <si>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</si>
  <si>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</si>
  <si>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</si>
  <si>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</si>
  <si>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</si>
  <si>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</si>
  <si>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</si>
  <si>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</si>
  <si>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</si>
  <si>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</si>
  <si>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</si>
  <si>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</si>
  <si>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</si>
  <si>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</si>
  <si>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</si>
  <si>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</si>
  <si>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</si>
  <si>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</si>
  <si>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</si>
  <si>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</si>
  <si>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</si>
  <si>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</si>
  <si>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</si>
  <si>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</si>
  <si>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</si>
  <si>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</si>
  <si>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</si>
  <si>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</si>
  <si>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</si>
  <si>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</si>
  <si>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</si>
  <si>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</si>
  <si>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</si>
  <si>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</si>
  <si>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</si>
  <si>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</si>
  <si>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</si>
  <si>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</si>
  <si>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</si>
  <si>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</si>
  <si>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</si>
  <si>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</si>
  <si>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</si>
  <si>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</si>
  <si>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</si>
  <si>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</si>
  <si>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</si>
  <si>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</si>
  <si>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</si>
  <si>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</si>
  <si>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</si>
  <si>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</si>
  <si>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</si>
  <si>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</si>
  <si>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</si>
  <si>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</si>
  <si>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</si>
  <si>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</si>
  <si>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</si>
  <si>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</si>
  <si>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</si>
  <si>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</si>
  <si>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</si>
  <si>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</si>
  <si>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</si>
  <si>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</si>
  <si>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</si>
  <si>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</si>
  <si>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</si>
  <si>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</si>
  <si>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</si>
  <si>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</si>
  <si>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</si>
  <si>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</si>
  <si>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</si>
  <si>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</si>
  <si>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</si>
  <si>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</si>
  <si>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</si>
  <si>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</si>
  <si>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</si>
  <si>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</si>
  <si>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</si>
  <si>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</si>
  <si>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</si>
  <si>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</si>
  <si>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</si>
  <si>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</si>
  <si>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</si>
  <si>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</si>
  <si>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</si>
  <si>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</si>
  <si>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</si>
  <si>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</si>
  <si>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</si>
  <si>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</si>
  <si>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</si>
  <si>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</si>
  <si>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</si>
  <si>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</si>
  <si>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</si>
  <si>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</si>
  <si>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</si>
  <si>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</si>
  <si>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</si>
  <si>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</si>
  <si>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</si>
  <si>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</si>
  <si>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</si>
  <si>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</si>
  <si>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</si>
  <si>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</si>
  <si>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</si>
  <si>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</si>
  <si>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</si>
  <si>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</si>
  <si>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</si>
  <si>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</si>
  <si>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</si>
  <si>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</si>
  <si>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</si>
  <si>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</si>
  <si>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</si>
  <si>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</si>
  <si>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</si>
  <si>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</si>
  <si>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</si>
  <si>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</si>
  <si>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</si>
  <si>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</si>
  <si>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</si>
  <si>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</si>
  <si>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</si>
  <si>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</si>
  <si>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</si>
  <si>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</si>
  <si>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</si>
  <si>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</si>
  <si>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</si>
  <si>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</si>
  <si>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</si>
  <si>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</si>
  <si>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</si>
  <si>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</si>
  <si>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</si>
  <si>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</si>
  <si>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</si>
  <si>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</si>
  <si>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</si>
  <si>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</si>
  <si>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</si>
  <si>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</si>
  <si>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</si>
  <si>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</si>
  <si>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</si>
  <si>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</si>
  <si>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</si>
  <si>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</si>
  <si>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</si>
  <si>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</si>
  <si>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</si>
  <si>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</si>
  <si>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</si>
  <si>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</si>
  <si>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</si>
  <si>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</si>
  <si>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</si>
  <si>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</si>
  <si>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</si>
  <si>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</si>
  <si>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</si>
  <si>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</si>
  <si>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</si>
  <si>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</si>
  <si>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</si>
  <si>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</si>
  <si>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</si>
  <si>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</si>
  <si>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</si>
  <si>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</si>
  <si>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</si>
  <si>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</si>
  <si>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</si>
  <si>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</si>
  <si>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</si>
  <si>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</si>
  <si>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</si>
  <si>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</si>
  <si>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</si>
  <si>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</si>
  <si>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</si>
  <si>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</si>
  <si>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</si>
  <si>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</si>
  <si>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</si>
  <si>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</si>
  <si>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</si>
  <si>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</si>
  <si>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</si>
  <si>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</si>
  <si>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</si>
  <si>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</si>
  <si>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</si>
  <si>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</si>
  <si>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</si>
  <si>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</si>
  <si>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</si>
  <si>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</si>
  <si>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</si>
  <si>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</si>
  <si>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</si>
  <si>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</si>
  <si>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</si>
  <si>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</si>
  <si>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</si>
  <si>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</si>
  <si>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</si>
  <si>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</si>
  <si>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</si>
  <si>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</si>
  <si>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</si>
  <si>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</si>
  <si>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</si>
  <si>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</si>
  <si>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</si>
  <si>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</si>
  <si>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</si>
  <si>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</si>
  <si>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</si>
  <si>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</si>
  <si>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</si>
  <si>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</si>
  <si>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</si>
  <si>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</si>
  <si>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</si>
  <si>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</si>
  <si>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</si>
  <si>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</si>
  <si>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</si>
  <si>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</si>
  <si>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</si>
  <si>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</si>
  <si>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</si>
  <si>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</si>
  <si>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</si>
  <si>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</si>
  <si>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</si>
  <si>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</si>
  <si>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</si>
  <si>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</si>
  <si>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</si>
  <si>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</si>
  <si>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</si>
  <si>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</si>
  <si>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</si>
  <si>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</si>
  <si>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</si>
  <si>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</si>
  <si>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</si>
  <si>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</si>
  <si>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</si>
  <si>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</si>
  <si>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</si>
  <si>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</si>
  <si>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</si>
  <si>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</si>
  <si>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</si>
  <si>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</si>
  <si>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</si>
  <si>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</si>
  <si>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</si>
  <si>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</si>
  <si>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</si>
  <si>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</si>
  <si>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</si>
  <si>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</si>
  <si>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</si>
  <si>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</si>
  <si>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</si>
  <si>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</si>
  <si>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</si>
  <si>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</si>
  <si>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</si>
  <si>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</si>
  <si>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</si>
  <si>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</si>
  <si>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</si>
  <si>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</si>
  <si>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</si>
  <si>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</si>
  <si>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</si>
  <si>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</si>
  <si>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</si>
  <si>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</si>
  <si>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</si>
  <si>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</si>
  <si>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</si>
  <si>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</si>
  <si>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</si>
  <si>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</si>
  <si>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</si>
  <si>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</si>
  <si>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</si>
  <si>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</si>
  <si>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</si>
  <si>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</si>
  <si>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</si>
  <si>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</si>
  <si>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</si>
  <si>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</si>
  <si>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</si>
  <si>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</si>
  <si>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</si>
  <si>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</si>
  <si>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</si>
  <si>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</si>
  <si>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</si>
  <si>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</si>
  <si>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</si>
  <si>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</si>
  <si>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</si>
  <si>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</si>
  <si>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</si>
  <si>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</si>
  <si>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</si>
  <si>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</si>
  <si>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</si>
  <si>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</si>
  <si>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</si>
  <si>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</si>
  <si>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</si>
  <si>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</si>
  <si>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</si>
  <si>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</si>
  <si>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</si>
  <si>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</si>
  <si>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</si>
  <si>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</si>
  <si>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</si>
  <si>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</si>
  <si>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</si>
  <si>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</si>
  <si>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</si>
  <si>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</si>
  <si>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</si>
  <si>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</si>
  <si>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</si>
  <si>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</si>
  <si>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</si>
  <si>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</si>
  <si>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</si>
  <si>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</si>
  <si>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</si>
  <si>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</si>
  <si>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</si>
  <si>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</si>
  <si>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</si>
  <si>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</si>
  <si>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</si>
  <si>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</si>
  <si>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</si>
  <si>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</si>
  <si>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</si>
  <si>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</si>
  <si>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</si>
  <si>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</si>
  <si>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</si>
  <si>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</si>
  <si>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</si>
  <si>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</si>
  <si>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</si>
  <si>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</si>
  <si>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</si>
  <si>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</si>
  <si>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</si>
  <si>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</si>
  <si>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</si>
  <si>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</si>
  <si>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</si>
  <si>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</si>
  <si>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</si>
  <si>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</si>
  <si>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</si>
  <si>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</si>
  <si>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</si>
  <si>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</si>
  <si>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</si>
  <si>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</si>
  <si>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</si>
  <si>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</si>
  <si>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</si>
  <si>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</si>
  <si>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</si>
  <si>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</si>
  <si>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</si>
  <si>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</si>
  <si>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</si>
  <si>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</si>
  <si>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</si>
  <si>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</si>
  <si>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</si>
  <si>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</si>
  <si>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</si>
  <si>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</si>
  <si>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</si>
  <si>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</si>
  <si>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</si>
  <si>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</si>
  <si>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</si>
  <si>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</si>
  <si>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</si>
  <si>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</si>
  <si>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</si>
  <si>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</si>
  <si>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</si>
  <si>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</si>
  <si>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</si>
  <si>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</si>
  <si>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</si>
  <si>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</si>
  <si>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</si>
  <si>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</si>
  <si>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</si>
  <si>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</si>
  <si>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</si>
  <si>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</si>
  <si>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</si>
  <si>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</si>
  <si>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</si>
  <si>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</si>
  <si>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</si>
  <si>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</si>
  <si>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</si>
  <si>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</si>
  <si>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</si>
  <si>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</si>
  <si>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</si>
  <si>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</si>
  <si>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</si>
  <si>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</si>
  <si>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</si>
  <si>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</si>
  <si>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</si>
  <si>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</si>
  <si>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</si>
  <si>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</si>
  <si>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</si>
  <si>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</si>
  <si>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</si>
  <si>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</si>
  <si>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</si>
  <si>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</si>
  <si>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</si>
  <si>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</si>
  <si>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</si>
  <si>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</si>
  <si>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</si>
  <si>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</si>
  <si>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</si>
  <si>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</si>
  <si>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</si>
  <si>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</si>
  <si>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</si>
  <si>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</si>
  <si>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</si>
  <si>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</si>
  <si>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</si>
  <si>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</si>
  <si>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</si>
  <si>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</si>
  <si>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</si>
  <si>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</si>
  <si>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</si>
  <si>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</si>
  <si>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</si>
  <si>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</si>
  <si>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</si>
  <si>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</si>
  <si>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</si>
  <si>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</si>
  <si>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</si>
  <si>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</si>
  <si>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</si>
  <si>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</si>
  <si>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</si>
  <si>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</si>
  <si>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</si>
  <si>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</si>
  <si>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</si>
  <si>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</si>
  <si>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</si>
  <si>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</si>
  <si>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</si>
  <si>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</si>
  <si>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</si>
  <si>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</si>
  <si>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</si>
  <si>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</si>
  <si>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</si>
  <si>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</si>
  <si>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</si>
  <si>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</si>
  <si>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</si>
  <si>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</si>
  <si>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</si>
  <si>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</si>
  <si>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</si>
  <si>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</si>
  <si>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</si>
  <si>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</si>
  <si>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</si>
  <si>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</si>
  <si>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</si>
  <si>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</si>
  <si>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</si>
  <si>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</si>
  <si>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</si>
  <si>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</si>
  <si>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</si>
  <si>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</si>
  <si>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</si>
  <si>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</si>
  <si>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</si>
  <si>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</si>
  <si>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</si>
  <si>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</si>
  <si>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</si>
  <si>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</si>
  <si>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</si>
  <si>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</si>
  <si>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</si>
  <si>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</si>
  <si>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</si>
  <si>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</si>
  <si>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</si>
  <si>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</si>
  <si>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</si>
  <si>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</si>
  <si>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</si>
  <si>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</si>
  <si>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</si>
  <si>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</si>
  <si>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</si>
  <si>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</si>
  <si>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</si>
  <si>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</si>
  <si>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</si>
  <si>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</si>
  <si>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</si>
  <si>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</si>
  <si>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</si>
  <si>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</si>
  <si>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</si>
  <si>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</si>
  <si>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</si>
  <si>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</si>
  <si>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</si>
  <si>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</si>
  <si>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</si>
  <si>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</si>
  <si>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</si>
  <si>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</si>
  <si>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</si>
  <si>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</si>
  <si>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</si>
  <si>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</si>
  <si>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</si>
  <si>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</si>
  <si>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</si>
  <si>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</si>
  <si>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</si>
  <si>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</si>
  <si>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</si>
  <si>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</si>
  <si>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</si>
  <si>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</si>
  <si>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</si>
  <si>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</si>
  <si>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</si>
  <si>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</si>
  <si>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</si>
  <si>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</si>
  <si>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</si>
  <si>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</si>
  <si>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</si>
  <si>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</si>
  <si>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</si>
  <si>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</si>
  <si>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</si>
  <si>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</si>
  <si>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</si>
  <si>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</si>
  <si>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</si>
  <si>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</si>
  <si>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</si>
  <si>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</si>
  <si>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</si>
  <si>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</si>
  <si>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</si>
  <si>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</si>
  <si>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</si>
  <si>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</si>
  <si>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</si>
  <si>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</si>
  <si>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</si>
  <si>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</si>
  <si>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</si>
  <si>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</si>
  <si>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</si>
  <si>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</si>
  <si>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</si>
  <si>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</si>
  <si>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</si>
  <si>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</si>
  <si>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</si>
  <si>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</si>
  <si>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</si>
  <si>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</si>
  <si>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</si>
  <si>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</si>
  <si>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</si>
  <si>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</si>
  <si>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</si>
  <si>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</si>
  <si>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</si>
  <si>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</si>
  <si>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</si>
  <si>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</si>
  <si>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</si>
  <si>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</si>
  <si>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</si>
  <si>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</si>
  <si>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</si>
  <si>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</si>
  <si>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</si>
  <si>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</si>
  <si>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</si>
  <si>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</si>
  <si>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</si>
  <si>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</si>
  <si>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</si>
  <si>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</si>
  <si>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</si>
  <si>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</si>
  <si>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</si>
  <si>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</si>
  <si>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</si>
  <si>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</si>
  <si>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</si>
  <si>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</si>
  <si>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</si>
  <si>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</si>
  <si>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</si>
  <si>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</si>
  <si>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</si>
  <si>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</si>
  <si>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</si>
  <si>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</si>
  <si>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</si>
  <si>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</si>
  <si>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</si>
  <si>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</si>
  <si>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</si>
  <si>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</si>
  <si>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</si>
  <si>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</si>
  <si>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</si>
  <si>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</si>
  <si>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</si>
  <si>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</si>
  <si>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</si>
  <si>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其中：组合1</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</si>
  <si>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</si>
  <si>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</si>
  <si>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</si>
  <si>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</si>
  <si>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</si>
  <si>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</si>
  <si>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</si>
  <si>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</si>
  <si>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</si>
  <si>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</si>
  <si>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</si>
  <si>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</si>
  <si>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</si>
  <si>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</si>
  <si>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</si>
  <si>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</si>
  <si>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</si>
  <si>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</si>
  <si>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</si>
  <si>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</si>
  <si>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</si>
  <si>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</si>
  <si>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</si>
  <si>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</si>
  <si>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</si>
  <si>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</si>
  <si>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</si>
  <si>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</si>
  <si>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</si>
  <si>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</si>
  <si>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</si>
  <si>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</si>
  <si>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</si>
  <si>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</si>
  <si>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</si>
  <si>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</si>
  <si>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</si>
  <si>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</si>
  <si>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</si>
  <si>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</si>
  <si>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</si>
  <si>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</si>
  <si>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</si>
  <si>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</si>
  <si>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</si>
  <si>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</si>
  <si>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</si>
  <si>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</si>
  <si>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</si>
  <si>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</si>
  <si>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</si>
  <si>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</si>
  <si>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</si>
  <si>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</si>
  <si>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</si>
  <si>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</si>
  <si>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</si>
  <si>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</si>
  <si>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</si>
  <si>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</si>
  <si>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</si>
  <si>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</si>
  <si>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</si>
  <si>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</si>
  <si>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</si>
  <si>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</si>
  <si>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</si>
  <si>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</si>
  <si>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</si>
  <si>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</si>
  <si>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</si>
  <si>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</si>
  <si>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</si>
  <si>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</si>
  <si>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</si>
  <si>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</si>
  <si>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</si>
  <si>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</si>
  <si>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</si>
  <si>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</si>
  <si>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</si>
  <si>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</si>
  <si>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</si>
  <si>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</si>
  <si>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</si>
  <si>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</si>
  <si>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</si>
  <si>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</si>
  <si>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</si>
  <si>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</si>
  <si>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</si>
  <si>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</si>
  <si>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</si>
  <si>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</si>
  <si>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</si>
  <si>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</si>
  <si>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</si>
  <si>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</si>
  <si>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</si>
  <si>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</si>
  <si>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</si>
  <si>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</si>
  <si>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</si>
  <si>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</si>
  <si>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</si>
  <si>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</si>
  <si>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</si>
  <si>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</si>
  <si>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</si>
  <si>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</si>
  <si>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</si>
  <si>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</si>
  <si>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</si>
  <si>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</si>
  <si>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</si>
  <si>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</si>
  <si>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</si>
  <si>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</si>
  <si>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</si>
  <si>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</si>
  <si>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</si>
  <si>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</si>
  <si>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</si>
  <si>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</si>
  <si>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</si>
  <si>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</si>
  <si>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</si>
  <si>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</si>
  <si>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</si>
  <si>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</si>
  <si>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</si>
  <si>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</si>
  <si>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</si>
  <si>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</si>
  <si>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</si>
  <si>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</si>
  <si>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</si>
  <si>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</si>
  <si>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</si>
  <si>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</si>
  <si>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</si>
  <si>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</si>
  <si>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</si>
  <si>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</si>
  <si>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</si>
  <si>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</si>
  <si>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</si>
  <si>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</si>
  <si>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</si>
  <si>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</si>
  <si>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</si>
  <si>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</si>
  <si>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</si>
  <si>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</si>
  <si>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</si>
  <si>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</si>
  <si>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</si>
  <si>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</si>
  <si>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</si>
  <si>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</si>
  <si>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</si>
  <si>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</si>
  <si>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</si>
  <si>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</si>
  <si>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</si>
  <si>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</si>
  <si>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</si>
  <si>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</si>
  <si>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</si>
  <si>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</si>
  <si>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</si>
  <si>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</si>
  <si>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</si>
  <si>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</si>
  <si>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</si>
  <si>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</si>
  <si>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</si>
  <si>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</si>
  <si>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</si>
  <si>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</si>
  <si>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</si>
  <si>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</si>
  <si>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</si>
  <si>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</si>
  <si>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</si>
  <si>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</si>
  <si>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</si>
  <si>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</si>
  <si>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</si>
  <si>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</si>
  <si>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</si>
  <si>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</si>
  <si>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</si>
  <si>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</si>
  <si>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</si>
  <si>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</si>
  <si>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</si>
  <si>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</si>
  <si>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</si>
  <si>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</si>
  <si>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</si>
  <si>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</si>
  <si>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</si>
  <si>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</si>
  <si>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</si>
  <si>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</si>
  <si>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</si>
  <si>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</si>
  <si>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</si>
  <si>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</si>
  <si>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</si>
  <si>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</si>
  <si>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</si>
  <si>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</si>
  <si>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</si>
  <si>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</si>
  <si>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</si>
  <si>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</si>
  <si>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</si>
  <si>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</si>
  <si>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</si>
  <si>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</si>
  <si>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</si>
  <si>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</si>
  <si>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</si>
  <si>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</si>
  <si>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</si>
  <si>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</si>
  <si>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</si>
  <si>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</si>
  <si>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</si>
  <si>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</si>
  <si>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</si>
  <si>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</si>
  <si>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</si>
  <si>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</si>
  <si>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</si>
  <si>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</si>
  <si>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</si>
  <si>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</si>
  <si>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</si>
  <si>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</si>
  <si>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</si>
  <si>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</si>
  <si>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</si>
  <si>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</si>
  <si>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</si>
  <si>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</si>
  <si>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</si>
  <si>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</si>
  <si>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</si>
  <si>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</si>
  <si>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</si>
  <si>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</si>
  <si>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</si>
  <si>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</si>
  <si>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</si>
  <si>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</si>
  <si>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</si>
  <si>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</si>
  <si>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</si>
  <si>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</si>
  <si>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</si>
  <si>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</si>
  <si>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</si>
  <si>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</si>
  <si>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</si>
  <si>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</si>
  <si>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</si>
  <si>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</si>
  <si>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</si>
  <si>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</si>
  <si>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</si>
  <si>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</si>
  <si>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</si>
  <si>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</si>
  <si>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</si>
  <si>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</si>
  <si>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</si>
  <si>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</si>
  <si>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</si>
  <si>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</si>
  <si>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</si>
  <si>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</si>
  <si>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</si>
  <si>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</si>
  <si>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</si>
  <si>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</si>
  <si>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</si>
  <si>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</si>
  <si>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</si>
  <si>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</si>
  <si>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</si>
  <si>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</si>
  <si>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113_</t>
  </si>
  <si>
    <t>2019年度</t>
    <phoneticPr fontId="163" type="noConversion"/>
  </si>
  <si>
    <t>2018年度</t>
    <phoneticPr fontId="163" type="noConversion"/>
  </si>
  <si>
    <t>北京金信</t>
  </si>
  <si>
    <t>华软金信科技（北京）有限公司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</si>
  <si>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</si>
  <si>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</si>
  <si>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</si>
  <si>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</si>
  <si>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</si>
  <si>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</si>
  <si>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</si>
  <si>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</si>
  <si>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</si>
  <si>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</si>
  <si>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</si>
  <si>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</si>
  <si>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</si>
  <si>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</si>
  <si>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</si>
  <si>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</si>
  <si>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</si>
  <si>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</si>
  <si>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</si>
  <si>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</si>
  <si>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</si>
  <si>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</si>
  <si>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</si>
  <si>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</si>
  <si>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</si>
  <si>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</si>
  <si>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</si>
  <si>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</si>
  <si>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</si>
  <si>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</si>
  <si>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</si>
  <si>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</si>
  <si>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</si>
  <si>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</si>
  <si>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</si>
  <si>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</si>
  <si>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</si>
  <si>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</si>
  <si>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</si>
  <si>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</si>
  <si>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</si>
  <si>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</si>
  <si>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</si>
  <si>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</si>
  <si>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</si>
  <si>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</si>
  <si>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</si>
  <si>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</si>
  <si>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</si>
  <si>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</si>
  <si>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</si>
  <si>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</si>
  <si>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</si>
  <si>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</si>
  <si>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</si>
  <si>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</si>
  <si>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</si>
  <si>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</si>
  <si>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</si>
  <si>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</si>
  <si>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</si>
  <si>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</si>
  <si>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</si>
  <si>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9002C</t>
  </si>
  <si>
    <t>7230T03</t>
    <phoneticPr fontId="163" type="noConversion"/>
  </si>
  <si>
    <t>未更正披露错报汇总表</t>
  </si>
  <si>
    <t>未更正披露错报汇总表</t>
    <phoneticPr fontId="163" type="noConversion"/>
  </si>
  <si>
    <t>序号</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</si>
  <si>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</si>
  <si>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</si>
  <si>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</si>
  <si>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</si>
  <si>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</si>
  <si>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</si>
  <si>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</si>
  <si>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</si>
  <si>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</si>
  <si>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</si>
  <si>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</si>
  <si>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</si>
  <si>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</si>
  <si>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</si>
  <si>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</si>
  <si>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</si>
  <si>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</si>
  <si>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</si>
  <si>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</si>
  <si>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</si>
  <si>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</si>
  <si>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</si>
  <si>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</si>
  <si>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</si>
  <si>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</si>
  <si>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</si>
  <si>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</si>
  <si>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</si>
  <si>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</si>
  <si>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</si>
  <si>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</si>
  <si>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</si>
  <si>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</si>
  <si>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</si>
  <si>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</si>
  <si>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</si>
  <si>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</si>
  <si>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</si>
  <si>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</si>
  <si>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</si>
  <si>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</si>
  <si>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</si>
  <si>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</si>
  <si>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</si>
  <si>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</si>
  <si>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</si>
  <si>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</si>
  <si>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</si>
  <si>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</si>
  <si>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</si>
  <si>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</si>
  <si>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</si>
  <si>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</si>
  <si>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</si>
  <si>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</si>
  <si>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</si>
  <si>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</si>
  <si>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</si>
  <si>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</si>
  <si>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</si>
  <si>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</si>
  <si>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</si>
  <si>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</si>
  <si>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</si>
  <si>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</si>
  <si>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</si>
  <si>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</si>
  <si>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</si>
  <si>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</si>
  <si>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M</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</si>
  <si>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</si>
  <si>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</si>
  <si>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</si>
  <si>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</si>
  <si>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</si>
  <si>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</si>
  <si>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</si>
  <si>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</si>
  <si>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</si>
  <si>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</si>
  <si>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</si>
  <si>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</si>
  <si>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</si>
  <si>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</si>
  <si>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</si>
  <si>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</si>
  <si>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</si>
  <si>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</si>
  <si>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</si>
  <si>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前1期</t>
    <phoneticPr fontId="163" type="noConversion"/>
  </si>
  <si>
    <t>金陵华软</t>
  </si>
  <si>
    <t>主要为关联往来款增加</t>
    <phoneticPr fontId="163" type="noConversion"/>
  </si>
  <si>
    <r>
      <t>4季度资本化</t>
    </r>
    <r>
      <rPr>
        <sz val="10"/>
        <rFont val="宋体"/>
        <family val="3"/>
        <charset val="134"/>
      </rPr>
      <t>600万？？？？</t>
    </r>
    <phoneticPr fontId="163" type="noConversion"/>
  </si>
  <si>
    <t>人员增加？</t>
    <phoneticPr fontId="163" type="noConversion"/>
  </si>
  <si>
    <t>主要为股权转让款及关联往来款</t>
    <phoneticPr fontId="163" type="noConversion"/>
  </si>
  <si>
    <r>
      <t>4季度增加</t>
    </r>
    <r>
      <rPr>
        <sz val="10"/>
        <rFont val="宋体"/>
        <family val="3"/>
        <charset val="134"/>
      </rPr>
      <t>400万？</t>
    </r>
    <phoneticPr fontId="163" type="noConversion"/>
  </si>
  <si>
    <t>关联资金拆借利息</t>
    <phoneticPr fontId="163" type="noConversion"/>
  </si>
  <si>
    <t>金融科技</t>
  </si>
  <si>
    <t>金融科技</t>
    <phoneticPr fontId="163" type="noConversion"/>
  </si>
  <si>
    <t>国内</t>
    <phoneticPr fontId="163" type="noConversion"/>
  </si>
  <si>
    <t>残保金</t>
  </si>
  <si>
    <t>办公费</t>
  </si>
  <si>
    <t>差旅费</t>
  </si>
  <si>
    <t>广告宣传费</t>
  </si>
  <si>
    <t>业务招待费</t>
  </si>
  <si>
    <t>职工薪酬</t>
  </si>
  <si>
    <t>服务费</t>
  </si>
  <si>
    <t>中介机构服务费</t>
  </si>
  <si>
    <t>租赁费</t>
  </si>
  <si>
    <t>会议费</t>
  </si>
  <si>
    <t>折旧与摊销</t>
  </si>
  <si>
    <t>稳岗补贴</t>
  </si>
  <si>
    <t>收到保证金</t>
  </si>
  <si>
    <t>收回员工备用金</t>
  </si>
  <si>
    <t>付现费用</t>
  </si>
  <si>
    <t>北京华软知识产权投资有限公司</t>
  </si>
  <si>
    <t>北京金科</t>
  </si>
  <si>
    <t>上海金科</t>
  </si>
  <si>
    <t>电子设备及其他</t>
  </si>
  <si>
    <t>金融软件开发项目</t>
    <phoneticPr fontId="163" type="noConversion"/>
  </si>
  <si>
    <t>装修费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</si>
</sst>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4">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s>
  <fonts count="253">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u/>
      <sz val="10"/>
      <color rgb="FF800080"/>
      <name val="Arial Narrow"/>
      <family val="2"/>
    </font>
  </fonts>
  <fills count="26">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s>
  <borders count="328">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s>
  <cellStyleXfs count="140">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176" fontId="102" fillId="0" borderId="0" applyFont="0" applyFill="0" applyBorder="0" applyAlignment="0" applyProtection="0">
      <alignment vertical="center"/>
    </xf>
    <xf numFmtId="0" fontId="249" fillId="0" borderId="0">
      <protection locked="0"/>
    </xf>
    <xf numFmtId="0" fontId="2" fillId="0" borderId="0"/>
  </cellStyleXfs>
  <cellXfs count="3363">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176"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176"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49" fontId="1" fillId="0" borderId="116" xfId="0" applyNumberFormat="1" applyFont="1" applyBorder="1" applyAlignment="1" applyProtection="1">
      <alignment horizontal="center" vertical="center" shrinkToFit="1"/>
      <protection locked="0"/>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19"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2" fillId="0" borderId="318" xfId="5" applyNumberFormat="1" applyFont="1" applyFill="1" applyBorder="1" applyAlignment="1" applyProtection="1">
      <alignment vertical="center" shrinkToFit="1"/>
    </xf>
    <xf numFmtId="177" fontId="175" fillId="0" borderId="318" xfId="5" applyNumberFormat="1" applyFont="1" applyFill="1" applyBorder="1" applyAlignment="1" applyProtection="1">
      <alignment vertical="center" shrinkToFit="1"/>
    </xf>
    <xf numFmtId="177" fontId="252" fillId="0" borderId="226" xfId="5" applyNumberFormat="1" applyFont="1" applyFill="1" applyBorder="1" applyAlignment="1" applyProtection="1">
      <alignment vertical="center" shrinkToFit="1"/>
    </xf>
    <xf numFmtId="177" fontId="252"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19"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0" xfId="0" applyFont="1" applyFill="1" applyBorder="1" applyProtection="1">
      <alignment vertical="center"/>
      <protection locked="0"/>
    </xf>
    <xf numFmtId="0" fontId="5" fillId="2" borderId="321" xfId="0" applyFont="1" applyFill="1" applyBorder="1" applyProtection="1">
      <alignment vertical="center"/>
      <protection locked="0"/>
    </xf>
    <xf numFmtId="0" fontId="5" fillId="2" borderId="321" xfId="0" applyFont="1" applyFill="1" applyBorder="1">
      <alignment vertical="center"/>
    </xf>
    <xf numFmtId="0" fontId="5" fillId="2" borderId="322" xfId="0" applyFont="1" applyFill="1" applyBorder="1">
      <alignment vertical="center"/>
    </xf>
    <xf numFmtId="0" fontId="0" fillId="2" borderId="323" xfId="0" applyFill="1" applyBorder="1" applyProtection="1">
      <alignment vertical="center"/>
      <protection locked="0"/>
    </xf>
    <xf numFmtId="0" fontId="0" fillId="2" borderId="324" xfId="0" applyFill="1" applyBorder="1" applyAlignment="1" applyProtection="1">
      <alignment vertical="center" wrapText="1"/>
      <protection locked="0"/>
    </xf>
    <xf numFmtId="0" fontId="0" fillId="2" borderId="324" xfId="0" applyFill="1" applyBorder="1" applyProtection="1">
      <alignment vertical="center"/>
      <protection locked="0"/>
    </xf>
    <xf numFmtId="0" fontId="0" fillId="2" borderId="324" xfId="0" applyFill="1" applyBorder="1">
      <alignment vertical="center"/>
    </xf>
    <xf numFmtId="0" fontId="0" fillId="2" borderId="325" xfId="0" applyFill="1" applyBorder="1">
      <alignment vertical="center"/>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89" fillId="14" borderId="326" xfId="0" applyFont="1" applyFill="1" applyBorder="1" applyAlignment="1" applyProtection="1">
      <alignment horizontal="center" vertical="center"/>
      <protection hidden="1"/>
    </xf>
    <xf numFmtId="177" fontId="22" fillId="17" borderId="327" xfId="4" applyNumberFormat="1" applyFont="1" applyFill="1" applyBorder="1" applyAlignment="1" applyProtection="1">
      <alignment vertical="center" shrinkToFit="1"/>
    </xf>
    <xf numFmtId="177" fontId="22" fillId="17" borderId="327" xfId="4" applyNumberFormat="1" applyFont="1" applyFill="1" applyBorder="1" applyAlignment="1" applyProtection="1">
      <alignment vertical="center" shrinkToFit="1"/>
      <protection locked="0"/>
    </xf>
    <xf numFmtId="177" fontId="22" fillId="0" borderId="261" xfId="119" quotePrefix="1" applyNumberFormat="1" applyFont="1" applyFill="1" applyBorder="1" applyAlignment="1" applyProtection="1">
      <alignment vertical="center" shrinkToFit="1"/>
      <protection locked="0"/>
    </xf>
    <xf numFmtId="0" fontId="1" fillId="0" borderId="14" xfId="0" applyFont="1" applyFill="1" applyBorder="1" applyAlignment="1" applyProtection="1">
      <alignment vertical="center" wrapText="1"/>
    </xf>
    <xf numFmtId="177" fontId="0" fillId="6" borderId="0" xfId="0" applyNumberFormat="1" applyFill="1" applyProtection="1">
      <alignment vertical="center"/>
      <protection locked="0"/>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40">
    <cellStyle name="Normal 2" xfId="136"/>
    <cellStyle name="百分比" xfId="7" builtinId="5"/>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3" xfId="30"/>
    <cellStyle name="常规 2 2 2 3 2" xfId="31"/>
    <cellStyle name="常规 2 2 2 4" xfId="11"/>
    <cellStyle name="常规 2 2 2 4 2" xfId="32"/>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3" xfId="120"/>
    <cellStyle name="千位分隔 2 4" xfId="123"/>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s>
  <dxfs count="4094">
    <dxf>
      <fill>
        <patternFill patternType="solid">
          <bgColor indexed="13"/>
        </patternFill>
      </fill>
    </dxf>
    <dxf>
      <fill>
        <patternFill patternType="solid">
          <bgColor indexed="13"/>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_rels/drawing5.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Diff 25,297,789.15</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8</xdr:col>
      <xdr:colOff>0</xdr:colOff>
      <xdr:row>3</xdr:row>
      <xdr:rowOff>66675</xdr:rowOff>
    </xdr:from>
    <xdr:to>
      <xdr:col>10</xdr:col>
      <xdr:colOff>752475</xdr:colOff>
      <xdr:row>37</xdr:row>
      <xdr:rowOff>161925</xdr:rowOff>
    </xdr:to>
    <xdr:sp macro="" textlink="">
      <xdr:nvSpPr>
        <xdr:cNvPr id="14385" name="HINT_CF021"/>
        <xdr:cNvSpPr txBox="1">
          <a:spLocks noChangeArrowheads="1"/>
        </xdr:cNvSpPr>
      </xdr:nvSpPr>
      <xdr:spPr>
        <a:xfrm>
          <a:off x="7934325" y="619125"/>
          <a:ext cx="2209800" cy="38385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Diff -52,769,115.86</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8</xdr:col>
      <xdr:colOff>19050</xdr:colOff>
      <xdr:row>49</xdr:row>
      <xdr:rowOff>142875</xdr:rowOff>
    </xdr:from>
    <xdr:to>
      <xdr:col>15</xdr:col>
      <xdr:colOff>962025</xdr:colOff>
      <xdr:row>66</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3.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12.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9.xml"/><Relationship Id="rId1" Type="http://schemas.openxmlformats.org/officeDocument/2006/relationships/printerSettings" Target="../printerSettings/printerSettings13.bin"/><Relationship Id="rId4" Type="http://schemas.openxmlformats.org/officeDocument/2006/relationships/comments" Target="../comments25.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10.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1.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2.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3.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4.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ColWidth="9.140625"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6419</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6613</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6657</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6649</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6607</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6420</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6420</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6421</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6618</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6620</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6422</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6423</v>
      </c>
      <c r="U26" s="2798" t="s">
        <v>6420</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6621</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6424</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6622</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6425</v>
      </c>
      <c r="U30" s="2798" t="s">
        <v>6421</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6618</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6426</v>
      </c>
      <c r="U32" s="2798" t="s">
        <v>6421</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6618</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6427</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6428</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6429</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6375</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6376</v>
      </c>
      <c r="U49" s="2798" t="s">
        <v>6420</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6377</v>
      </c>
      <c r="U50" s="2798" t="s">
        <v>6420</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6378</v>
      </c>
      <c r="U51" s="2798" t="s">
        <v>6421</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6371</v>
      </c>
      <c r="T52" s="2798" t="s">
        <v>6379</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6372</v>
      </c>
      <c r="T53" s="2798" t="s">
        <v>6380</v>
      </c>
      <c r="U53" s="2798" t="s">
        <v>6420</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6373</v>
      </c>
      <c r="T54" s="2798" t="s">
        <v>6381</v>
      </c>
      <c r="U54" s="2798" t="s">
        <v>6420</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6374</v>
      </c>
      <c r="T55" s="2798" t="s">
        <v>6382</v>
      </c>
      <c r="U55" s="2798" t="s">
        <v>6421</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6383</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6430</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6430</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6431</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6618</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6432</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6620</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6621</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6420</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6622</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6421</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6618</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6627</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6421</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6433</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6420</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6421</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6421</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6434</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6420</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6421</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6421</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6435</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6436</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6437</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6438</v>
      </c>
      <c r="U124" s="2798" t="s">
        <v>6431</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6622</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6439</v>
      </c>
      <c r="U139" s="2798" t="s">
        <v>6431</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6440</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6441</v>
      </c>
      <c r="U150" s="2798" t="s">
        <v>6431</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6442</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6443</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6421</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6444</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6445</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6446</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6447</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6448</v>
      </c>
      <c r="U191" s="2798" t="s">
        <v>47</v>
      </c>
      <c r="V191" s="2798">
        <v>1</v>
      </c>
      <c r="W191" s="2798">
        <v>1604</v>
      </c>
      <c r="X191" s="2798">
        <v>2</v>
      </c>
      <c r="Y191" s="2795" t="s">
        <v>6622</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6449</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6449</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6450</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6451</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6452</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6453</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6454</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6455</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6456</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6457</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6613</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6613</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6639</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6640</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6458</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6613</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6459</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6635</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6620</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kv6aT+AuD7X16FdCLMCmw8dvlTJzi1eU4oXTZN84+8l3qZsHJuQ9jD+zs/9KO9IqPcjT4P2wTthztqD2pRLevg==" saltValue="00hYX8VV627HRxJY3duq3A=="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6654</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6653</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6650</v>
      </c>
      <c r="D7" s="1345" t="s">
        <v>2436</v>
      </c>
      <c r="E7" s="1357" t="s">
        <v>2437</v>
      </c>
      <c r="F7" s="1358" t="s">
        <v>6651</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6652</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6655</v>
      </c>
      <c r="F9" s="1366">
        <v>43861</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XUb0GPvnLsbtrmxP1S+nPpSilY8dGTzS83hSmFuuNdbhAvqyEY24JctAjlXVjTs360LF0s5BkAsaFfSWQJwugQ==" saltValue="Q/i0ZHyBGsoGHW6Too1TvQ=="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093"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189" activePane="bottomRight" state="frozen"/>
      <selection pane="topRight" activeCell="G1" sqref="G1"/>
      <selection pane="bottomLeft" activeCell="A9" sqref="A9"/>
      <selection pane="bottomRight" activeCell="I195" sqref="I195"/>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华软金信科技（北京）有限公司</v>
      </c>
      <c r="F2" s="1247"/>
      <c r="G2" s="1248"/>
      <c r="H2" s="1295"/>
      <c r="I2" s="1317" t="s">
        <v>2521</v>
      </c>
      <c r="J2" s="745"/>
      <c r="K2" s="1318" t="s">
        <v>2501</v>
      </c>
      <c r="L2" s="745"/>
      <c r="M2" s="1319"/>
      <c r="N2" s="1320"/>
      <c r="O2" s="641"/>
      <c r="P2" s="2788" t="s">
        <v>6601</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43861</v>
      </c>
      <c r="L3" s="1321" t="s">
        <v>2524</v>
      </c>
      <c r="M3" s="2790" t="s">
        <v>6606</v>
      </c>
      <c r="N3" s="745"/>
      <c r="O3" s="641"/>
      <c r="P3" s="2788" t="s">
        <v>6602</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6603</v>
      </c>
      <c r="Q4" s="641"/>
      <c r="R4" s="641"/>
    </row>
    <row r="5" spans="1:25" ht="12" customHeight="1" thickBot="1">
      <c r="A5" s="745"/>
      <c r="B5" s="643"/>
      <c r="C5" s="643"/>
      <c r="D5" s="1300"/>
      <c r="E5" s="1301"/>
      <c r="F5" s="1301"/>
      <c r="G5" s="1300"/>
      <c r="H5" s="1302"/>
      <c r="I5" s="1322"/>
      <c r="J5" s="1323"/>
      <c r="K5" s="1324"/>
      <c r="L5" s="1323"/>
      <c r="M5" s="1322"/>
      <c r="N5" s="1301"/>
      <c r="O5" s="641"/>
      <c r="P5" s="2788" t="s">
        <v>6604</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6811</v>
      </c>
      <c r="E8" s="1306" t="s">
        <v>2529</v>
      </c>
      <c r="F8" s="1307" t="s">
        <v>2530</v>
      </c>
      <c r="G8" s="1308" t="s">
        <v>2531</v>
      </c>
      <c r="H8" s="1309" t="s">
        <v>2532</v>
      </c>
      <c r="I8" s="1305" t="s">
        <v>2533</v>
      </c>
      <c r="J8" s="1326" t="s">
        <v>2534</v>
      </c>
      <c r="K8" s="1327" t="s">
        <v>2535</v>
      </c>
      <c r="L8" s="1306" t="s">
        <v>2536</v>
      </c>
      <c r="M8" s="1305" t="s">
        <v>2537</v>
      </c>
      <c r="N8" s="1328" t="s">
        <v>2534</v>
      </c>
      <c r="O8" s="3083" t="s">
        <v>6800</v>
      </c>
      <c r="P8" s="3084" t="s">
        <v>6801</v>
      </c>
      <c r="Q8" s="3084" t="s">
        <v>6802</v>
      </c>
      <c r="R8" s="3084" t="s">
        <v>6803</v>
      </c>
      <c r="S8" s="3085" t="s">
        <v>6804</v>
      </c>
      <c r="T8" s="3085" t="s">
        <v>6805</v>
      </c>
      <c r="U8" s="3085" t="s">
        <v>6806</v>
      </c>
      <c r="V8" s="3085" t="s">
        <v>6807</v>
      </c>
      <c r="W8" s="3085" t="s">
        <v>6808</v>
      </c>
      <c r="X8" s="3085" t="s">
        <v>6809</v>
      </c>
      <c r="Y8" s="3086" t="s">
        <v>6810</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0</v>
      </c>
      <c r="H9" s="1312">
        <f t="shared" ref="H9:H16" ca="1" si="2">INDIRECT("Notes!CheckA"&amp;$C9)</f>
        <v>0</v>
      </c>
      <c r="I9" s="3080">
        <f ca="1">IF(AND(LEN(G9)&gt;0,LEN(H9)&gt;0),ROUND(SUM(G9)-SUM(H9),2),"")</f>
        <v>0</v>
      </c>
      <c r="J9" s="1293" t="str">
        <f ca="1">IF(ISNA(I9),"N/A",IF(I9=0,"√","？"))</f>
        <v>√</v>
      </c>
      <c r="K9" s="1311">
        <f t="shared" ref="K9:K40" si="3">IF(ISERROR(VLOOKUP($B9,Sheet_Trialbal,10,0)),"        ----",VLOOKUP($B9,Sheet_Trialbal,10,0))</f>
        <v>340266.93</v>
      </c>
      <c r="L9" s="70">
        <f ca="1">INDIRECT("Notes!CheckB"&amp;$C9)</f>
        <v>0</v>
      </c>
      <c r="M9" s="3080">
        <f ca="1">IF(AND(LEN(K9)&gt;0,LEN(L9)&gt;0),ROUND(SUM(K9)-SUM(L9),2),"")</f>
        <v>340266.93</v>
      </c>
      <c r="N9" s="1293" t="str">
        <f ca="1">IF(ISNA(M9),"N/A",IF(M9=0,"√","？"))</f>
        <v>？</v>
      </c>
      <c r="O9" s="3087"/>
      <c r="P9" s="3088"/>
      <c r="Q9" s="3088"/>
      <c r="R9" s="3088"/>
      <c r="S9" s="3089" t="s">
        <v>295</v>
      </c>
      <c r="T9" s="3089" t="s">
        <v>213</v>
      </c>
      <c r="U9" s="3090">
        <v>1015</v>
      </c>
      <c r="V9" s="3090" t="s">
        <v>295</v>
      </c>
      <c r="W9" s="3090" t="s">
        <v>6793</v>
      </c>
      <c r="X9" s="3090" t="s">
        <v>6794</v>
      </c>
      <c r="Y9" s="3091" t="s">
        <v>164</v>
      </c>
    </row>
    <row r="10" spans="1:25" ht="18">
      <c r="A10" s="1304"/>
      <c r="B10" s="643">
        <v>1015</v>
      </c>
      <c r="C10" s="643" t="s">
        <v>45</v>
      </c>
      <c r="D10" s="3075">
        <v>1</v>
      </c>
      <c r="E10" s="3076" t="str">
        <f t="shared" si="0"/>
        <v>货币资金</v>
      </c>
      <c r="F10" s="3077" t="s">
        <v>46</v>
      </c>
      <c r="G10" s="3078">
        <f t="shared" si="1"/>
        <v>0</v>
      </c>
      <c r="H10" s="3079">
        <f t="shared" ca="1" si="2"/>
        <v>0</v>
      </c>
      <c r="I10" s="3081">
        <f ca="1">IF(AND(LEN(G10)&gt;0,LEN(H10)&gt;0),ROUND(SUM(G10)-SUM(H10),2),"")</f>
        <v>0</v>
      </c>
      <c r="J10" s="3060" t="str">
        <f ca="1">IF(ISNA(I10),"N/A",IF(I10=0,"√","？"))</f>
        <v>√</v>
      </c>
      <c r="K10" s="3078">
        <f t="shared" si="3"/>
        <v>340266.93</v>
      </c>
      <c r="L10" s="3059">
        <f ca="1">INDIRECT("Notes!CheckB"&amp;$C10)</f>
        <v>0</v>
      </c>
      <c r="M10" s="3081">
        <f ca="1">IF(AND(LEN(K10)&gt;0,LEN(L10)&gt;0),ROUND(SUM(K10)-SUM(L10),2),"")</f>
        <v>340266.93</v>
      </c>
      <c r="N10" s="3060" t="str">
        <f ca="1">IF(ISNA(M10),"N/A",IF(M10=0,"√","？"))</f>
        <v>？</v>
      </c>
      <c r="O10" s="3087"/>
      <c r="P10" s="3088"/>
      <c r="Q10" s="3088"/>
      <c r="R10" s="3088"/>
      <c r="S10" s="3089" t="s">
        <v>295</v>
      </c>
      <c r="T10" s="3089" t="s">
        <v>213</v>
      </c>
      <c r="U10" s="3090"/>
      <c r="V10" s="3090" t="s">
        <v>295</v>
      </c>
      <c r="W10" s="3090" t="s">
        <v>6793</v>
      </c>
      <c r="X10" s="3090" t="s">
        <v>213</v>
      </c>
      <c r="Y10" s="3091" t="s">
        <v>164</v>
      </c>
    </row>
    <row r="11" spans="1:25" ht="18" hidden="1">
      <c r="A11" s="1304"/>
      <c r="B11" s="643">
        <v>1015</v>
      </c>
      <c r="C11" s="643" t="s">
        <v>88</v>
      </c>
      <c r="D11" s="3075">
        <v>2</v>
      </c>
      <c r="E11" s="3076" t="str">
        <f t="shared" si="0"/>
        <v>货币资金</v>
      </c>
      <c r="F11" s="3077" t="s">
        <v>89</v>
      </c>
      <c r="G11" s="3078">
        <f t="shared" si="1"/>
        <v>0</v>
      </c>
      <c r="H11" s="3079">
        <f t="shared" ca="1" si="2"/>
        <v>0</v>
      </c>
      <c r="I11" s="3081" t="s">
        <v>6799</v>
      </c>
      <c r="J11" s="3060"/>
      <c r="K11" s="3078">
        <f t="shared" si="3"/>
        <v>340266.93</v>
      </c>
      <c r="L11" s="3059" t="s">
        <v>6795</v>
      </c>
      <c r="M11" s="3081" t="s">
        <v>6799</v>
      </c>
      <c r="N11" s="3060"/>
      <c r="O11" s="3087"/>
      <c r="P11" s="3088"/>
      <c r="Q11" s="3088"/>
      <c r="R11" s="3088"/>
      <c r="S11" s="3089" t="s">
        <v>295</v>
      </c>
      <c r="T11" s="3089" t="s">
        <v>213</v>
      </c>
      <c r="U11" s="3090">
        <v>1015</v>
      </c>
      <c r="V11" s="3090" t="s">
        <v>295</v>
      </c>
      <c r="W11" s="3090" t="s">
        <v>6793</v>
      </c>
      <c r="X11" s="3090" t="s">
        <v>213</v>
      </c>
      <c r="Y11" s="3091" t="s">
        <v>164</v>
      </c>
    </row>
    <row r="12" spans="1:25" ht="24">
      <c r="A12" s="1304"/>
      <c r="B12" s="643">
        <v>1102</v>
      </c>
      <c r="C12" s="643" t="s">
        <v>135</v>
      </c>
      <c r="D12" s="3075">
        <v>1</v>
      </c>
      <c r="E12" s="3076" t="str">
        <f t="shared" si="0"/>
        <v>交易性金融资产</v>
      </c>
      <c r="F12" s="3077" t="s">
        <v>136</v>
      </c>
      <c r="G12" s="3078">
        <f t="shared" si="1"/>
        <v>0</v>
      </c>
      <c r="H12" s="3079">
        <f t="shared" ca="1" si="2"/>
        <v>0</v>
      </c>
      <c r="I12" s="3081">
        <f ca="1">IF(AND(LEN(G12)&gt;0,LEN(H12)&gt;0),ROUND(SUM(G12)-SUM(H12),2),"")</f>
        <v>0</v>
      </c>
      <c r="J12" s="3060" t="str">
        <f ca="1">IF(ISNA(I12),"N/A",IF(I12=0,"√","？"))</f>
        <v>√</v>
      </c>
      <c r="K12" s="3078">
        <f t="shared" si="3"/>
        <v>0</v>
      </c>
      <c r="L12" s="3059">
        <f ca="1">INDIRECT("Notes!CheckB"&amp;$C12)</f>
        <v>0</v>
      </c>
      <c r="M12" s="3081">
        <f ca="1">IF(AND(LEN(K12)&gt;0,LEN(L12)&gt;0),ROUND(SUM(K12)-SUM(L12),2),"")</f>
        <v>0</v>
      </c>
      <c r="N12" s="3060" t="str">
        <f ca="1">IF(ISNA(M12),"N/A",IF(M12=0,"√","？"))</f>
        <v>√</v>
      </c>
      <c r="O12" s="3087"/>
      <c r="P12" s="3088"/>
      <c r="Q12" s="3088"/>
      <c r="R12" s="3088"/>
      <c r="S12" s="3089" t="s">
        <v>295</v>
      </c>
      <c r="T12" s="3089" t="s">
        <v>213</v>
      </c>
      <c r="U12" s="3090">
        <v>1102</v>
      </c>
      <c r="V12" s="3090" t="s">
        <v>295</v>
      </c>
      <c r="W12" s="3090" t="s">
        <v>145</v>
      </c>
      <c r="X12" s="3090" t="s">
        <v>6796</v>
      </c>
      <c r="Y12" s="3091" t="s">
        <v>119</v>
      </c>
    </row>
    <row r="13" spans="1:25" ht="36">
      <c r="A13" s="1304"/>
      <c r="B13" s="643">
        <v>1101</v>
      </c>
      <c r="C13" s="643" t="s">
        <v>106</v>
      </c>
      <c r="D13" s="3075">
        <v>1</v>
      </c>
      <c r="E13" s="3076" t="str">
        <f t="shared" si="0"/>
        <v>以公允价值计量且其变动计入当期损益的金融资产</v>
      </c>
      <c r="F13" s="3077" t="s">
        <v>107</v>
      </c>
      <c r="G13" s="3078">
        <f t="shared" si="1"/>
        <v>0</v>
      </c>
      <c r="H13" s="3079">
        <f t="shared" ca="1" si="2"/>
        <v>0</v>
      </c>
      <c r="I13" s="3081">
        <f ca="1">IF(AND(LEN(G13)&gt;0,LEN(H13)&gt;0),ROUND(SUM(G13)-SUM(H13),2),"")</f>
        <v>0</v>
      </c>
      <c r="J13" s="3060" t="str">
        <f ca="1">IF(ISNA(I13),"N/A",IF(I13=0,"√","？"))</f>
        <v>√</v>
      </c>
      <c r="K13" s="3078">
        <f t="shared" si="3"/>
        <v>0</v>
      </c>
      <c r="L13" s="3059">
        <f ca="1">INDIRECT("Notes!CheckB"&amp;$C13)</f>
        <v>0</v>
      </c>
      <c r="M13" s="3081">
        <f ca="1">IF(AND(LEN(K13)&gt;0,LEN(L13)&gt;0),ROUND(SUM(K13)-SUM(L13),2),"")</f>
        <v>0</v>
      </c>
      <c r="N13" s="3060" t="str">
        <f ca="1">IF(ISNA(M13),"N/A",IF(M13=0,"√","？"))</f>
        <v>√</v>
      </c>
      <c r="O13" s="3087"/>
      <c r="P13" s="3088"/>
      <c r="Q13" s="3088"/>
      <c r="R13" s="3088"/>
      <c r="S13" s="3089" t="s">
        <v>295</v>
      </c>
      <c r="T13" s="3089" t="s">
        <v>213</v>
      </c>
      <c r="U13" s="3090">
        <v>1101</v>
      </c>
      <c r="V13" s="3090" t="s">
        <v>295</v>
      </c>
      <c r="W13" s="3090" t="s">
        <v>6793</v>
      </c>
      <c r="X13" s="3090" t="s">
        <v>6794</v>
      </c>
      <c r="Y13" s="3091" t="s">
        <v>164</v>
      </c>
    </row>
    <row r="14" spans="1:25" ht="18">
      <c r="A14" s="1304"/>
      <c r="B14" s="643">
        <v>1115</v>
      </c>
      <c r="C14" s="643" t="s">
        <v>148</v>
      </c>
      <c r="D14" s="3075">
        <v>1</v>
      </c>
      <c r="E14" s="3076" t="str">
        <f t="shared" si="0"/>
        <v>衍生金融资产</v>
      </c>
      <c r="F14" s="3077" t="s">
        <v>6419</v>
      </c>
      <c r="G14" s="3078">
        <f t="shared" si="1"/>
        <v>0</v>
      </c>
      <c r="H14" s="3079">
        <f t="shared" ca="1" si="2"/>
        <v>0</v>
      </c>
      <c r="I14" s="3081">
        <f ca="1">IF(AND(LEN(G14)&gt;0,LEN(H14)&gt;0),ROUND(SUM(G14)-SUM(H14),2),"")</f>
        <v>0</v>
      </c>
      <c r="J14" s="3060" t="str">
        <f ca="1">IF(ISNA(I14),"N/A",IF(I14=0,"√","？"))</f>
        <v>√</v>
      </c>
      <c r="K14" s="3078">
        <f t="shared" si="3"/>
        <v>0</v>
      </c>
      <c r="L14" s="3059">
        <f ca="1">INDIRECT("Notes!CheckB"&amp;$C14)</f>
        <v>0</v>
      </c>
      <c r="M14" s="3081">
        <f ca="1">IF(AND(LEN(K14)&gt;0,LEN(L14)&gt;0),ROUND(SUM(K14)-SUM(L14),2),"")</f>
        <v>0</v>
      </c>
      <c r="N14" s="3060" t="str">
        <f ca="1">IF(ISNA(M14),"N/A",IF(M14=0,"√","？"))</f>
        <v>√</v>
      </c>
      <c r="O14" s="3087"/>
      <c r="P14" s="3088"/>
      <c r="Q14" s="3088"/>
      <c r="R14" s="3088"/>
      <c r="S14" s="3089" t="s">
        <v>295</v>
      </c>
      <c r="T14" s="3089" t="s">
        <v>213</v>
      </c>
      <c r="U14" s="3090">
        <v>1115</v>
      </c>
      <c r="V14" s="3090" t="s">
        <v>295</v>
      </c>
      <c r="W14" s="3090" t="s">
        <v>6793</v>
      </c>
      <c r="X14" s="3090" t="s">
        <v>6794</v>
      </c>
      <c r="Y14" s="3091" t="s">
        <v>164</v>
      </c>
    </row>
    <row r="15" spans="1:25" ht="18">
      <c r="A15" s="1304"/>
      <c r="B15" s="643">
        <v>1121</v>
      </c>
      <c r="C15" s="643" t="s">
        <v>159</v>
      </c>
      <c r="D15" s="3075">
        <v>1</v>
      </c>
      <c r="E15" s="3076" t="str">
        <f t="shared" si="0"/>
        <v>应收票据</v>
      </c>
      <c r="F15" s="3077" t="s">
        <v>160</v>
      </c>
      <c r="G15" s="3078">
        <f t="shared" si="1"/>
        <v>0</v>
      </c>
      <c r="H15" s="3079">
        <f t="shared" ca="1" si="2"/>
        <v>0</v>
      </c>
      <c r="I15" s="3081">
        <f ca="1">IF(AND(LEN(G15)&gt;0,LEN(H15)&gt;0),ROUND(SUM(G15)-SUM(H15),2),"")</f>
        <v>0</v>
      </c>
      <c r="J15" s="3060" t="str">
        <f ca="1">IF(ISNA(I15),"N/A",IF(I15=0,"√","？"))</f>
        <v>√</v>
      </c>
      <c r="K15" s="3078">
        <f t="shared" si="3"/>
        <v>0</v>
      </c>
      <c r="L15" s="3059">
        <f ca="1">INDIRECT("Notes!CheckB"&amp;$C15)</f>
        <v>0</v>
      </c>
      <c r="M15" s="3081">
        <f ca="1">IF(AND(LEN(K15)&gt;0,LEN(L15)&gt;0),ROUND(SUM(K15)-SUM(L15),2),"")</f>
        <v>0</v>
      </c>
      <c r="N15" s="3060" t="str">
        <f ca="1">IF(ISNA(M15),"N/A",IF(M15=0,"√","？"))</f>
        <v>√</v>
      </c>
      <c r="O15" s="3087"/>
      <c r="P15" s="3088"/>
      <c r="Q15" s="3088"/>
      <c r="R15" s="3088"/>
      <c r="S15" s="3089" t="s">
        <v>295</v>
      </c>
      <c r="T15" s="3089" t="s">
        <v>213</v>
      </c>
      <c r="U15" s="3090">
        <v>1121</v>
      </c>
      <c r="V15" s="3090" t="s">
        <v>295</v>
      </c>
      <c r="W15" s="3090" t="s">
        <v>145</v>
      </c>
      <c r="X15" s="3090" t="s">
        <v>6796</v>
      </c>
      <c r="Y15" s="3091" t="s">
        <v>119</v>
      </c>
    </row>
    <row r="16" spans="1:25" ht="18" hidden="1">
      <c r="A16" s="1304"/>
      <c r="B16" s="643">
        <v>1121</v>
      </c>
      <c r="C16" s="643" t="s">
        <v>170</v>
      </c>
      <c r="D16" s="3075">
        <v>2</v>
      </c>
      <c r="E16" s="3076" t="str">
        <f t="shared" si="0"/>
        <v>应收票据</v>
      </c>
      <c r="F16" s="3077" t="s">
        <v>171</v>
      </c>
      <c r="G16" s="3078">
        <f t="shared" si="1"/>
        <v>0</v>
      </c>
      <c r="H16" s="3079">
        <f t="shared" ca="1" si="2"/>
        <v>0</v>
      </c>
      <c r="I16" s="3081" t="s">
        <v>6799</v>
      </c>
      <c r="J16" s="3060"/>
      <c r="K16" s="3078">
        <f t="shared" si="3"/>
        <v>0</v>
      </c>
      <c r="L16" s="3059" t="s">
        <v>6795</v>
      </c>
      <c r="M16" s="3081" t="s">
        <v>6799</v>
      </c>
      <c r="N16" s="3060"/>
      <c r="O16" s="3087"/>
      <c r="P16" s="3088"/>
      <c r="Q16" s="3088"/>
      <c r="R16" s="3088"/>
      <c r="S16" s="3089" t="s">
        <v>295</v>
      </c>
      <c r="T16" s="3089" t="s">
        <v>213</v>
      </c>
      <c r="U16" s="3090">
        <v>1121</v>
      </c>
      <c r="V16" s="3090" t="s">
        <v>295</v>
      </c>
      <c r="W16" s="3090" t="s">
        <v>6793</v>
      </c>
      <c r="X16" s="3090" t="s">
        <v>6796</v>
      </c>
      <c r="Y16" s="3091" t="s">
        <v>164</v>
      </c>
    </row>
    <row r="17" spans="1:25" ht="24" hidden="1">
      <c r="A17" s="1304"/>
      <c r="B17" s="643">
        <v>1121</v>
      </c>
      <c r="C17" s="643" t="s">
        <v>178</v>
      </c>
      <c r="D17" s="3075">
        <v>2</v>
      </c>
      <c r="E17" s="3076" t="str">
        <f t="shared" si="0"/>
        <v>应收票据</v>
      </c>
      <c r="F17" s="3077" t="s">
        <v>179</v>
      </c>
      <c r="G17" s="3078">
        <f t="shared" si="1"/>
        <v>0</v>
      </c>
      <c r="H17" s="3079" t="s">
        <v>6795</v>
      </c>
      <c r="I17" s="3081" t="s">
        <v>6799</v>
      </c>
      <c r="J17" s="3060"/>
      <c r="K17" s="3078">
        <f t="shared" si="3"/>
        <v>0</v>
      </c>
      <c r="L17" s="3059" t="s">
        <v>6795</v>
      </c>
      <c r="M17" s="3081" t="s">
        <v>6799</v>
      </c>
      <c r="N17" s="3060"/>
      <c r="O17" s="3087"/>
      <c r="P17" s="3088"/>
      <c r="Q17" s="3088"/>
      <c r="R17" s="3088"/>
      <c r="S17" s="3089" t="s">
        <v>295</v>
      </c>
      <c r="T17" s="3089" t="s">
        <v>213</v>
      </c>
      <c r="U17" s="3090">
        <v>1121</v>
      </c>
      <c r="V17" s="3090" t="s">
        <v>295</v>
      </c>
      <c r="W17" s="3090" t="s">
        <v>6793</v>
      </c>
      <c r="X17" s="3090" t="s">
        <v>6796</v>
      </c>
      <c r="Y17" s="3091" t="s">
        <v>164</v>
      </c>
    </row>
    <row r="18" spans="1:25" ht="36" hidden="1">
      <c r="A18" s="1304"/>
      <c r="B18" s="643">
        <v>1121</v>
      </c>
      <c r="C18" s="643" t="s">
        <v>189</v>
      </c>
      <c r="D18" s="3075">
        <v>2</v>
      </c>
      <c r="E18" s="3076" t="str">
        <f t="shared" si="0"/>
        <v>应收票据</v>
      </c>
      <c r="F18" s="3077" t="s">
        <v>190</v>
      </c>
      <c r="G18" s="3078">
        <f t="shared" si="1"/>
        <v>0</v>
      </c>
      <c r="H18" s="3079">
        <f t="shared" ref="H18:H33" ca="1" si="4">INDIRECT("Notes!CheckA"&amp;$C18)</f>
        <v>0</v>
      </c>
      <c r="I18" s="3081" t="s">
        <v>6799</v>
      </c>
      <c r="J18" s="3060"/>
      <c r="K18" s="3078">
        <f t="shared" si="3"/>
        <v>0</v>
      </c>
      <c r="L18" s="3059" t="s">
        <v>6795</v>
      </c>
      <c r="M18" s="3081" t="s">
        <v>6799</v>
      </c>
      <c r="N18" s="3060"/>
      <c r="O18" s="3087"/>
      <c r="P18" s="3088"/>
      <c r="Q18" s="3088"/>
      <c r="R18" s="3088"/>
      <c r="S18" s="3089" t="s">
        <v>295</v>
      </c>
      <c r="T18" s="3089" t="s">
        <v>213</v>
      </c>
      <c r="U18" s="3090">
        <v>1121</v>
      </c>
      <c r="V18" s="3090" t="s">
        <v>295</v>
      </c>
      <c r="W18" s="3090" t="s">
        <v>6793</v>
      </c>
      <c r="X18" s="3090" t="s">
        <v>6796</v>
      </c>
      <c r="Y18" s="3091" t="s">
        <v>164</v>
      </c>
    </row>
    <row r="19" spans="1:25" ht="24" hidden="1">
      <c r="A19" s="1304"/>
      <c r="B19" s="643">
        <v>1121</v>
      </c>
      <c r="C19" s="643" t="s">
        <v>199</v>
      </c>
      <c r="D19" s="3075">
        <v>2</v>
      </c>
      <c r="E19" s="3076" t="str">
        <f t="shared" si="0"/>
        <v>应收票据</v>
      </c>
      <c r="F19" s="3077" t="s">
        <v>200</v>
      </c>
      <c r="G19" s="3078">
        <f t="shared" si="1"/>
        <v>0</v>
      </c>
      <c r="H19" s="3079">
        <f t="shared" ca="1" si="4"/>
        <v>0</v>
      </c>
      <c r="I19" s="3081" t="s">
        <v>6799</v>
      </c>
      <c r="J19" s="3060"/>
      <c r="K19" s="3078">
        <f t="shared" si="3"/>
        <v>0</v>
      </c>
      <c r="L19" s="3059" t="s">
        <v>6795</v>
      </c>
      <c r="M19" s="3081" t="s">
        <v>6799</v>
      </c>
      <c r="N19" s="3060"/>
      <c r="O19" s="3087"/>
      <c r="P19" s="3088"/>
      <c r="Q19" s="3088"/>
      <c r="R19" s="3088"/>
      <c r="S19" s="3089" t="s">
        <v>295</v>
      </c>
      <c r="T19" s="3089" t="s">
        <v>213</v>
      </c>
      <c r="U19" s="3090"/>
      <c r="V19" s="3090" t="s">
        <v>295</v>
      </c>
      <c r="W19" s="3090" t="s">
        <v>145</v>
      </c>
      <c r="X19" s="3090" t="s">
        <v>6796</v>
      </c>
      <c r="Y19" s="3091" t="s">
        <v>119</v>
      </c>
    </row>
    <row r="20" spans="1:25" ht="24" hidden="1">
      <c r="A20" s="1304"/>
      <c r="B20" s="643">
        <v>1121</v>
      </c>
      <c r="C20" s="643" t="s">
        <v>209</v>
      </c>
      <c r="D20" s="3075">
        <v>2</v>
      </c>
      <c r="E20" s="3076" t="str">
        <f t="shared" si="0"/>
        <v>应收票据</v>
      </c>
      <c r="F20" s="3077" t="s">
        <v>210</v>
      </c>
      <c r="G20" s="3078">
        <f t="shared" si="1"/>
        <v>0</v>
      </c>
      <c r="H20" s="3079">
        <f t="shared" ca="1" si="4"/>
        <v>0</v>
      </c>
      <c r="I20" s="3081" t="s">
        <v>6799</v>
      </c>
      <c r="J20" s="3060"/>
      <c r="K20" s="3078">
        <f t="shared" si="3"/>
        <v>0</v>
      </c>
      <c r="L20" s="3059" t="s">
        <v>6795</v>
      </c>
      <c r="M20" s="3081" t="s">
        <v>6799</v>
      </c>
      <c r="N20" s="3060"/>
      <c r="O20" s="3087"/>
      <c r="P20" s="3088"/>
      <c r="Q20" s="3088"/>
      <c r="R20" s="3088"/>
      <c r="S20" s="3089" t="s">
        <v>295</v>
      </c>
      <c r="T20" s="3089" t="s">
        <v>213</v>
      </c>
      <c r="U20" s="3090"/>
      <c r="V20" s="3090" t="s">
        <v>295</v>
      </c>
      <c r="W20" s="3090" t="s">
        <v>145</v>
      </c>
      <c r="X20" s="3090" t="s">
        <v>6796</v>
      </c>
      <c r="Y20" s="3091" t="s">
        <v>119</v>
      </c>
    </row>
    <row r="21" spans="1:25" ht="24" hidden="1">
      <c r="A21" s="1304"/>
      <c r="B21" s="643">
        <v>1121</v>
      </c>
      <c r="C21" s="643" t="s">
        <v>219</v>
      </c>
      <c r="D21" s="3075">
        <v>2</v>
      </c>
      <c r="E21" s="3076" t="str">
        <f t="shared" si="0"/>
        <v>应收票据</v>
      </c>
      <c r="F21" s="3077" t="s">
        <v>220</v>
      </c>
      <c r="G21" s="3078">
        <f t="shared" si="1"/>
        <v>0</v>
      </c>
      <c r="H21" s="3079">
        <f t="shared" ca="1" si="4"/>
        <v>0</v>
      </c>
      <c r="I21" s="3081" t="s">
        <v>6799</v>
      </c>
      <c r="J21" s="3060"/>
      <c r="K21" s="3078">
        <f t="shared" si="3"/>
        <v>0</v>
      </c>
      <c r="L21" s="3059" t="s">
        <v>6795</v>
      </c>
      <c r="M21" s="3081" t="s">
        <v>6799</v>
      </c>
      <c r="N21" s="3060"/>
      <c r="O21" s="3087"/>
      <c r="P21" s="3088"/>
      <c r="Q21" s="3088"/>
      <c r="R21" s="3088"/>
      <c r="S21" s="3089" t="s">
        <v>295</v>
      </c>
      <c r="T21" s="3089" t="s">
        <v>213</v>
      </c>
      <c r="U21" s="3090"/>
      <c r="V21" s="3090" t="s">
        <v>295</v>
      </c>
      <c r="W21" s="3090" t="s">
        <v>145</v>
      </c>
      <c r="X21" s="3090" t="s">
        <v>6796</v>
      </c>
      <c r="Y21" s="3091" t="s">
        <v>119</v>
      </c>
    </row>
    <row r="22" spans="1:25" ht="24" hidden="1">
      <c r="A22" s="1304"/>
      <c r="B22" s="643">
        <v>1121</v>
      </c>
      <c r="C22" s="643" t="s">
        <v>6117</v>
      </c>
      <c r="D22" s="3075">
        <v>2</v>
      </c>
      <c r="E22" s="3076" t="str">
        <f t="shared" si="0"/>
        <v>应收票据</v>
      </c>
      <c r="F22" s="3077" t="s">
        <v>6118</v>
      </c>
      <c r="G22" s="3078">
        <f t="shared" si="1"/>
        <v>0</v>
      </c>
      <c r="H22" s="3079">
        <f t="shared" ca="1" si="4"/>
        <v>0</v>
      </c>
      <c r="I22" s="3081" t="s">
        <v>6799</v>
      </c>
      <c r="J22" s="3060"/>
      <c r="K22" s="3078">
        <f t="shared" si="3"/>
        <v>0</v>
      </c>
      <c r="L22" s="3059">
        <f ca="1">INDIRECT("Notes!CheckB"&amp;$C22)</f>
        <v>0</v>
      </c>
      <c r="M22" s="3081" t="s">
        <v>6799</v>
      </c>
      <c r="N22" s="3060"/>
      <c r="O22" s="3087"/>
      <c r="P22" s="3088"/>
      <c r="Q22" s="3088"/>
      <c r="R22" s="3088"/>
      <c r="S22" s="3089" t="s">
        <v>295</v>
      </c>
      <c r="T22" s="3089" t="s">
        <v>213</v>
      </c>
      <c r="U22" s="3090"/>
      <c r="V22" s="3090" t="s">
        <v>295</v>
      </c>
      <c r="W22" s="3090" t="s">
        <v>145</v>
      </c>
      <c r="X22" s="3090" t="s">
        <v>213</v>
      </c>
      <c r="Y22" s="3091" t="s">
        <v>119</v>
      </c>
    </row>
    <row r="23" spans="1:25" ht="24" hidden="1">
      <c r="A23" s="1304"/>
      <c r="B23" s="643">
        <v>1121</v>
      </c>
      <c r="C23" s="643" t="s">
        <v>227</v>
      </c>
      <c r="D23" s="3075">
        <v>2</v>
      </c>
      <c r="E23" s="3076" t="str">
        <f t="shared" si="0"/>
        <v>应收票据</v>
      </c>
      <c r="F23" s="3077" t="s">
        <v>228</v>
      </c>
      <c r="G23" s="3078">
        <f t="shared" si="1"/>
        <v>0</v>
      </c>
      <c r="H23" s="3079">
        <f t="shared" ca="1" si="4"/>
        <v>0</v>
      </c>
      <c r="I23" s="3081" t="s">
        <v>6799</v>
      </c>
      <c r="J23" s="3060"/>
      <c r="K23" s="3078">
        <f t="shared" si="3"/>
        <v>0</v>
      </c>
      <c r="L23" s="3059">
        <f ca="1">INDIRECT("Notes!CheckB"&amp;$C23)</f>
        <v>0</v>
      </c>
      <c r="M23" s="3081" t="s">
        <v>6799</v>
      </c>
      <c r="N23" s="3060"/>
      <c r="O23" s="3087"/>
      <c r="P23" s="3088"/>
      <c r="Q23" s="3088"/>
      <c r="R23" s="3088"/>
      <c r="S23" s="3089" t="s">
        <v>295</v>
      </c>
      <c r="T23" s="3089" t="s">
        <v>213</v>
      </c>
      <c r="U23" s="3090"/>
      <c r="V23" s="3090" t="s">
        <v>295</v>
      </c>
      <c r="W23" s="3090" t="s">
        <v>145</v>
      </c>
      <c r="X23" s="3090" t="s">
        <v>6796</v>
      </c>
      <c r="Y23" s="3091" t="s">
        <v>119</v>
      </c>
    </row>
    <row r="24" spans="1:25" ht="24" hidden="1">
      <c r="A24" s="1304"/>
      <c r="B24" s="643">
        <v>1121</v>
      </c>
      <c r="C24" s="643" t="s">
        <v>235</v>
      </c>
      <c r="D24" s="3075">
        <v>2</v>
      </c>
      <c r="E24" s="3076" t="str">
        <f t="shared" si="0"/>
        <v>应收票据</v>
      </c>
      <c r="F24" s="3077" t="s">
        <v>236</v>
      </c>
      <c r="G24" s="3078">
        <f t="shared" si="1"/>
        <v>0</v>
      </c>
      <c r="H24" s="3079">
        <f t="shared" ca="1" si="4"/>
        <v>0</v>
      </c>
      <c r="I24" s="3081" t="s">
        <v>6799</v>
      </c>
      <c r="J24" s="3060"/>
      <c r="K24" s="3078">
        <f t="shared" si="3"/>
        <v>0</v>
      </c>
      <c r="L24" s="3059" t="s">
        <v>6795</v>
      </c>
      <c r="M24" s="3081" t="s">
        <v>6799</v>
      </c>
      <c r="N24" s="3060"/>
      <c r="O24" s="3087"/>
      <c r="P24" s="3088"/>
      <c r="Q24" s="3088"/>
      <c r="R24" s="3088"/>
      <c r="S24" s="3089" t="s">
        <v>295</v>
      </c>
      <c r="T24" s="3089" t="s">
        <v>213</v>
      </c>
      <c r="U24" s="3090">
        <v>1121</v>
      </c>
      <c r="V24" s="3090" t="s">
        <v>295</v>
      </c>
      <c r="W24" s="3090" t="s">
        <v>6793</v>
      </c>
      <c r="X24" s="3090" t="s">
        <v>6796</v>
      </c>
      <c r="Y24" s="3091" t="s">
        <v>164</v>
      </c>
    </row>
    <row r="25" spans="1:25" ht="24" hidden="1">
      <c r="A25" s="1304"/>
      <c r="B25" s="643">
        <v>1121</v>
      </c>
      <c r="C25" s="643" t="s">
        <v>245</v>
      </c>
      <c r="D25" s="3075">
        <v>2</v>
      </c>
      <c r="E25" s="3076" t="str">
        <f t="shared" si="0"/>
        <v>应收票据</v>
      </c>
      <c r="F25" s="3077" t="s">
        <v>246</v>
      </c>
      <c r="G25" s="3078">
        <f t="shared" si="1"/>
        <v>0</v>
      </c>
      <c r="H25" s="3079">
        <f t="shared" ca="1" si="4"/>
        <v>0</v>
      </c>
      <c r="I25" s="3081" t="s">
        <v>6799</v>
      </c>
      <c r="J25" s="3060"/>
      <c r="K25" s="3078">
        <f t="shared" si="3"/>
        <v>0</v>
      </c>
      <c r="L25" s="3059" t="s">
        <v>6795</v>
      </c>
      <c r="M25" s="3081" t="s">
        <v>6799</v>
      </c>
      <c r="N25" s="3060"/>
      <c r="O25" s="3087"/>
      <c r="P25" s="3088"/>
      <c r="Q25" s="3088"/>
      <c r="R25" s="3088"/>
      <c r="S25" s="3089" t="s">
        <v>295</v>
      </c>
      <c r="T25" s="3089" t="s">
        <v>213</v>
      </c>
      <c r="U25" s="3090">
        <v>1121</v>
      </c>
      <c r="V25" s="3090" t="s">
        <v>295</v>
      </c>
      <c r="W25" s="3090" t="s">
        <v>6793</v>
      </c>
      <c r="X25" s="3090" t="s">
        <v>6796</v>
      </c>
      <c r="Y25" s="3091" t="s">
        <v>164</v>
      </c>
    </row>
    <row r="26" spans="1:25" ht="24" hidden="1">
      <c r="A26" s="1304"/>
      <c r="B26" s="643">
        <v>1121</v>
      </c>
      <c r="C26" s="643" t="s">
        <v>255</v>
      </c>
      <c r="D26" s="3075">
        <v>2</v>
      </c>
      <c r="E26" s="3076" t="str">
        <f t="shared" si="0"/>
        <v>应收票据</v>
      </c>
      <c r="F26" s="3077" t="s">
        <v>256</v>
      </c>
      <c r="G26" s="3078">
        <f t="shared" si="1"/>
        <v>0</v>
      </c>
      <c r="H26" s="3079">
        <f t="shared" ca="1" si="4"/>
        <v>0</v>
      </c>
      <c r="I26" s="3081" t="s">
        <v>6799</v>
      </c>
      <c r="J26" s="3060"/>
      <c r="K26" s="3078">
        <f t="shared" si="3"/>
        <v>0</v>
      </c>
      <c r="L26" s="3059" t="s">
        <v>6795</v>
      </c>
      <c r="M26" s="3081" t="s">
        <v>6799</v>
      </c>
      <c r="N26" s="3060"/>
      <c r="O26" s="3087"/>
      <c r="P26" s="3088"/>
      <c r="Q26" s="3088"/>
      <c r="R26" s="3088"/>
      <c r="S26" s="3089" t="s">
        <v>295</v>
      </c>
      <c r="T26" s="3089" t="s">
        <v>213</v>
      </c>
      <c r="U26" s="3090"/>
      <c r="V26" s="3090" t="s">
        <v>295</v>
      </c>
      <c r="W26" s="3090" t="s">
        <v>6793</v>
      </c>
      <c r="X26" s="3090" t="s">
        <v>6796</v>
      </c>
      <c r="Y26" s="3091" t="s">
        <v>164</v>
      </c>
    </row>
    <row r="27" spans="1:25" ht="18" hidden="1">
      <c r="A27" s="1304"/>
      <c r="B27" s="643">
        <v>1121</v>
      </c>
      <c r="C27" s="643" t="s">
        <v>5585</v>
      </c>
      <c r="D27" s="3075">
        <v>2</v>
      </c>
      <c r="E27" s="3076" t="str">
        <f t="shared" si="0"/>
        <v>应收票据</v>
      </c>
      <c r="F27" s="3077" t="s">
        <v>5586</v>
      </c>
      <c r="G27" s="3078">
        <f t="shared" si="1"/>
        <v>0</v>
      </c>
      <c r="H27" s="3079">
        <f t="shared" ca="1" si="4"/>
        <v>0</v>
      </c>
      <c r="I27" s="3081" t="s">
        <v>6799</v>
      </c>
      <c r="J27" s="3060"/>
      <c r="K27" s="3078">
        <f t="shared" si="3"/>
        <v>0</v>
      </c>
      <c r="L27" s="3059">
        <f ca="1">INDIRECT("Notes!CheckB"&amp;$C27)</f>
        <v>0</v>
      </c>
      <c r="M27" s="3081" t="s">
        <v>6799</v>
      </c>
      <c r="N27" s="3060"/>
      <c r="O27" s="3087"/>
      <c r="P27" s="3088"/>
      <c r="Q27" s="3088"/>
      <c r="R27" s="3088"/>
      <c r="S27" s="3089" t="s">
        <v>295</v>
      </c>
      <c r="T27" s="3089" t="s">
        <v>213</v>
      </c>
      <c r="U27" s="3090"/>
      <c r="V27" s="3090" t="s">
        <v>295</v>
      </c>
      <c r="W27" s="3090" t="s">
        <v>6793</v>
      </c>
      <c r="X27" s="3090" t="s">
        <v>213</v>
      </c>
      <c r="Y27" s="3091" t="s">
        <v>164</v>
      </c>
    </row>
    <row r="28" spans="1:25" ht="18">
      <c r="A28" s="1304"/>
      <c r="B28" s="643">
        <v>1122</v>
      </c>
      <c r="C28" s="643" t="s">
        <v>271</v>
      </c>
      <c r="D28" s="3075">
        <v>1</v>
      </c>
      <c r="E28" s="3076" t="str">
        <f t="shared" si="0"/>
        <v>应收账款</v>
      </c>
      <c r="F28" s="3077" t="s">
        <v>272</v>
      </c>
      <c r="G28" s="3078">
        <f t="shared" si="1"/>
        <v>0</v>
      </c>
      <c r="H28" s="3079">
        <f t="shared" ca="1" si="4"/>
        <v>0</v>
      </c>
      <c r="I28" s="3081">
        <f ca="1">IF(AND(LEN(G28)&gt;0,LEN(H28)&gt;0),ROUND(SUM(G28)-SUM(H28),2),"")</f>
        <v>0</v>
      </c>
      <c r="J28" s="3060" t="str">
        <f ca="1">IF(ISNA(I28),"N/A",IF(I28=0,"√","？"))</f>
        <v>√</v>
      </c>
      <c r="K28" s="3078">
        <f t="shared" si="3"/>
        <v>0</v>
      </c>
      <c r="L28" s="3059">
        <f ca="1">INDIRECT("Notes!CheckB"&amp;$C28)</f>
        <v>0</v>
      </c>
      <c r="M28" s="3081">
        <f ca="1">IF(AND(LEN(K28)&gt;0,LEN(L28)&gt;0),ROUND(SUM(K28)-SUM(L28),2),"")</f>
        <v>0</v>
      </c>
      <c r="N28" s="3060" t="str">
        <f ca="1">IF(ISNA(M28),"N/A",IF(M28=0,"√","？"))</f>
        <v>√</v>
      </c>
      <c r="O28" s="3087"/>
      <c r="P28" s="3088"/>
      <c r="Q28" s="3088"/>
      <c r="R28" s="3088"/>
      <c r="S28" s="3089" t="s">
        <v>295</v>
      </c>
      <c r="T28" s="3089" t="s">
        <v>213</v>
      </c>
      <c r="U28" s="3090">
        <v>1122</v>
      </c>
      <c r="V28" s="3090" t="s">
        <v>295</v>
      </c>
      <c r="W28" s="3090" t="s">
        <v>145</v>
      </c>
      <c r="X28" s="3090" t="s">
        <v>6796</v>
      </c>
      <c r="Y28" s="3091" t="s">
        <v>119</v>
      </c>
    </row>
    <row r="29" spans="1:25" ht="36" hidden="1">
      <c r="A29" s="1304"/>
      <c r="B29" s="643">
        <v>1122</v>
      </c>
      <c r="C29" s="643" t="s">
        <v>281</v>
      </c>
      <c r="D29" s="3075">
        <v>2</v>
      </c>
      <c r="E29" s="3076" t="str">
        <f t="shared" si="0"/>
        <v>应收账款</v>
      </c>
      <c r="F29" s="3077" t="s">
        <v>6422</v>
      </c>
      <c r="G29" s="3078">
        <f t="shared" si="1"/>
        <v>0</v>
      </c>
      <c r="H29" s="3079">
        <f t="shared" ca="1" si="4"/>
        <v>0</v>
      </c>
      <c r="I29" s="3081" t="s">
        <v>6799</v>
      </c>
      <c r="J29" s="3060"/>
      <c r="K29" s="3078">
        <f t="shared" si="3"/>
        <v>0</v>
      </c>
      <c r="L29" s="3059" t="s">
        <v>6795</v>
      </c>
      <c r="M29" s="3081" t="s">
        <v>6799</v>
      </c>
      <c r="N29" s="3060"/>
      <c r="O29" s="3087"/>
      <c r="P29" s="3088"/>
      <c r="Q29" s="3088"/>
      <c r="R29" s="3088"/>
      <c r="S29" s="3089" t="s">
        <v>295</v>
      </c>
      <c r="T29" s="3089" t="s">
        <v>213</v>
      </c>
      <c r="U29" s="3090"/>
      <c r="V29" s="3090" t="s">
        <v>295</v>
      </c>
      <c r="W29" s="3090" t="s">
        <v>145</v>
      </c>
      <c r="X29" s="3090" t="s">
        <v>6796</v>
      </c>
      <c r="Y29" s="3091" t="s">
        <v>119</v>
      </c>
    </row>
    <row r="30" spans="1:25" ht="36" hidden="1">
      <c r="A30" s="1304"/>
      <c r="B30" s="643">
        <v>1122</v>
      </c>
      <c r="C30" s="643" t="s">
        <v>302</v>
      </c>
      <c r="D30" s="3075">
        <v>2</v>
      </c>
      <c r="E30" s="3076" t="str">
        <f t="shared" si="0"/>
        <v>应收账款</v>
      </c>
      <c r="F30" s="3077" t="s">
        <v>6423</v>
      </c>
      <c r="G30" s="3078">
        <f t="shared" si="1"/>
        <v>0</v>
      </c>
      <c r="H30" s="3079">
        <f t="shared" ca="1" si="4"/>
        <v>0</v>
      </c>
      <c r="I30" s="3081" t="s">
        <v>6799</v>
      </c>
      <c r="J30" s="3060"/>
      <c r="K30" s="3078">
        <f t="shared" si="3"/>
        <v>0</v>
      </c>
      <c r="L30" s="3059" t="s">
        <v>6795</v>
      </c>
      <c r="M30" s="3081" t="s">
        <v>6799</v>
      </c>
      <c r="N30" s="3060"/>
      <c r="O30" s="3087"/>
      <c r="P30" s="3088"/>
      <c r="Q30" s="3088"/>
      <c r="R30" s="3088"/>
      <c r="S30" s="3089" t="s">
        <v>295</v>
      </c>
      <c r="T30" s="3089" t="s">
        <v>213</v>
      </c>
      <c r="U30" s="3090"/>
      <c r="V30" s="3090" t="s">
        <v>295</v>
      </c>
      <c r="W30" s="3090" t="s">
        <v>145</v>
      </c>
      <c r="X30" s="3090" t="s">
        <v>6796</v>
      </c>
      <c r="Y30" s="3091" t="s">
        <v>119</v>
      </c>
    </row>
    <row r="31" spans="1:25" ht="36" hidden="1">
      <c r="A31" s="1304"/>
      <c r="B31" s="643">
        <v>1122</v>
      </c>
      <c r="C31" s="643" t="s">
        <v>310</v>
      </c>
      <c r="D31" s="3075">
        <v>2</v>
      </c>
      <c r="E31" s="3076" t="str">
        <f t="shared" si="0"/>
        <v>应收账款</v>
      </c>
      <c r="F31" s="3077" t="s">
        <v>6424</v>
      </c>
      <c r="G31" s="3078">
        <f t="shared" si="1"/>
        <v>0</v>
      </c>
      <c r="H31" s="3079">
        <f t="shared" ca="1" si="4"/>
        <v>0</v>
      </c>
      <c r="I31" s="3081" t="s">
        <v>6799</v>
      </c>
      <c r="J31" s="3060"/>
      <c r="K31" s="3078">
        <f t="shared" si="3"/>
        <v>0</v>
      </c>
      <c r="L31" s="3059" t="s">
        <v>6795</v>
      </c>
      <c r="M31" s="3081" t="s">
        <v>6799</v>
      </c>
      <c r="N31" s="3060"/>
      <c r="O31" s="3087"/>
      <c r="P31" s="3088"/>
      <c r="Q31" s="3088"/>
      <c r="R31" s="3088"/>
      <c r="S31" s="3089" t="s">
        <v>295</v>
      </c>
      <c r="T31" s="3089" t="s">
        <v>213</v>
      </c>
      <c r="U31" s="3090"/>
      <c r="V31" s="3090" t="s">
        <v>295</v>
      </c>
      <c r="W31" s="3090" t="s">
        <v>145</v>
      </c>
      <c r="X31" s="3090" t="s">
        <v>6796</v>
      </c>
      <c r="Y31" s="3091" t="s">
        <v>119</v>
      </c>
    </row>
    <row r="32" spans="1:25" ht="36" hidden="1">
      <c r="A32" s="1304"/>
      <c r="B32" s="643">
        <v>1122</v>
      </c>
      <c r="C32" s="643" t="s">
        <v>316</v>
      </c>
      <c r="D32" s="3075">
        <v>2</v>
      </c>
      <c r="E32" s="3076" t="str">
        <f t="shared" si="0"/>
        <v>应收账款</v>
      </c>
      <c r="F32" s="3077" t="s">
        <v>6425</v>
      </c>
      <c r="G32" s="3078">
        <f t="shared" si="1"/>
        <v>0</v>
      </c>
      <c r="H32" s="3079">
        <f t="shared" ca="1" si="4"/>
        <v>0</v>
      </c>
      <c r="I32" s="3081" t="s">
        <v>6799</v>
      </c>
      <c r="J32" s="3060"/>
      <c r="K32" s="3078">
        <f t="shared" si="3"/>
        <v>0</v>
      </c>
      <c r="L32" s="3059" t="s">
        <v>6795</v>
      </c>
      <c r="M32" s="3081" t="s">
        <v>6799</v>
      </c>
      <c r="N32" s="3060"/>
      <c r="O32" s="3087"/>
      <c r="P32" s="3088"/>
      <c r="Q32" s="3088"/>
      <c r="R32" s="3088"/>
      <c r="S32" s="3089" t="s">
        <v>295</v>
      </c>
      <c r="T32" s="3089" t="s">
        <v>213</v>
      </c>
      <c r="U32" s="3090"/>
      <c r="V32" s="3090" t="s">
        <v>295</v>
      </c>
      <c r="W32" s="3090" t="s">
        <v>145</v>
      </c>
      <c r="X32" s="3090" t="s">
        <v>213</v>
      </c>
      <c r="Y32" s="3091" t="s">
        <v>119</v>
      </c>
    </row>
    <row r="33" spans="1:25" ht="36" hidden="1">
      <c r="A33" s="1304"/>
      <c r="B33" s="643">
        <v>1122</v>
      </c>
      <c r="C33" s="643">
        <v>112202</v>
      </c>
      <c r="D33" s="3075">
        <v>2</v>
      </c>
      <c r="E33" s="3076" t="str">
        <f t="shared" si="0"/>
        <v>应收账款</v>
      </c>
      <c r="F33" s="3077" t="s">
        <v>6426</v>
      </c>
      <c r="G33" s="3078">
        <f t="shared" si="1"/>
        <v>0</v>
      </c>
      <c r="H33" s="3079">
        <f t="shared" ca="1" si="4"/>
        <v>0</v>
      </c>
      <c r="I33" s="3081" t="s">
        <v>6799</v>
      </c>
      <c r="J33" s="3060"/>
      <c r="K33" s="3078">
        <f t="shared" si="3"/>
        <v>0</v>
      </c>
      <c r="L33" s="3059" t="s">
        <v>6795</v>
      </c>
      <c r="M33" s="3081" t="s">
        <v>6799</v>
      </c>
      <c r="N33" s="3060"/>
      <c r="O33" s="3087"/>
      <c r="P33" s="3088"/>
      <c r="Q33" s="3088"/>
      <c r="R33" s="3088"/>
      <c r="S33" s="3089" t="s">
        <v>295</v>
      </c>
      <c r="T33" s="3089" t="s">
        <v>213</v>
      </c>
      <c r="U33" s="3090"/>
      <c r="V33" s="3090" t="s">
        <v>295</v>
      </c>
      <c r="W33" s="3090" t="s">
        <v>145</v>
      </c>
      <c r="X33" s="3090" t="s">
        <v>213</v>
      </c>
      <c r="Y33" s="3091" t="s">
        <v>119</v>
      </c>
    </row>
    <row r="34" spans="1:25" ht="36" hidden="1">
      <c r="A34" s="1304"/>
      <c r="B34" s="643">
        <v>1122</v>
      </c>
      <c r="C34" s="643" t="s">
        <v>292</v>
      </c>
      <c r="D34" s="3075">
        <v>2</v>
      </c>
      <c r="E34" s="3076" t="str">
        <f t="shared" si="0"/>
        <v>应收账款</v>
      </c>
      <c r="F34" s="3077" t="s">
        <v>6427</v>
      </c>
      <c r="G34" s="3078">
        <f t="shared" si="1"/>
        <v>0</v>
      </c>
      <c r="H34" s="3079" t="s">
        <v>6795</v>
      </c>
      <c r="I34" s="3081" t="s">
        <v>6799</v>
      </c>
      <c r="J34" s="3060"/>
      <c r="K34" s="3078">
        <f t="shared" si="3"/>
        <v>0</v>
      </c>
      <c r="L34" s="3059">
        <f ca="1">INDIRECT("Notes!CheckB"&amp;$C34)</f>
        <v>0</v>
      </c>
      <c r="M34" s="3081" t="s">
        <v>6799</v>
      </c>
      <c r="N34" s="3060"/>
      <c r="O34" s="3087"/>
      <c r="P34" s="3088"/>
      <c r="Q34" s="3088"/>
      <c r="R34" s="3088"/>
      <c r="S34" s="3089" t="s">
        <v>295</v>
      </c>
      <c r="T34" s="3089" t="s">
        <v>213</v>
      </c>
      <c r="U34" s="3090"/>
      <c r="V34" s="3090" t="s">
        <v>295</v>
      </c>
      <c r="W34" s="3090" t="s">
        <v>145</v>
      </c>
      <c r="X34" s="3090" t="s">
        <v>6796</v>
      </c>
      <c r="Y34" s="3091" t="s">
        <v>119</v>
      </c>
    </row>
    <row r="35" spans="1:25" ht="48" hidden="1">
      <c r="A35" s="1304"/>
      <c r="B35" s="643">
        <v>1122</v>
      </c>
      <c r="C35" s="643" t="s">
        <v>5109</v>
      </c>
      <c r="D35" s="3075">
        <v>2</v>
      </c>
      <c r="E35" s="3076" t="str">
        <f t="shared" si="0"/>
        <v>应收账款</v>
      </c>
      <c r="F35" s="3077" t="s">
        <v>6428</v>
      </c>
      <c r="G35" s="3078">
        <f t="shared" si="1"/>
        <v>0</v>
      </c>
      <c r="H35" s="3079" t="s">
        <v>6795</v>
      </c>
      <c r="I35" s="3081" t="s">
        <v>6799</v>
      </c>
      <c r="J35" s="3060"/>
      <c r="K35" s="3078">
        <f t="shared" si="3"/>
        <v>0</v>
      </c>
      <c r="L35" s="3059">
        <f ca="1">INDIRECT("Notes!CheckB"&amp;$C35)</f>
        <v>0</v>
      </c>
      <c r="M35" s="3081" t="s">
        <v>6799</v>
      </c>
      <c r="N35" s="3060"/>
      <c r="O35" s="3087"/>
      <c r="P35" s="3088"/>
      <c r="Q35" s="3088"/>
      <c r="R35" s="3088"/>
      <c r="S35" s="3089" t="s">
        <v>295</v>
      </c>
      <c r="T35" s="3089" t="s">
        <v>213</v>
      </c>
      <c r="U35" s="3090"/>
      <c r="V35" s="3090" t="s">
        <v>295</v>
      </c>
      <c r="W35" s="3090" t="s">
        <v>145</v>
      </c>
      <c r="X35" s="3090" t="s">
        <v>6796</v>
      </c>
      <c r="Y35" s="3091" t="s">
        <v>119</v>
      </c>
    </row>
    <row r="36" spans="1:25" ht="48" hidden="1">
      <c r="A36" s="1304"/>
      <c r="B36" s="643">
        <v>1122</v>
      </c>
      <c r="C36" s="643" t="s">
        <v>5110</v>
      </c>
      <c r="D36" s="3075">
        <v>2</v>
      </c>
      <c r="E36" s="3076" t="str">
        <f t="shared" si="0"/>
        <v>应收账款</v>
      </c>
      <c r="F36" s="3077" t="s">
        <v>6429</v>
      </c>
      <c r="G36" s="3078">
        <f t="shared" si="1"/>
        <v>0</v>
      </c>
      <c r="H36" s="3079" t="s">
        <v>6795</v>
      </c>
      <c r="I36" s="3081" t="s">
        <v>6799</v>
      </c>
      <c r="J36" s="3060"/>
      <c r="K36" s="3078">
        <f t="shared" si="3"/>
        <v>0</v>
      </c>
      <c r="L36" s="3059">
        <f ca="1">INDIRECT("Notes!CheckB"&amp;$C36)</f>
        <v>0</v>
      </c>
      <c r="M36" s="3081" t="s">
        <v>6799</v>
      </c>
      <c r="N36" s="3060"/>
      <c r="O36" s="3087"/>
      <c r="P36" s="3088"/>
      <c r="Q36" s="3088"/>
      <c r="R36" s="3088"/>
      <c r="S36" s="3089" t="s">
        <v>295</v>
      </c>
      <c r="T36" s="3089" t="s">
        <v>213</v>
      </c>
      <c r="U36" s="3090"/>
      <c r="V36" s="3090" t="s">
        <v>295</v>
      </c>
      <c r="W36" s="3090" t="s">
        <v>145</v>
      </c>
      <c r="X36" s="3090" t="s">
        <v>6796</v>
      </c>
      <c r="Y36" s="3091" t="s">
        <v>119</v>
      </c>
    </row>
    <row r="37" spans="1:25" ht="24" hidden="1">
      <c r="A37" s="1304"/>
      <c r="B37" s="643">
        <v>1122</v>
      </c>
      <c r="C37" s="643" t="s">
        <v>335</v>
      </c>
      <c r="D37" s="3075">
        <v>2</v>
      </c>
      <c r="E37" s="3076" t="str">
        <f t="shared" si="0"/>
        <v>应收账款</v>
      </c>
      <c r="F37" s="3077" t="s">
        <v>336</v>
      </c>
      <c r="G37" s="3078">
        <f t="shared" si="1"/>
        <v>0</v>
      </c>
      <c r="H37" s="3079">
        <f t="shared" ref="H37:H68" ca="1" si="5">INDIRECT("Notes!CheckA"&amp;$C37)</f>
        <v>0</v>
      </c>
      <c r="I37" s="3081" t="s">
        <v>6799</v>
      </c>
      <c r="J37" s="3060"/>
      <c r="K37" s="3078">
        <f t="shared" si="3"/>
        <v>0</v>
      </c>
      <c r="L37" s="3059">
        <f ca="1">INDIRECT("Notes!CheckB"&amp;$C37)</f>
        <v>0</v>
      </c>
      <c r="M37" s="3081" t="s">
        <v>6799</v>
      </c>
      <c r="N37" s="3060"/>
      <c r="O37" s="3087"/>
      <c r="P37" s="3088"/>
      <c r="Q37" s="3088"/>
      <c r="R37" s="3088"/>
      <c r="S37" s="3089" t="s">
        <v>295</v>
      </c>
      <c r="T37" s="3089" t="s">
        <v>213</v>
      </c>
      <c r="U37" s="3090"/>
      <c r="V37" s="3090" t="s">
        <v>295</v>
      </c>
      <c r="W37" s="3090" t="s">
        <v>145</v>
      </c>
      <c r="X37" s="3090" t="s">
        <v>6796</v>
      </c>
      <c r="Y37" s="3091" t="s">
        <v>119</v>
      </c>
    </row>
    <row r="38" spans="1:25" ht="24" hidden="1">
      <c r="A38" s="1304"/>
      <c r="B38" s="643">
        <v>1122</v>
      </c>
      <c r="C38" s="643" t="s">
        <v>342</v>
      </c>
      <c r="D38" s="3075">
        <v>2</v>
      </c>
      <c r="E38" s="3076" t="str">
        <f t="shared" si="0"/>
        <v>应收账款</v>
      </c>
      <c r="F38" s="3077" t="s">
        <v>343</v>
      </c>
      <c r="G38" s="3078">
        <f t="shared" si="1"/>
        <v>0</v>
      </c>
      <c r="H38" s="3079">
        <f t="shared" ca="1" si="5"/>
        <v>0</v>
      </c>
      <c r="I38" s="3081" t="s">
        <v>6799</v>
      </c>
      <c r="J38" s="3060"/>
      <c r="K38" s="3078">
        <f t="shared" si="3"/>
        <v>0</v>
      </c>
      <c r="L38" s="3059" t="s">
        <v>6795</v>
      </c>
      <c r="M38" s="3081" t="s">
        <v>6799</v>
      </c>
      <c r="N38" s="3060"/>
      <c r="O38" s="3087"/>
      <c r="P38" s="3088"/>
      <c r="Q38" s="3088"/>
      <c r="R38" s="3088"/>
      <c r="S38" s="3089" t="s">
        <v>295</v>
      </c>
      <c r="T38" s="3089" t="s">
        <v>213</v>
      </c>
      <c r="U38" s="3090">
        <v>1122</v>
      </c>
      <c r="V38" s="3090" t="s">
        <v>295</v>
      </c>
      <c r="W38" s="3090" t="s">
        <v>6793</v>
      </c>
      <c r="X38" s="3090" t="s">
        <v>6796</v>
      </c>
      <c r="Y38" s="3091" t="s">
        <v>164</v>
      </c>
    </row>
    <row r="39" spans="1:25" ht="24" hidden="1">
      <c r="A39" s="1304"/>
      <c r="B39" s="643">
        <v>1122</v>
      </c>
      <c r="C39" s="643" t="s">
        <v>349</v>
      </c>
      <c r="D39" s="3075">
        <v>2</v>
      </c>
      <c r="E39" s="3076" t="str">
        <f t="shared" si="0"/>
        <v>应收账款</v>
      </c>
      <c r="F39" s="3077" t="s">
        <v>350</v>
      </c>
      <c r="G39" s="3078">
        <f t="shared" si="1"/>
        <v>0</v>
      </c>
      <c r="H39" s="3079">
        <f t="shared" ca="1" si="5"/>
        <v>0</v>
      </c>
      <c r="I39" s="3081" t="s">
        <v>6799</v>
      </c>
      <c r="J39" s="3060"/>
      <c r="K39" s="3078">
        <f t="shared" si="3"/>
        <v>0</v>
      </c>
      <c r="L39" s="3059" t="s">
        <v>6795</v>
      </c>
      <c r="M39" s="3081" t="s">
        <v>6799</v>
      </c>
      <c r="N39" s="3060"/>
      <c r="O39" s="3087"/>
      <c r="P39" s="3088"/>
      <c r="Q39" s="3088"/>
      <c r="R39" s="3088"/>
      <c r="S39" s="3089" t="s">
        <v>295</v>
      </c>
      <c r="T39" s="3089" t="s">
        <v>213</v>
      </c>
      <c r="U39" s="3090">
        <v>1122</v>
      </c>
      <c r="V39" s="3090" t="s">
        <v>295</v>
      </c>
      <c r="W39" s="3090" t="s">
        <v>6793</v>
      </c>
      <c r="X39" s="3090" t="s">
        <v>6796</v>
      </c>
      <c r="Y39" s="3091" t="s">
        <v>164</v>
      </c>
    </row>
    <row r="40" spans="1:25" ht="24" hidden="1">
      <c r="A40" s="1304"/>
      <c r="B40" s="643">
        <v>1122</v>
      </c>
      <c r="C40" s="643" t="s">
        <v>357</v>
      </c>
      <c r="D40" s="3075">
        <v>2</v>
      </c>
      <c r="E40" s="3076" t="str">
        <f t="shared" si="0"/>
        <v>应收账款</v>
      </c>
      <c r="F40" s="3077" t="s">
        <v>358</v>
      </c>
      <c r="G40" s="3078">
        <f t="shared" si="1"/>
        <v>0</v>
      </c>
      <c r="H40" s="3079">
        <f t="shared" ca="1" si="5"/>
        <v>0</v>
      </c>
      <c r="I40" s="3081" t="s">
        <v>6799</v>
      </c>
      <c r="J40" s="3060"/>
      <c r="K40" s="3078">
        <f t="shared" si="3"/>
        <v>0</v>
      </c>
      <c r="L40" s="3059" t="s">
        <v>6795</v>
      </c>
      <c r="M40" s="3081" t="s">
        <v>6799</v>
      </c>
      <c r="N40" s="3060"/>
      <c r="O40" s="3087"/>
      <c r="P40" s="3088"/>
      <c r="Q40" s="3088"/>
      <c r="R40" s="3088"/>
      <c r="S40" s="3089" t="s">
        <v>295</v>
      </c>
      <c r="T40" s="3089" t="s">
        <v>213</v>
      </c>
      <c r="U40" s="3090"/>
      <c r="V40" s="3090" t="s">
        <v>295</v>
      </c>
      <c r="W40" s="3090" t="s">
        <v>6793</v>
      </c>
      <c r="X40" s="3090" t="s">
        <v>6796</v>
      </c>
      <c r="Y40" s="3091" t="s">
        <v>164</v>
      </c>
    </row>
    <row r="41" spans="1:25" ht="36" hidden="1">
      <c r="A41" s="1304"/>
      <c r="B41" s="643">
        <v>1122</v>
      </c>
      <c r="C41" s="643" t="s">
        <v>365</v>
      </c>
      <c r="D41" s="3075">
        <v>2</v>
      </c>
      <c r="E41" s="3076" t="str">
        <f t="shared" si="0"/>
        <v>应收账款</v>
      </c>
      <c r="F41" s="3077" t="s">
        <v>366</v>
      </c>
      <c r="G41" s="3078">
        <f t="shared" si="1"/>
        <v>0</v>
      </c>
      <c r="H41" s="3079">
        <f t="shared" ca="1" si="5"/>
        <v>0</v>
      </c>
      <c r="I41" s="3081" t="s">
        <v>6799</v>
      </c>
      <c r="J41" s="3060"/>
      <c r="K41" s="3078">
        <f t="shared" ref="K41:K72" si="6">IF(ISERROR(VLOOKUP($B41,Sheet_Trialbal,10,0)),"        ----",VLOOKUP($B41,Sheet_Trialbal,10,0))</f>
        <v>0</v>
      </c>
      <c r="L41" s="3059" t="s">
        <v>6795</v>
      </c>
      <c r="M41" s="3081" t="s">
        <v>6799</v>
      </c>
      <c r="N41" s="3060"/>
      <c r="O41" s="3087"/>
      <c r="P41" s="3088"/>
      <c r="Q41" s="3088"/>
      <c r="R41" s="3088"/>
      <c r="S41" s="3089" t="s">
        <v>295</v>
      </c>
      <c r="T41" s="3089" t="s">
        <v>213</v>
      </c>
      <c r="U41" s="3090">
        <v>1122</v>
      </c>
      <c r="V41" s="3090" t="s">
        <v>295</v>
      </c>
      <c r="W41" s="3090" t="s">
        <v>6793</v>
      </c>
      <c r="X41" s="3090" t="s">
        <v>6796</v>
      </c>
      <c r="Y41" s="3091" t="s">
        <v>164</v>
      </c>
    </row>
    <row r="42" spans="1:25" ht="24" hidden="1">
      <c r="A42" s="1304"/>
      <c r="B42" s="643">
        <v>1122</v>
      </c>
      <c r="C42" s="643" t="s">
        <v>372</v>
      </c>
      <c r="D42" s="3075">
        <v>2</v>
      </c>
      <c r="E42" s="3076" t="str">
        <f t="shared" si="0"/>
        <v>应收账款</v>
      </c>
      <c r="F42" s="3077" t="s">
        <v>373</v>
      </c>
      <c r="G42" s="3078">
        <f t="shared" si="1"/>
        <v>0</v>
      </c>
      <c r="H42" s="3079">
        <f t="shared" ca="1" si="5"/>
        <v>0</v>
      </c>
      <c r="I42" s="3081" t="s">
        <v>6799</v>
      </c>
      <c r="J42" s="3060"/>
      <c r="K42" s="3078">
        <f t="shared" si="6"/>
        <v>0</v>
      </c>
      <c r="L42" s="3059" t="s">
        <v>6795</v>
      </c>
      <c r="M42" s="3081" t="s">
        <v>6799</v>
      </c>
      <c r="N42" s="3060"/>
      <c r="O42" s="3087"/>
      <c r="P42" s="3088"/>
      <c r="Q42" s="3088"/>
      <c r="R42" s="3088"/>
      <c r="S42" s="3089" t="s">
        <v>295</v>
      </c>
      <c r="T42" s="3089" t="s">
        <v>213</v>
      </c>
      <c r="U42" s="3090">
        <v>1122</v>
      </c>
      <c r="V42" s="3090" t="s">
        <v>295</v>
      </c>
      <c r="W42" s="3090" t="s">
        <v>6793</v>
      </c>
      <c r="X42" s="3090" t="s">
        <v>6796</v>
      </c>
      <c r="Y42" s="3091" t="s">
        <v>164</v>
      </c>
    </row>
    <row r="43" spans="1:25" ht="36" hidden="1">
      <c r="A43" s="1304"/>
      <c r="B43" s="643">
        <v>1122</v>
      </c>
      <c r="C43" s="643" t="s">
        <v>379</v>
      </c>
      <c r="D43" s="3075">
        <v>2</v>
      </c>
      <c r="E43" s="3076" t="str">
        <f t="shared" si="0"/>
        <v>应收账款</v>
      </c>
      <c r="F43" s="3077" t="s">
        <v>380</v>
      </c>
      <c r="G43" s="3078">
        <f t="shared" si="1"/>
        <v>0</v>
      </c>
      <c r="H43" s="3079">
        <f t="shared" ca="1" si="5"/>
        <v>0</v>
      </c>
      <c r="I43" s="3081" t="s">
        <v>6799</v>
      </c>
      <c r="J43" s="3060"/>
      <c r="K43" s="3078">
        <f t="shared" si="6"/>
        <v>0</v>
      </c>
      <c r="L43" s="3059" t="s">
        <v>6795</v>
      </c>
      <c r="M43" s="3081" t="s">
        <v>6799</v>
      </c>
      <c r="N43" s="3060"/>
      <c r="O43" s="3087"/>
      <c r="P43" s="3088"/>
      <c r="Q43" s="3088"/>
      <c r="R43" s="3088"/>
      <c r="S43" s="3089" t="s">
        <v>295</v>
      </c>
      <c r="T43" s="3089" t="s">
        <v>213</v>
      </c>
      <c r="U43" s="3090">
        <v>1122</v>
      </c>
      <c r="V43" s="3090" t="s">
        <v>295</v>
      </c>
      <c r="W43" s="3090" t="s">
        <v>6793</v>
      </c>
      <c r="X43" s="3090" t="s">
        <v>6796</v>
      </c>
      <c r="Y43" s="3091" t="s">
        <v>164</v>
      </c>
    </row>
    <row r="44" spans="1:25" ht="18" hidden="1">
      <c r="A44" s="1304"/>
      <c r="B44" s="643">
        <v>1122</v>
      </c>
      <c r="C44" s="643" t="s">
        <v>419</v>
      </c>
      <c r="D44" s="3075">
        <v>2</v>
      </c>
      <c r="E44" s="3076" t="str">
        <f t="shared" si="0"/>
        <v>应收账款</v>
      </c>
      <c r="F44" s="3077" t="s">
        <v>420</v>
      </c>
      <c r="G44" s="3078">
        <f t="shared" si="1"/>
        <v>0</v>
      </c>
      <c r="H44" s="3079">
        <f t="shared" ca="1" si="5"/>
        <v>0</v>
      </c>
      <c r="I44" s="3081" t="s">
        <v>6799</v>
      </c>
      <c r="J44" s="3060"/>
      <c r="K44" s="3078">
        <f t="shared" si="6"/>
        <v>0</v>
      </c>
      <c r="L44" s="3059" t="s">
        <v>6795</v>
      </c>
      <c r="M44" s="3081" t="s">
        <v>6799</v>
      </c>
      <c r="N44" s="3060"/>
      <c r="O44" s="3087"/>
      <c r="P44" s="3088"/>
      <c r="Q44" s="3088"/>
      <c r="R44" s="3088"/>
      <c r="S44" s="3089" t="s">
        <v>295</v>
      </c>
      <c r="T44" s="3089" t="s">
        <v>213</v>
      </c>
      <c r="U44" s="3090">
        <v>1122</v>
      </c>
      <c r="V44" s="3090" t="s">
        <v>295</v>
      </c>
      <c r="W44" s="3090" t="s">
        <v>6793</v>
      </c>
      <c r="X44" s="3090" t="s">
        <v>213</v>
      </c>
      <c r="Y44" s="3091" t="s">
        <v>164</v>
      </c>
    </row>
    <row r="45" spans="1:25" ht="24" hidden="1">
      <c r="A45" s="1304"/>
      <c r="B45" s="643">
        <v>1122</v>
      </c>
      <c r="C45" s="643" t="s">
        <v>425</v>
      </c>
      <c r="D45" s="3075">
        <v>2</v>
      </c>
      <c r="E45" s="3076" t="str">
        <f t="shared" si="0"/>
        <v>应收账款</v>
      </c>
      <c r="F45" s="3077" t="s">
        <v>426</v>
      </c>
      <c r="G45" s="3078">
        <f t="shared" si="1"/>
        <v>0</v>
      </c>
      <c r="H45" s="3079">
        <f t="shared" ca="1" si="5"/>
        <v>0</v>
      </c>
      <c r="I45" s="3081" t="s">
        <v>6799</v>
      </c>
      <c r="J45" s="3060"/>
      <c r="K45" s="3078">
        <f t="shared" si="6"/>
        <v>0</v>
      </c>
      <c r="L45" s="3059">
        <f ca="1">INDIRECT("Notes!CheckB"&amp;$C45)</f>
        <v>0</v>
      </c>
      <c r="M45" s="3081" t="s">
        <v>6799</v>
      </c>
      <c r="N45" s="3060"/>
      <c r="O45" s="3087"/>
      <c r="P45" s="3088"/>
      <c r="Q45" s="3088"/>
      <c r="R45" s="3088"/>
      <c r="S45" s="3089" t="s">
        <v>295</v>
      </c>
      <c r="T45" s="3089" t="s">
        <v>213</v>
      </c>
      <c r="U45" s="3090">
        <v>1122</v>
      </c>
      <c r="V45" s="3090" t="s">
        <v>295</v>
      </c>
      <c r="W45" s="3090" t="s">
        <v>6793</v>
      </c>
      <c r="X45" s="3090" t="s">
        <v>213</v>
      </c>
      <c r="Y45" s="3091" t="s">
        <v>164</v>
      </c>
    </row>
    <row r="46" spans="1:25" ht="18" hidden="1">
      <c r="A46" s="1304"/>
      <c r="B46" s="643">
        <v>1122</v>
      </c>
      <c r="C46" s="643" t="s">
        <v>432</v>
      </c>
      <c r="D46" s="3075">
        <v>2</v>
      </c>
      <c r="E46" s="3076" t="str">
        <f t="shared" si="0"/>
        <v>应收账款</v>
      </c>
      <c r="F46" s="3077" t="s">
        <v>433</v>
      </c>
      <c r="G46" s="3078">
        <f t="shared" si="1"/>
        <v>0</v>
      </c>
      <c r="H46" s="3079">
        <f t="shared" ca="1" si="5"/>
        <v>0</v>
      </c>
      <c r="I46" s="3081" t="s">
        <v>6799</v>
      </c>
      <c r="J46" s="3060"/>
      <c r="K46" s="3078">
        <f t="shared" si="6"/>
        <v>0</v>
      </c>
      <c r="L46" s="3059">
        <f ca="1">INDIRECT("Notes!CheckB"&amp;$C46)</f>
        <v>0</v>
      </c>
      <c r="M46" s="3081" t="s">
        <v>6799</v>
      </c>
      <c r="N46" s="3060"/>
      <c r="O46" s="3087"/>
      <c r="P46" s="3088"/>
      <c r="Q46" s="3088"/>
      <c r="R46" s="3088"/>
      <c r="S46" s="3089" t="s">
        <v>295</v>
      </c>
      <c r="T46" s="3089" t="s">
        <v>213</v>
      </c>
      <c r="U46" s="3090">
        <v>1122</v>
      </c>
      <c r="V46" s="3090" t="s">
        <v>295</v>
      </c>
      <c r="W46" s="3090" t="s">
        <v>6793</v>
      </c>
      <c r="X46" s="3090" t="s">
        <v>213</v>
      </c>
      <c r="Y46" s="3091" t="s">
        <v>164</v>
      </c>
    </row>
    <row r="47" spans="1:25" ht="18">
      <c r="A47" s="1304"/>
      <c r="B47" s="643">
        <v>1124</v>
      </c>
      <c r="C47" s="643" t="s">
        <v>446</v>
      </c>
      <c r="D47" s="3075">
        <v>1</v>
      </c>
      <c r="E47" s="3076" t="str">
        <f t="shared" si="0"/>
        <v>应收款项融资</v>
      </c>
      <c r="F47" s="3077" t="s">
        <v>447</v>
      </c>
      <c r="G47" s="3078">
        <f t="shared" si="1"/>
        <v>0</v>
      </c>
      <c r="H47" s="3079">
        <f t="shared" ca="1" si="5"/>
        <v>0</v>
      </c>
      <c r="I47" s="3081">
        <f ca="1">IF(AND(LEN(G47)&gt;0,LEN(H47)&gt;0),ROUND(SUM(G47)-SUM(H47),2),"")</f>
        <v>0</v>
      </c>
      <c r="J47" s="3060" t="str">
        <f ca="1">IF(ISNA(I47),"N/A",IF(I47=0,"√","？"))</f>
        <v>√</v>
      </c>
      <c r="K47" s="3078">
        <f t="shared" si="6"/>
        <v>0</v>
      </c>
      <c r="L47" s="3059">
        <f ca="1">INDIRECT("Notes!CheckB"&amp;$C47)</f>
        <v>0</v>
      </c>
      <c r="M47" s="3081">
        <f ca="1">IF(AND(LEN(K47)&gt;0,LEN(L47)&gt;0),ROUND(SUM(K47)-SUM(L47),2),"")</f>
        <v>0</v>
      </c>
      <c r="N47" s="3060" t="str">
        <f ca="1">IF(ISNA(M47),"N/A",IF(M47=0,"√","？"))</f>
        <v>√</v>
      </c>
      <c r="O47" s="3087"/>
      <c r="P47" s="3088"/>
      <c r="Q47" s="3088"/>
      <c r="R47" s="3088"/>
      <c r="S47" s="3089" t="s">
        <v>295</v>
      </c>
      <c r="T47" s="3089" t="s">
        <v>213</v>
      </c>
      <c r="U47" s="3090">
        <v>1124</v>
      </c>
      <c r="V47" s="3090" t="s">
        <v>295</v>
      </c>
      <c r="W47" s="3090" t="s">
        <v>145</v>
      </c>
      <c r="X47" s="3090" t="s">
        <v>6796</v>
      </c>
      <c r="Y47" s="3091" t="s">
        <v>119</v>
      </c>
    </row>
    <row r="48" spans="1:25" ht="36" hidden="1">
      <c r="A48" s="1304"/>
      <c r="B48" s="643">
        <v>1124</v>
      </c>
      <c r="C48" s="643" t="s">
        <v>453</v>
      </c>
      <c r="D48" s="3075">
        <v>2</v>
      </c>
      <c r="E48" s="3076" t="str">
        <f t="shared" si="0"/>
        <v>应收款项融资</v>
      </c>
      <c r="F48" s="3077" t="s">
        <v>6375</v>
      </c>
      <c r="G48" s="3078">
        <f t="shared" si="1"/>
        <v>0</v>
      </c>
      <c r="H48" s="3079">
        <f t="shared" ca="1" si="5"/>
        <v>0</v>
      </c>
      <c r="I48" s="3081" t="s">
        <v>6799</v>
      </c>
      <c r="J48" s="3060"/>
      <c r="K48" s="3078">
        <f t="shared" si="6"/>
        <v>0</v>
      </c>
      <c r="L48" s="3059" t="s">
        <v>6795</v>
      </c>
      <c r="M48" s="3081" t="s">
        <v>6799</v>
      </c>
      <c r="N48" s="3060"/>
      <c r="O48" s="3087"/>
      <c r="P48" s="3088"/>
      <c r="Q48" s="3088"/>
      <c r="R48" s="3088"/>
      <c r="S48" s="3089" t="s">
        <v>295</v>
      </c>
      <c r="T48" s="3089" t="s">
        <v>213</v>
      </c>
      <c r="U48" s="3090">
        <v>1124</v>
      </c>
      <c r="V48" s="3090" t="s">
        <v>295</v>
      </c>
      <c r="W48" s="3090" t="s">
        <v>145</v>
      </c>
      <c r="X48" s="3090" t="s">
        <v>6796</v>
      </c>
      <c r="Y48" s="3091" t="s">
        <v>119</v>
      </c>
    </row>
    <row r="49" spans="1:25" ht="36" hidden="1">
      <c r="A49" s="1304"/>
      <c r="B49" s="643">
        <v>1124</v>
      </c>
      <c r="C49" s="643" t="s">
        <v>456</v>
      </c>
      <c r="D49" s="3075">
        <v>2</v>
      </c>
      <c r="E49" s="3076" t="str">
        <f t="shared" si="0"/>
        <v>应收款项融资</v>
      </c>
      <c r="F49" s="3077" t="s">
        <v>6376</v>
      </c>
      <c r="G49" s="3078">
        <f t="shared" si="1"/>
        <v>0</v>
      </c>
      <c r="H49" s="3079">
        <f t="shared" ca="1" si="5"/>
        <v>0</v>
      </c>
      <c r="I49" s="3081" t="s">
        <v>6799</v>
      </c>
      <c r="J49" s="3060"/>
      <c r="K49" s="3078">
        <f t="shared" si="6"/>
        <v>0</v>
      </c>
      <c r="L49" s="3059" t="s">
        <v>6795</v>
      </c>
      <c r="M49" s="3081" t="s">
        <v>6799</v>
      </c>
      <c r="N49" s="3060"/>
      <c r="O49" s="3087"/>
      <c r="P49" s="3088"/>
      <c r="Q49" s="3088"/>
      <c r="R49" s="3088"/>
      <c r="S49" s="3089" t="s">
        <v>295</v>
      </c>
      <c r="T49" s="3089" t="s">
        <v>213</v>
      </c>
      <c r="U49" s="3090"/>
      <c r="V49" s="3090" t="s">
        <v>295</v>
      </c>
      <c r="W49" s="3090" t="s">
        <v>145</v>
      </c>
      <c r="X49" s="3090" t="s">
        <v>6796</v>
      </c>
      <c r="Y49" s="3091" t="s">
        <v>119</v>
      </c>
    </row>
    <row r="50" spans="1:25" ht="36" hidden="1">
      <c r="A50" s="1304"/>
      <c r="B50" s="643">
        <v>1124</v>
      </c>
      <c r="C50" s="643" t="s">
        <v>461</v>
      </c>
      <c r="D50" s="3075">
        <v>2</v>
      </c>
      <c r="E50" s="3076" t="str">
        <f t="shared" si="0"/>
        <v>应收款项融资</v>
      </c>
      <c r="F50" s="3077" t="s">
        <v>6377</v>
      </c>
      <c r="G50" s="3078">
        <f t="shared" si="1"/>
        <v>0</v>
      </c>
      <c r="H50" s="3079">
        <f t="shared" ca="1" si="5"/>
        <v>0</v>
      </c>
      <c r="I50" s="3081" t="s">
        <v>6799</v>
      </c>
      <c r="J50" s="3060"/>
      <c r="K50" s="3078">
        <f t="shared" si="6"/>
        <v>0</v>
      </c>
      <c r="L50" s="3059" t="s">
        <v>6795</v>
      </c>
      <c r="M50" s="3081" t="s">
        <v>6799</v>
      </c>
      <c r="N50" s="3060"/>
      <c r="O50" s="3087"/>
      <c r="P50" s="3088"/>
      <c r="Q50" s="3088"/>
      <c r="R50" s="3088"/>
      <c r="S50" s="3089" t="s">
        <v>295</v>
      </c>
      <c r="T50" s="3089" t="s">
        <v>213</v>
      </c>
      <c r="U50" s="3090"/>
      <c r="V50" s="3090" t="s">
        <v>295</v>
      </c>
      <c r="W50" s="3090" t="s">
        <v>145</v>
      </c>
      <c r="X50" s="3090" t="s">
        <v>6796</v>
      </c>
      <c r="Y50" s="3091" t="s">
        <v>119</v>
      </c>
    </row>
    <row r="51" spans="1:25" ht="36" hidden="1">
      <c r="A51" s="1304"/>
      <c r="B51" s="643">
        <v>1124</v>
      </c>
      <c r="C51" s="643" t="s">
        <v>466</v>
      </c>
      <c r="D51" s="3075">
        <v>2</v>
      </c>
      <c r="E51" s="3076" t="str">
        <f t="shared" si="0"/>
        <v>应收款项融资</v>
      </c>
      <c r="F51" s="3077" t="s">
        <v>6378</v>
      </c>
      <c r="G51" s="3078">
        <f t="shared" si="1"/>
        <v>0</v>
      </c>
      <c r="H51" s="3079">
        <f t="shared" ca="1" si="5"/>
        <v>0</v>
      </c>
      <c r="I51" s="3081" t="s">
        <v>6799</v>
      </c>
      <c r="J51" s="3060"/>
      <c r="K51" s="3078">
        <f t="shared" si="6"/>
        <v>0</v>
      </c>
      <c r="L51" s="3059">
        <f ca="1">INDIRECT("Notes!CheckB"&amp;$C51)</f>
        <v>0</v>
      </c>
      <c r="M51" s="3081" t="s">
        <v>6799</v>
      </c>
      <c r="N51" s="3060"/>
      <c r="O51" s="3087"/>
      <c r="P51" s="3088"/>
      <c r="Q51" s="3088"/>
      <c r="R51" s="3088"/>
      <c r="S51" s="3089" t="s">
        <v>295</v>
      </c>
      <c r="T51" s="3089" t="s">
        <v>213</v>
      </c>
      <c r="U51" s="3090"/>
      <c r="V51" s="3090" t="s">
        <v>295</v>
      </c>
      <c r="W51" s="3090" t="s">
        <v>145</v>
      </c>
      <c r="X51" s="3090" t="s">
        <v>213</v>
      </c>
      <c r="Y51" s="3091" t="s">
        <v>119</v>
      </c>
    </row>
    <row r="52" spans="1:25" ht="36" hidden="1">
      <c r="A52" s="1304"/>
      <c r="B52" s="643">
        <v>1124</v>
      </c>
      <c r="C52" s="643" t="s">
        <v>6371</v>
      </c>
      <c r="D52" s="3075">
        <v>2</v>
      </c>
      <c r="E52" s="3076" t="str">
        <f t="shared" si="0"/>
        <v>应收款项融资</v>
      </c>
      <c r="F52" s="3077" t="s">
        <v>6379</v>
      </c>
      <c r="G52" s="3078">
        <f t="shared" si="1"/>
        <v>0</v>
      </c>
      <c r="H52" s="3079">
        <f t="shared" ca="1" si="5"/>
        <v>0</v>
      </c>
      <c r="I52" s="3081" t="s">
        <v>6799</v>
      </c>
      <c r="J52" s="3060"/>
      <c r="K52" s="3078">
        <f t="shared" si="6"/>
        <v>0</v>
      </c>
      <c r="L52" s="3059" t="s">
        <v>6795</v>
      </c>
      <c r="M52" s="3081" t="s">
        <v>6799</v>
      </c>
      <c r="N52" s="3060"/>
      <c r="O52" s="3087"/>
      <c r="P52" s="3088"/>
      <c r="Q52" s="3088"/>
      <c r="R52" s="3088"/>
      <c r="S52" s="3089" t="s">
        <v>295</v>
      </c>
      <c r="T52" s="3089" t="s">
        <v>213</v>
      </c>
      <c r="U52" s="3090">
        <v>1124</v>
      </c>
      <c r="V52" s="3090" t="s">
        <v>295</v>
      </c>
      <c r="W52" s="3090" t="s">
        <v>145</v>
      </c>
      <c r="X52" s="3090" t="s">
        <v>6796</v>
      </c>
      <c r="Y52" s="3091" t="s">
        <v>119</v>
      </c>
    </row>
    <row r="53" spans="1:25" ht="36" hidden="1">
      <c r="A53" s="1304"/>
      <c r="B53" s="643">
        <v>1124</v>
      </c>
      <c r="C53" s="643" t="s">
        <v>6372</v>
      </c>
      <c r="D53" s="3075">
        <v>2</v>
      </c>
      <c r="E53" s="3076" t="str">
        <f t="shared" si="0"/>
        <v>应收款项融资</v>
      </c>
      <c r="F53" s="3077" t="s">
        <v>6380</v>
      </c>
      <c r="G53" s="3078">
        <f t="shared" si="1"/>
        <v>0</v>
      </c>
      <c r="H53" s="3079">
        <f t="shared" ca="1" si="5"/>
        <v>0</v>
      </c>
      <c r="I53" s="3081" t="s">
        <v>6799</v>
      </c>
      <c r="J53" s="3060"/>
      <c r="K53" s="3078">
        <f t="shared" si="6"/>
        <v>0</v>
      </c>
      <c r="L53" s="3059" t="s">
        <v>6795</v>
      </c>
      <c r="M53" s="3081" t="s">
        <v>6799</v>
      </c>
      <c r="N53" s="3060"/>
      <c r="O53" s="3087"/>
      <c r="P53" s="3088"/>
      <c r="Q53" s="3088"/>
      <c r="R53" s="3088"/>
      <c r="S53" s="3089" t="s">
        <v>295</v>
      </c>
      <c r="T53" s="3089" t="s">
        <v>213</v>
      </c>
      <c r="U53" s="3090"/>
      <c r="V53" s="3090" t="s">
        <v>295</v>
      </c>
      <c r="W53" s="3090" t="s">
        <v>145</v>
      </c>
      <c r="X53" s="3090" t="s">
        <v>6796</v>
      </c>
      <c r="Y53" s="3091" t="s">
        <v>119</v>
      </c>
    </row>
    <row r="54" spans="1:25" ht="36" hidden="1">
      <c r="A54" s="1304"/>
      <c r="B54" s="643">
        <v>1124</v>
      </c>
      <c r="C54" s="643" t="s">
        <v>6373</v>
      </c>
      <c r="D54" s="3075">
        <v>2</v>
      </c>
      <c r="E54" s="3076" t="str">
        <f t="shared" si="0"/>
        <v>应收款项融资</v>
      </c>
      <c r="F54" s="3077" t="s">
        <v>6381</v>
      </c>
      <c r="G54" s="3078">
        <f t="shared" si="1"/>
        <v>0</v>
      </c>
      <c r="H54" s="3079">
        <f t="shared" ca="1" si="5"/>
        <v>0</v>
      </c>
      <c r="I54" s="3081" t="s">
        <v>6799</v>
      </c>
      <c r="J54" s="3060"/>
      <c r="K54" s="3078">
        <f t="shared" si="6"/>
        <v>0</v>
      </c>
      <c r="L54" s="3059" t="s">
        <v>6795</v>
      </c>
      <c r="M54" s="3081" t="s">
        <v>6799</v>
      </c>
      <c r="N54" s="3060"/>
      <c r="O54" s="3087"/>
      <c r="P54" s="3088"/>
      <c r="Q54" s="3088"/>
      <c r="R54" s="3088"/>
      <c r="S54" s="3089" t="s">
        <v>295</v>
      </c>
      <c r="T54" s="3089" t="s">
        <v>213</v>
      </c>
      <c r="U54" s="3090"/>
      <c r="V54" s="3090" t="s">
        <v>295</v>
      </c>
      <c r="W54" s="3090" t="s">
        <v>145</v>
      </c>
      <c r="X54" s="3090" t="s">
        <v>6796</v>
      </c>
      <c r="Y54" s="3091" t="s">
        <v>119</v>
      </c>
    </row>
    <row r="55" spans="1:25" ht="36" hidden="1">
      <c r="A55" s="1304"/>
      <c r="B55" s="643">
        <v>1124</v>
      </c>
      <c r="C55" s="643" t="s">
        <v>6374</v>
      </c>
      <c r="D55" s="3075">
        <v>2</v>
      </c>
      <c r="E55" s="3076" t="str">
        <f t="shared" si="0"/>
        <v>应收款项融资</v>
      </c>
      <c r="F55" s="3077" t="s">
        <v>6382</v>
      </c>
      <c r="G55" s="3078">
        <f t="shared" si="1"/>
        <v>0</v>
      </c>
      <c r="H55" s="3079">
        <f t="shared" ca="1" si="5"/>
        <v>0</v>
      </c>
      <c r="I55" s="3081" t="s">
        <v>6799</v>
      </c>
      <c r="J55" s="3060"/>
      <c r="K55" s="3078">
        <f t="shared" si="6"/>
        <v>0</v>
      </c>
      <c r="L55" s="3059" t="s">
        <v>6795</v>
      </c>
      <c r="M55" s="3081" t="s">
        <v>6799</v>
      </c>
      <c r="N55" s="3060"/>
      <c r="O55" s="3087"/>
      <c r="P55" s="3088"/>
      <c r="Q55" s="3088"/>
      <c r="R55" s="3088"/>
      <c r="S55" s="3089" t="s">
        <v>295</v>
      </c>
      <c r="T55" s="3089" t="s">
        <v>213</v>
      </c>
      <c r="U55" s="3090"/>
      <c r="V55" s="3090" t="s">
        <v>295</v>
      </c>
      <c r="W55" s="3090" t="s">
        <v>145</v>
      </c>
      <c r="X55" s="3090" t="s">
        <v>213</v>
      </c>
      <c r="Y55" s="3091" t="s">
        <v>119</v>
      </c>
    </row>
    <row r="56" spans="1:25" ht="24" hidden="1">
      <c r="A56" s="1304"/>
      <c r="B56" s="643">
        <v>1124</v>
      </c>
      <c r="C56" s="643" t="s">
        <v>470</v>
      </c>
      <c r="D56" s="3075">
        <v>2</v>
      </c>
      <c r="E56" s="3076" t="str">
        <f t="shared" si="0"/>
        <v>应收款项融资</v>
      </c>
      <c r="F56" s="3077" t="s">
        <v>6383</v>
      </c>
      <c r="G56" s="3078">
        <f t="shared" si="1"/>
        <v>0</v>
      </c>
      <c r="H56" s="3079">
        <f t="shared" ca="1" si="5"/>
        <v>0</v>
      </c>
      <c r="I56" s="3081" t="s">
        <v>6799</v>
      </c>
      <c r="J56" s="3060"/>
      <c r="K56" s="3078">
        <f t="shared" si="6"/>
        <v>0</v>
      </c>
      <c r="L56" s="3059">
        <f ca="1">INDIRECT("Notes!CheckB"&amp;$C56)</f>
        <v>0</v>
      </c>
      <c r="M56" s="3081" t="s">
        <v>6799</v>
      </c>
      <c r="N56" s="3060"/>
      <c r="O56" s="3087"/>
      <c r="P56" s="3088"/>
      <c r="Q56" s="3088"/>
      <c r="R56" s="3088"/>
      <c r="S56" s="3089" t="s">
        <v>295</v>
      </c>
      <c r="T56" s="3089" t="s">
        <v>213</v>
      </c>
      <c r="U56" s="3090"/>
      <c r="V56" s="3090" t="s">
        <v>295</v>
      </c>
      <c r="W56" s="3090" t="s">
        <v>145</v>
      </c>
      <c r="X56" s="3090" t="s">
        <v>6796</v>
      </c>
      <c r="Y56" s="3091" t="s">
        <v>119</v>
      </c>
    </row>
    <row r="57" spans="1:25" ht="18">
      <c r="A57" s="1304"/>
      <c r="B57" s="643">
        <v>1125</v>
      </c>
      <c r="C57" s="643" t="s">
        <v>473</v>
      </c>
      <c r="D57" s="3075">
        <v>1</v>
      </c>
      <c r="E57" s="3076" t="str">
        <f t="shared" si="0"/>
        <v>预付款项</v>
      </c>
      <c r="F57" s="3077" t="s">
        <v>474</v>
      </c>
      <c r="G57" s="3078">
        <f t="shared" si="1"/>
        <v>0</v>
      </c>
      <c r="H57" s="3079">
        <f t="shared" ca="1" si="5"/>
        <v>0</v>
      </c>
      <c r="I57" s="3081">
        <f ca="1">IF(AND(LEN(G57)&gt;0,LEN(H57)&gt;0),ROUND(SUM(G57)-SUM(H57),2),"")</f>
        <v>0</v>
      </c>
      <c r="J57" s="3060" t="str">
        <f ca="1">IF(ISNA(I57),"N/A",IF(I57=0,"√","？"))</f>
        <v>√</v>
      </c>
      <c r="K57" s="3078">
        <f t="shared" si="6"/>
        <v>496233.65</v>
      </c>
      <c r="L57" s="3059">
        <f ca="1">INDIRECT("Notes!CheckB"&amp;$C57)</f>
        <v>0</v>
      </c>
      <c r="M57" s="3081">
        <f ca="1">IF(AND(LEN(K57)&gt;0,LEN(L57)&gt;0),ROUND(SUM(K57)-SUM(L57),2),"")</f>
        <v>496233.65</v>
      </c>
      <c r="N57" s="3060" t="str">
        <f ca="1">IF(ISNA(M57),"N/A",IF(M57=0,"√","？"))</f>
        <v>？</v>
      </c>
      <c r="O57" s="3087"/>
      <c r="P57" s="3088"/>
      <c r="Q57" s="3088"/>
      <c r="R57" s="3088"/>
      <c r="S57" s="3089" t="s">
        <v>295</v>
      </c>
      <c r="T57" s="3089" t="s">
        <v>213</v>
      </c>
      <c r="U57" s="3090"/>
      <c r="V57" s="3090" t="s">
        <v>295</v>
      </c>
      <c r="W57" s="3090" t="s">
        <v>6793</v>
      </c>
      <c r="X57" s="3090" t="s">
        <v>6794</v>
      </c>
      <c r="Y57" s="3091" t="s">
        <v>164</v>
      </c>
    </row>
    <row r="58" spans="1:25" ht="36" hidden="1">
      <c r="A58" s="1304"/>
      <c r="B58" s="643">
        <v>1125</v>
      </c>
      <c r="C58" s="643" t="s">
        <v>478</v>
      </c>
      <c r="D58" s="3075">
        <v>2</v>
      </c>
      <c r="E58" s="3076" t="str">
        <f t="shared" si="0"/>
        <v>预付款项</v>
      </c>
      <c r="F58" s="3077" t="s">
        <v>479</v>
      </c>
      <c r="G58" s="3078">
        <f t="shared" si="1"/>
        <v>0</v>
      </c>
      <c r="H58" s="3079">
        <f t="shared" ca="1" si="5"/>
        <v>0</v>
      </c>
      <c r="I58" s="3081" t="s">
        <v>6799</v>
      </c>
      <c r="J58" s="3060"/>
      <c r="K58" s="3078">
        <f t="shared" si="6"/>
        <v>496233.65</v>
      </c>
      <c r="L58" s="3059" t="s">
        <v>6795</v>
      </c>
      <c r="M58" s="3081" t="s">
        <v>6799</v>
      </c>
      <c r="N58" s="3060"/>
      <c r="O58" s="3087"/>
      <c r="P58" s="3088"/>
      <c r="Q58" s="3088"/>
      <c r="R58" s="3088"/>
      <c r="S58" s="3089" t="s">
        <v>295</v>
      </c>
      <c r="T58" s="3089" t="s">
        <v>213</v>
      </c>
      <c r="U58" s="3090"/>
      <c r="V58" s="3090" t="s">
        <v>295</v>
      </c>
      <c r="W58" s="3090" t="s">
        <v>6793</v>
      </c>
      <c r="X58" s="3090" t="s">
        <v>6796</v>
      </c>
      <c r="Y58" s="3091" t="s">
        <v>164</v>
      </c>
    </row>
    <row r="59" spans="1:25" ht="24" hidden="1">
      <c r="A59" s="1304"/>
      <c r="B59" s="643">
        <v>1125</v>
      </c>
      <c r="C59" s="643" t="s">
        <v>482</v>
      </c>
      <c r="D59" s="3075">
        <v>2</v>
      </c>
      <c r="E59" s="3076" t="str">
        <f t="shared" si="0"/>
        <v>预付款项</v>
      </c>
      <c r="F59" s="3077" t="s">
        <v>483</v>
      </c>
      <c r="G59" s="3078">
        <f t="shared" si="1"/>
        <v>0</v>
      </c>
      <c r="H59" s="3079">
        <f t="shared" ca="1" si="5"/>
        <v>0</v>
      </c>
      <c r="I59" s="3081" t="s">
        <v>6799</v>
      </c>
      <c r="J59" s="3060"/>
      <c r="K59" s="3078">
        <f t="shared" si="6"/>
        <v>496233.65</v>
      </c>
      <c r="L59" s="3059" t="s">
        <v>6795</v>
      </c>
      <c r="M59" s="3081" t="s">
        <v>6799</v>
      </c>
      <c r="N59" s="3060"/>
      <c r="O59" s="3087"/>
      <c r="P59" s="3088"/>
      <c r="Q59" s="3088"/>
      <c r="R59" s="3088"/>
      <c r="S59" s="3089" t="s">
        <v>295</v>
      </c>
      <c r="T59" s="3089" t="s">
        <v>213</v>
      </c>
      <c r="U59" s="3090"/>
      <c r="V59" s="3090" t="s">
        <v>295</v>
      </c>
      <c r="W59" s="3090" t="s">
        <v>6793</v>
      </c>
      <c r="X59" s="3090" t="s">
        <v>213</v>
      </c>
      <c r="Y59" s="3091" t="s">
        <v>164</v>
      </c>
    </row>
    <row r="60" spans="1:25" ht="18">
      <c r="A60" s="1304"/>
      <c r="B60" s="643">
        <v>1125</v>
      </c>
      <c r="C60" s="643" t="s">
        <v>497</v>
      </c>
      <c r="D60" s="3075">
        <v>1</v>
      </c>
      <c r="E60" s="3076" t="str">
        <f t="shared" si="0"/>
        <v>预付款项</v>
      </c>
      <c r="F60" s="3077" t="s">
        <v>498</v>
      </c>
      <c r="G60" s="3078">
        <f t="shared" si="1"/>
        <v>0</v>
      </c>
      <c r="H60" s="3079">
        <f t="shared" ca="1" si="5"/>
        <v>0</v>
      </c>
      <c r="I60" s="3081">
        <f ca="1">IF(AND(LEN(G60)&gt;0,LEN(H60)&gt;0),ROUND(SUM(G60)-SUM(H60),2),"")</f>
        <v>0</v>
      </c>
      <c r="J60" s="3060" t="str">
        <f ca="1">IF(ISNA(I60),"N/A",IF(I60=0,"√","？"))</f>
        <v>√</v>
      </c>
      <c r="K60" s="3078">
        <f t="shared" si="6"/>
        <v>496233.65</v>
      </c>
      <c r="L60" s="3059">
        <f ca="1">INDIRECT("Notes!CheckB"&amp;$C60)</f>
        <v>0</v>
      </c>
      <c r="M60" s="3081">
        <f ca="1">IF(AND(LEN(K60)&gt;0,LEN(L60)&gt;0),ROUND(SUM(K60)-SUM(L60),2),"")</f>
        <v>496233.65</v>
      </c>
      <c r="N60" s="3060" t="str">
        <f ca="1">IF(ISNA(M60),"N/A",IF(M60=0,"√","？"))</f>
        <v>？</v>
      </c>
      <c r="O60" s="3087"/>
      <c r="P60" s="3088"/>
      <c r="Q60" s="3088"/>
      <c r="R60" s="3088"/>
      <c r="S60" s="3089" t="s">
        <v>295</v>
      </c>
      <c r="T60" s="3089" t="s">
        <v>213</v>
      </c>
      <c r="U60" s="3090"/>
      <c r="V60" s="3090" t="s">
        <v>295</v>
      </c>
      <c r="W60" s="3090" t="s">
        <v>6793</v>
      </c>
      <c r="X60" s="3090" t="s">
        <v>213</v>
      </c>
      <c r="Y60" s="3091" t="s">
        <v>164</v>
      </c>
    </row>
    <row r="61" spans="1:25" ht="24" hidden="1">
      <c r="A61" s="1304"/>
      <c r="B61" s="643">
        <v>1125</v>
      </c>
      <c r="C61" s="643" t="s">
        <v>492</v>
      </c>
      <c r="D61" s="3075">
        <v>2</v>
      </c>
      <c r="E61" s="3076" t="str">
        <f t="shared" si="0"/>
        <v>预付款项</v>
      </c>
      <c r="F61" s="3077" t="s">
        <v>493</v>
      </c>
      <c r="G61" s="3078">
        <f t="shared" si="1"/>
        <v>0</v>
      </c>
      <c r="H61" s="3079">
        <f t="shared" ca="1" si="5"/>
        <v>0</v>
      </c>
      <c r="I61" s="3081" t="s">
        <v>6799</v>
      </c>
      <c r="J61" s="3060"/>
      <c r="K61" s="3078">
        <f t="shared" si="6"/>
        <v>496233.65</v>
      </c>
      <c r="L61" s="3059">
        <f ca="1">INDIRECT("Notes!CheckB"&amp;$C61)</f>
        <v>0</v>
      </c>
      <c r="M61" s="3081" t="s">
        <v>6799</v>
      </c>
      <c r="N61" s="3060"/>
      <c r="O61" s="3087"/>
      <c r="P61" s="3088"/>
      <c r="Q61" s="3088"/>
      <c r="R61" s="3088"/>
      <c r="S61" s="3089" t="s">
        <v>295</v>
      </c>
      <c r="T61" s="3089" t="s">
        <v>213</v>
      </c>
      <c r="U61" s="3090"/>
      <c r="V61" s="3090" t="s">
        <v>295</v>
      </c>
      <c r="W61" s="3090" t="s">
        <v>6793</v>
      </c>
      <c r="X61" s="3090" t="s">
        <v>213</v>
      </c>
      <c r="Y61" s="3091" t="s">
        <v>164</v>
      </c>
    </row>
    <row r="62" spans="1:25" ht="18" hidden="1">
      <c r="A62" s="1304"/>
      <c r="B62" s="643">
        <v>1125</v>
      </c>
      <c r="C62" s="643" t="s">
        <v>505</v>
      </c>
      <c r="D62" s="3075">
        <v>2</v>
      </c>
      <c r="E62" s="3076" t="str">
        <f t="shared" si="0"/>
        <v>预付款项</v>
      </c>
      <c r="F62" s="3077" t="s">
        <v>506</v>
      </c>
      <c r="G62" s="3078">
        <f t="shared" si="1"/>
        <v>0</v>
      </c>
      <c r="H62" s="3079">
        <f t="shared" ca="1" si="5"/>
        <v>0</v>
      </c>
      <c r="I62" s="3081" t="s">
        <v>6799</v>
      </c>
      <c r="J62" s="3060"/>
      <c r="K62" s="3078">
        <f t="shared" si="6"/>
        <v>496233.65</v>
      </c>
      <c r="L62" s="3059">
        <f ca="1">INDIRECT("Notes!CheckB"&amp;$C62)</f>
        <v>0</v>
      </c>
      <c r="M62" s="3081" t="s">
        <v>6799</v>
      </c>
      <c r="N62" s="3060"/>
      <c r="O62" s="3087"/>
      <c r="P62" s="3088"/>
      <c r="Q62" s="3088"/>
      <c r="R62" s="3088"/>
      <c r="S62" s="3089" t="s">
        <v>295</v>
      </c>
      <c r="T62" s="3089" t="s">
        <v>213</v>
      </c>
      <c r="U62" s="3090"/>
      <c r="V62" s="3090" t="s">
        <v>295</v>
      </c>
      <c r="W62" s="3090" t="s">
        <v>6793</v>
      </c>
      <c r="X62" s="3090" t="s">
        <v>213</v>
      </c>
      <c r="Y62" s="3091" t="s">
        <v>164</v>
      </c>
    </row>
    <row r="63" spans="1:25" ht="24">
      <c r="A63" s="1304"/>
      <c r="B63" s="643">
        <v>1220</v>
      </c>
      <c r="C63" s="643" t="s">
        <v>510</v>
      </c>
      <c r="D63" s="3075">
        <v>1</v>
      </c>
      <c r="E63" s="3076" t="str">
        <f t="shared" si="0"/>
        <v>其他应收款（报表项目）</v>
      </c>
      <c r="F63" s="3077" t="s">
        <v>511</v>
      </c>
      <c r="G63" s="3078">
        <f t="shared" si="1"/>
        <v>0</v>
      </c>
      <c r="H63" s="3079">
        <f t="shared" ca="1" si="5"/>
        <v>0</v>
      </c>
      <c r="I63" s="3081">
        <f ca="1">IF(AND(LEN(G63)&gt;0,LEN(H63)&gt;0),ROUND(SUM(G63)-SUM(H63),2),"")</f>
        <v>0</v>
      </c>
      <c r="J63" s="3060" t="str">
        <f ca="1">IF(ISNA(I63),"N/A",IF(I63=0,"√","？"))</f>
        <v>√</v>
      </c>
      <c r="K63" s="3078">
        <f t="shared" si="6"/>
        <v>4191637.3</v>
      </c>
      <c r="L63" s="3059">
        <f ca="1">INDIRECT("Notes!CheckB"&amp;$C63)</f>
        <v>0</v>
      </c>
      <c r="M63" s="3081">
        <f ca="1">IF(AND(LEN(K63)&gt;0,LEN(L63)&gt;0),ROUND(SUM(K63)-SUM(L63),2),"")</f>
        <v>4191637.3</v>
      </c>
      <c r="N63" s="3060" t="str">
        <f ca="1">IF(ISNA(M63),"N/A",IF(M63=0,"√","？"))</f>
        <v>？</v>
      </c>
      <c r="O63" s="3087"/>
      <c r="P63" s="3088"/>
      <c r="Q63" s="3088"/>
      <c r="R63" s="3088"/>
      <c r="S63" s="3089" t="s">
        <v>295</v>
      </c>
      <c r="T63" s="3089" t="s">
        <v>213</v>
      </c>
      <c r="U63" s="3090">
        <v>1220</v>
      </c>
      <c r="V63" s="3090" t="s">
        <v>295</v>
      </c>
      <c r="W63" s="3090" t="s">
        <v>6793</v>
      </c>
      <c r="X63" s="3090" t="s">
        <v>6794</v>
      </c>
      <c r="Y63" s="3091" t="s">
        <v>164</v>
      </c>
    </row>
    <row r="64" spans="1:25" ht="18">
      <c r="A64" s="1304"/>
      <c r="B64" s="643">
        <v>1132</v>
      </c>
      <c r="C64" s="643" t="s">
        <v>516</v>
      </c>
      <c r="D64" s="3075">
        <v>1</v>
      </c>
      <c r="E64" s="3076" t="str">
        <f t="shared" si="0"/>
        <v>应收利息</v>
      </c>
      <c r="F64" s="3077" t="s">
        <v>517</v>
      </c>
      <c r="G64" s="3078">
        <f t="shared" si="1"/>
        <v>0</v>
      </c>
      <c r="H64" s="3079">
        <f t="shared" ca="1" si="5"/>
        <v>0</v>
      </c>
      <c r="I64" s="3081">
        <f ca="1">IF(AND(LEN(G64)&gt;0,LEN(H64)&gt;0),ROUND(SUM(G64)-SUM(H64),2),"")</f>
        <v>0</v>
      </c>
      <c r="J64" s="3060" t="str">
        <f ca="1">IF(ISNA(I64),"N/A",IF(I64=0,"√","？"))</f>
        <v>√</v>
      </c>
      <c r="K64" s="3078">
        <f t="shared" si="6"/>
        <v>0</v>
      </c>
      <c r="L64" s="3059">
        <f ca="1">INDIRECT("Notes!CheckB"&amp;$C64)</f>
        <v>0</v>
      </c>
      <c r="M64" s="3081">
        <f ca="1">IF(AND(LEN(K64)&gt;0,LEN(L64)&gt;0),ROUND(SUM(K64)-SUM(L64),2),"")</f>
        <v>0</v>
      </c>
      <c r="N64" s="3060" t="str">
        <f ca="1">IF(ISNA(M64),"N/A",IF(M64=0,"√","？"))</f>
        <v>√</v>
      </c>
      <c r="O64" s="3087"/>
      <c r="P64" s="3088"/>
      <c r="Q64" s="3088"/>
      <c r="R64" s="3088"/>
      <c r="S64" s="3089" t="s">
        <v>295</v>
      </c>
      <c r="T64" s="3089" t="s">
        <v>213</v>
      </c>
      <c r="U64" s="3090"/>
      <c r="V64" s="3090" t="s">
        <v>295</v>
      </c>
      <c r="W64" s="3090" t="s">
        <v>6793</v>
      </c>
      <c r="X64" s="3090" t="s">
        <v>6794</v>
      </c>
      <c r="Y64" s="3091" t="s">
        <v>164</v>
      </c>
    </row>
    <row r="65" spans="1:25" ht="24" hidden="1">
      <c r="A65" s="1304"/>
      <c r="B65" s="643">
        <v>1132</v>
      </c>
      <c r="C65" s="643" t="s">
        <v>522</v>
      </c>
      <c r="D65" s="3075">
        <v>2</v>
      </c>
      <c r="E65" s="3076" t="str">
        <f t="shared" si="0"/>
        <v>应收利息</v>
      </c>
      <c r="F65" s="3077" t="s">
        <v>523</v>
      </c>
      <c r="G65" s="3078">
        <f t="shared" si="1"/>
        <v>0</v>
      </c>
      <c r="H65" s="3079">
        <f t="shared" ca="1" si="5"/>
        <v>0</v>
      </c>
      <c r="I65" s="3081" t="s">
        <v>6799</v>
      </c>
      <c r="J65" s="3060"/>
      <c r="K65" s="3078">
        <f t="shared" si="6"/>
        <v>0</v>
      </c>
      <c r="L65" s="3059" t="s">
        <v>6795</v>
      </c>
      <c r="M65" s="3081" t="s">
        <v>6799</v>
      </c>
      <c r="N65" s="3060"/>
      <c r="O65" s="3087"/>
      <c r="P65" s="3088"/>
      <c r="Q65" s="3088"/>
      <c r="R65" s="3088"/>
      <c r="S65" s="3089" t="s">
        <v>295</v>
      </c>
      <c r="T65" s="3089" t="s">
        <v>213</v>
      </c>
      <c r="U65" s="3090"/>
      <c r="V65" s="3090" t="s">
        <v>295</v>
      </c>
      <c r="W65" s="3090" t="s">
        <v>6793</v>
      </c>
      <c r="X65" s="3090" t="s">
        <v>6794</v>
      </c>
      <c r="Y65" s="3091" t="s">
        <v>164</v>
      </c>
    </row>
    <row r="66" spans="1:25" ht="18">
      <c r="A66" s="1304"/>
      <c r="B66" s="643">
        <v>1131</v>
      </c>
      <c r="C66" s="643" t="s">
        <v>526</v>
      </c>
      <c r="D66" s="3075">
        <v>1</v>
      </c>
      <c r="E66" s="3076" t="str">
        <f t="shared" si="0"/>
        <v>应收股利</v>
      </c>
      <c r="F66" s="3077" t="s">
        <v>527</v>
      </c>
      <c r="G66" s="3078">
        <f t="shared" si="1"/>
        <v>0</v>
      </c>
      <c r="H66" s="3079">
        <f t="shared" ca="1" si="5"/>
        <v>0</v>
      </c>
      <c r="I66" s="3081">
        <f ca="1">IF(AND(LEN(G66)&gt;0,LEN(H66)&gt;0),ROUND(SUM(G66)-SUM(H66),2),"")</f>
        <v>0</v>
      </c>
      <c r="J66" s="3060" t="str">
        <f ca="1">IF(ISNA(I66),"N/A",IF(I66=0,"√","？"))</f>
        <v>√</v>
      </c>
      <c r="K66" s="3078">
        <f t="shared" si="6"/>
        <v>0</v>
      </c>
      <c r="L66" s="3059">
        <f ca="1">INDIRECT("Notes!CheckB"&amp;$C66)</f>
        <v>0</v>
      </c>
      <c r="M66" s="3081">
        <f ca="1">IF(AND(LEN(K66)&gt;0,LEN(L66)&gt;0),ROUND(SUM(K66)-SUM(L66),2),"")</f>
        <v>0</v>
      </c>
      <c r="N66" s="3060" t="str">
        <f ca="1">IF(ISNA(M66),"N/A",IF(M66=0,"√","？"))</f>
        <v>√</v>
      </c>
      <c r="O66" s="3087"/>
      <c r="P66" s="3088"/>
      <c r="Q66" s="3088"/>
      <c r="R66" s="3088"/>
      <c r="S66" s="3089" t="s">
        <v>295</v>
      </c>
      <c r="T66" s="3089" t="s">
        <v>213</v>
      </c>
      <c r="U66" s="3090"/>
      <c r="V66" s="3090" t="s">
        <v>295</v>
      </c>
      <c r="W66" s="3090" t="s">
        <v>6793</v>
      </c>
      <c r="X66" s="3090" t="s">
        <v>6794</v>
      </c>
      <c r="Y66" s="3091" t="s">
        <v>164</v>
      </c>
    </row>
    <row r="67" spans="1:25" ht="24" hidden="1">
      <c r="A67" s="1304"/>
      <c r="B67" s="643">
        <v>1131</v>
      </c>
      <c r="C67" s="643" t="s">
        <v>532</v>
      </c>
      <c r="D67" s="3075">
        <v>2</v>
      </c>
      <c r="E67" s="3076" t="str">
        <f t="shared" si="0"/>
        <v>应收股利</v>
      </c>
      <c r="F67" s="3077" t="s">
        <v>533</v>
      </c>
      <c r="G67" s="3078">
        <f t="shared" si="1"/>
        <v>0</v>
      </c>
      <c r="H67" s="3079">
        <f t="shared" ca="1" si="5"/>
        <v>0</v>
      </c>
      <c r="I67" s="3081" t="s">
        <v>6799</v>
      </c>
      <c r="J67" s="3060"/>
      <c r="K67" s="3078">
        <f t="shared" si="6"/>
        <v>0</v>
      </c>
      <c r="L67" s="3059" t="s">
        <v>6795</v>
      </c>
      <c r="M67" s="3081" t="s">
        <v>6799</v>
      </c>
      <c r="N67" s="3060"/>
      <c r="O67" s="3087"/>
      <c r="P67" s="3088"/>
      <c r="Q67" s="3088"/>
      <c r="R67" s="3088"/>
      <c r="S67" s="3089" t="s">
        <v>295</v>
      </c>
      <c r="T67" s="3089" t="s">
        <v>213</v>
      </c>
      <c r="U67" s="3090"/>
      <c r="V67" s="3090" t="s">
        <v>295</v>
      </c>
      <c r="W67" s="3090" t="s">
        <v>6793</v>
      </c>
      <c r="X67" s="3090" t="s">
        <v>6794</v>
      </c>
      <c r="Y67" s="3091" t="s">
        <v>164</v>
      </c>
    </row>
    <row r="68" spans="1:25" ht="18">
      <c r="A68" s="1304"/>
      <c r="B68" s="643">
        <v>1221</v>
      </c>
      <c r="C68" s="643" t="s">
        <v>538</v>
      </c>
      <c r="D68" s="3075">
        <v>1</v>
      </c>
      <c r="E68" s="3076" t="str">
        <f t="shared" si="0"/>
        <v>其他应收款</v>
      </c>
      <c r="F68" s="3077" t="s">
        <v>539</v>
      </c>
      <c r="G68" s="3078">
        <f t="shared" si="1"/>
        <v>0</v>
      </c>
      <c r="H68" s="3079">
        <f t="shared" ca="1" si="5"/>
        <v>0</v>
      </c>
      <c r="I68" s="3081">
        <f ca="1">IF(AND(LEN(G68)&gt;0,LEN(H68)&gt;0),ROUND(SUM(G68)-SUM(H68),2),"")</f>
        <v>0</v>
      </c>
      <c r="J68" s="3060" t="str">
        <f ca="1">IF(ISNA(I68),"N/A",IF(I68=0,"√","？"))</f>
        <v>√</v>
      </c>
      <c r="K68" s="3078">
        <f t="shared" si="6"/>
        <v>4191637.3</v>
      </c>
      <c r="L68" s="3059">
        <f ca="1">INDIRECT("Notes!CheckB"&amp;$C68)</f>
        <v>0</v>
      </c>
      <c r="M68" s="3081">
        <f ca="1">IF(AND(LEN(K68)&gt;0,LEN(L68)&gt;0),ROUND(SUM(K68)-SUM(L68),2),"")</f>
        <v>4191637.3</v>
      </c>
      <c r="N68" s="3060" t="str">
        <f ca="1">IF(ISNA(M68),"N/A",IF(M68=0,"√","？"))</f>
        <v>？</v>
      </c>
      <c r="O68" s="3087"/>
      <c r="P68" s="3088"/>
      <c r="Q68" s="3088"/>
      <c r="R68" s="3088"/>
      <c r="S68" s="3089" t="s">
        <v>295</v>
      </c>
      <c r="T68" s="3089" t="s">
        <v>213</v>
      </c>
      <c r="U68" s="3090"/>
      <c r="V68" s="3090" t="s">
        <v>295</v>
      </c>
      <c r="W68" s="3090" t="s">
        <v>145</v>
      </c>
      <c r="X68" s="3090" t="s">
        <v>6796</v>
      </c>
      <c r="Y68" s="3091" t="s">
        <v>164</v>
      </c>
    </row>
    <row r="69" spans="1:25" ht="24">
      <c r="A69" s="1304"/>
      <c r="B69" s="643">
        <v>1221</v>
      </c>
      <c r="C69" s="643" t="s">
        <v>544</v>
      </c>
      <c r="D69" s="3075">
        <v>1</v>
      </c>
      <c r="E69" s="3076" t="str">
        <f t="shared" si="0"/>
        <v>其他应收款</v>
      </c>
      <c r="F69" s="3077" t="s">
        <v>545</v>
      </c>
      <c r="G69" s="3078">
        <f t="shared" si="1"/>
        <v>0</v>
      </c>
      <c r="H69" s="3079">
        <f t="shared" ref="H69:H85" ca="1" si="7">INDIRECT("Notes!CheckA"&amp;$C69)</f>
        <v>0</v>
      </c>
      <c r="I69" s="3081">
        <f ca="1">IF(AND(LEN(G69)&gt;0,LEN(H69)&gt;0),ROUND(SUM(G69)-SUM(H69),2),"")</f>
        <v>0</v>
      </c>
      <c r="J69" s="3060" t="str">
        <f ca="1">IF(ISNA(I69),"N/A",IF(I69=0,"√","？"))</f>
        <v>√</v>
      </c>
      <c r="K69" s="3078">
        <f t="shared" si="6"/>
        <v>4191637.3</v>
      </c>
      <c r="L69" s="3059">
        <f ca="1">INDIRECT("Notes!CheckB"&amp;$C69)</f>
        <v>0</v>
      </c>
      <c r="M69" s="3081">
        <f ca="1">IF(AND(LEN(K69)&gt;0,LEN(L69)&gt;0),ROUND(SUM(K69)-SUM(L69),2),"")</f>
        <v>4191637.3</v>
      </c>
      <c r="N69" s="3060" t="str">
        <f ca="1">IF(ISNA(M69),"N/A",IF(M69=0,"√","？"))</f>
        <v>？</v>
      </c>
      <c r="O69" s="3087"/>
      <c r="P69" s="3088"/>
      <c r="Q69" s="3088"/>
      <c r="R69" s="3088"/>
      <c r="S69" s="3089" t="s">
        <v>295</v>
      </c>
      <c r="T69" s="3089" t="s">
        <v>213</v>
      </c>
      <c r="U69" s="3090"/>
      <c r="V69" s="3090" t="s">
        <v>295</v>
      </c>
      <c r="W69" s="3090" t="s">
        <v>6793</v>
      </c>
      <c r="X69" s="3090" t="s">
        <v>6794</v>
      </c>
      <c r="Y69" s="3091" t="s">
        <v>164</v>
      </c>
    </row>
    <row r="70" spans="1:25" ht="36" hidden="1">
      <c r="A70" s="1304"/>
      <c r="B70" s="643">
        <v>1221</v>
      </c>
      <c r="C70" s="643">
        <v>122100</v>
      </c>
      <c r="D70" s="3075">
        <v>2</v>
      </c>
      <c r="E70" s="3076" t="str">
        <f t="shared" si="0"/>
        <v>其他应收款</v>
      </c>
      <c r="F70" s="3077" t="s">
        <v>5909</v>
      </c>
      <c r="G70" s="3078">
        <f t="shared" si="1"/>
        <v>0</v>
      </c>
      <c r="H70" s="3079">
        <f t="shared" ca="1" si="7"/>
        <v>0</v>
      </c>
      <c r="I70" s="3081" t="s">
        <v>6799</v>
      </c>
      <c r="J70" s="3060"/>
      <c r="K70" s="3078">
        <f t="shared" si="6"/>
        <v>4191637.3</v>
      </c>
      <c r="L70" s="3059" t="s">
        <v>6795</v>
      </c>
      <c r="M70" s="3081" t="s">
        <v>6799</v>
      </c>
      <c r="N70" s="3060"/>
      <c r="O70" s="3087"/>
      <c r="P70" s="3088"/>
      <c r="Q70" s="3088"/>
      <c r="R70" s="3088"/>
      <c r="S70" s="3089" t="s">
        <v>295</v>
      </c>
      <c r="T70" s="3089" t="s">
        <v>213</v>
      </c>
      <c r="U70" s="3090"/>
      <c r="V70" s="3090" t="s">
        <v>295</v>
      </c>
      <c r="W70" s="3090" t="s">
        <v>145</v>
      </c>
      <c r="X70" s="3090" t="s">
        <v>6796</v>
      </c>
      <c r="Y70" s="3091" t="s">
        <v>119</v>
      </c>
    </row>
    <row r="71" spans="1:25" ht="36" hidden="1">
      <c r="A71" s="1304"/>
      <c r="B71" s="643">
        <v>1221</v>
      </c>
      <c r="C71" s="643">
        <v>122101</v>
      </c>
      <c r="D71" s="3075">
        <v>2</v>
      </c>
      <c r="E71" s="3076" t="str">
        <f t="shared" si="0"/>
        <v>其他应收款</v>
      </c>
      <c r="F71" s="3077" t="s">
        <v>6432</v>
      </c>
      <c r="G71" s="3078">
        <f t="shared" si="1"/>
        <v>0</v>
      </c>
      <c r="H71" s="3079">
        <f t="shared" ca="1" si="7"/>
        <v>0</v>
      </c>
      <c r="I71" s="3081" t="s">
        <v>6799</v>
      </c>
      <c r="J71" s="3060"/>
      <c r="K71" s="3078">
        <f t="shared" si="6"/>
        <v>4191637.3</v>
      </c>
      <c r="L71" s="3059" t="s">
        <v>6795</v>
      </c>
      <c r="M71" s="3081" t="s">
        <v>6799</v>
      </c>
      <c r="N71" s="3060"/>
      <c r="O71" s="3087"/>
      <c r="P71" s="3088"/>
      <c r="Q71" s="3088"/>
      <c r="R71" s="3088"/>
      <c r="S71" s="3089" t="s">
        <v>295</v>
      </c>
      <c r="T71" s="3089" t="s">
        <v>213</v>
      </c>
      <c r="U71" s="3090">
        <v>122100</v>
      </c>
      <c r="V71" s="3090" t="s">
        <v>295</v>
      </c>
      <c r="W71" s="3090" t="s">
        <v>145</v>
      </c>
      <c r="X71" s="3090" t="s">
        <v>6796</v>
      </c>
      <c r="Y71" s="3091" t="s">
        <v>119</v>
      </c>
    </row>
    <row r="72" spans="1:25" ht="36" hidden="1">
      <c r="A72" s="1304"/>
      <c r="B72" s="643">
        <v>1221</v>
      </c>
      <c r="C72" s="643">
        <v>122111</v>
      </c>
      <c r="D72" s="3075">
        <v>2</v>
      </c>
      <c r="E72" s="3076" t="str">
        <f t="shared" si="0"/>
        <v>其他应收款</v>
      </c>
      <c r="F72" s="3077" t="s">
        <v>5922</v>
      </c>
      <c r="G72" s="3078">
        <f t="shared" si="1"/>
        <v>0</v>
      </c>
      <c r="H72" s="3079">
        <f t="shared" ca="1" si="7"/>
        <v>0</v>
      </c>
      <c r="I72" s="3081" t="s">
        <v>6799</v>
      </c>
      <c r="J72" s="3060"/>
      <c r="K72" s="3078">
        <f t="shared" si="6"/>
        <v>4191637.3</v>
      </c>
      <c r="L72" s="3059">
        <f ca="1">INDIRECT("Notes!CheckB"&amp;$C72)</f>
        <v>0</v>
      </c>
      <c r="M72" s="3081" t="s">
        <v>6799</v>
      </c>
      <c r="N72" s="3060"/>
      <c r="O72" s="3087"/>
      <c r="P72" s="3088"/>
      <c r="Q72" s="3088"/>
      <c r="R72" s="3088"/>
      <c r="S72" s="3089" t="s">
        <v>295</v>
      </c>
      <c r="T72" s="3089" t="s">
        <v>213</v>
      </c>
      <c r="U72" s="3090">
        <v>122101</v>
      </c>
      <c r="V72" s="3090" t="s">
        <v>295</v>
      </c>
      <c r="W72" s="3090" t="s">
        <v>145</v>
      </c>
      <c r="X72" s="3090" t="s">
        <v>6796</v>
      </c>
      <c r="Y72" s="3091" t="s">
        <v>119</v>
      </c>
    </row>
    <row r="73" spans="1:25" ht="36" hidden="1">
      <c r="A73" s="1304"/>
      <c r="B73" s="643">
        <v>1221</v>
      </c>
      <c r="C73" s="643">
        <v>122112</v>
      </c>
      <c r="D73" s="3075">
        <v>2</v>
      </c>
      <c r="E73" s="3076" t="str">
        <f t="shared" ref="E73:E136" si="8">IF(ISERROR(VLOOKUP($B73,Sheet_Items,2,0)),"        ----",VLOOKUP($B73,Sheet_Items,2,0))</f>
        <v>其他应收款</v>
      </c>
      <c r="F73" s="3077" t="s">
        <v>5910</v>
      </c>
      <c r="G73" s="3078">
        <f t="shared" ref="G73:G136" si="9">IF(ISERROR(VLOOKUP($B73,Sheet_Trialbal,6,0)),"        ----",VLOOKUP($B73,Sheet_Trialbal,6,0))</f>
        <v>0</v>
      </c>
      <c r="H73" s="3079">
        <f t="shared" ca="1" si="7"/>
        <v>0</v>
      </c>
      <c r="I73" s="3081" t="s">
        <v>6799</v>
      </c>
      <c r="J73" s="3060"/>
      <c r="K73" s="3078">
        <f t="shared" ref="K73:K104" si="10">IF(ISERROR(VLOOKUP($B73,Sheet_Trialbal,10,0)),"        ----",VLOOKUP($B73,Sheet_Trialbal,10,0))</f>
        <v>4191637.3</v>
      </c>
      <c r="L73" s="3059" t="s">
        <v>6795</v>
      </c>
      <c r="M73" s="3081" t="s">
        <v>6799</v>
      </c>
      <c r="N73" s="3060"/>
      <c r="O73" s="3087"/>
      <c r="P73" s="3088"/>
      <c r="Q73" s="3088"/>
      <c r="R73" s="3088"/>
      <c r="S73" s="3089" t="s">
        <v>295</v>
      </c>
      <c r="T73" s="3089" t="s">
        <v>213</v>
      </c>
      <c r="U73" s="3090">
        <v>122101</v>
      </c>
      <c r="V73" s="3090" t="s">
        <v>295</v>
      </c>
      <c r="W73" s="3090" t="s">
        <v>145</v>
      </c>
      <c r="X73" s="3090" t="s">
        <v>6796</v>
      </c>
      <c r="Y73" s="3091" t="s">
        <v>119</v>
      </c>
    </row>
    <row r="74" spans="1:25" ht="36" hidden="1">
      <c r="A74" s="1304"/>
      <c r="B74" s="643">
        <v>1221</v>
      </c>
      <c r="C74" s="643">
        <v>122113</v>
      </c>
      <c r="D74" s="3075">
        <v>2</v>
      </c>
      <c r="E74" s="3076" t="str">
        <f t="shared" si="8"/>
        <v>其他应收款</v>
      </c>
      <c r="F74" s="3077" t="s">
        <v>5921</v>
      </c>
      <c r="G74" s="3078">
        <f t="shared" si="9"/>
        <v>0</v>
      </c>
      <c r="H74" s="3079">
        <f t="shared" ca="1" si="7"/>
        <v>0</v>
      </c>
      <c r="I74" s="3081" t="s">
        <v>6799</v>
      </c>
      <c r="J74" s="3060"/>
      <c r="K74" s="3078">
        <f t="shared" si="10"/>
        <v>4191637.3</v>
      </c>
      <c r="L74" s="3059" t="s">
        <v>6795</v>
      </c>
      <c r="M74" s="3081" t="s">
        <v>6799</v>
      </c>
      <c r="N74" s="3060"/>
      <c r="O74" s="3087"/>
      <c r="P74" s="3088"/>
      <c r="Q74" s="3088"/>
      <c r="R74" s="3088"/>
      <c r="S74" s="3089" t="s">
        <v>295</v>
      </c>
      <c r="T74" s="3089" t="s">
        <v>213</v>
      </c>
      <c r="U74" s="3090">
        <v>122101</v>
      </c>
      <c r="V74" s="3090" t="s">
        <v>295</v>
      </c>
      <c r="W74" s="3090" t="s">
        <v>145</v>
      </c>
      <c r="X74" s="3090" t="s">
        <v>213</v>
      </c>
      <c r="Y74" s="3091" t="s">
        <v>119</v>
      </c>
    </row>
    <row r="75" spans="1:25" ht="36" hidden="1">
      <c r="A75" s="1304"/>
      <c r="B75" s="643">
        <v>1221</v>
      </c>
      <c r="C75" s="643">
        <v>122114</v>
      </c>
      <c r="D75" s="3075">
        <v>2</v>
      </c>
      <c r="E75" s="3076" t="str">
        <f t="shared" si="8"/>
        <v>其他应收款</v>
      </c>
      <c r="F75" s="3077" t="s">
        <v>5920</v>
      </c>
      <c r="G75" s="3078">
        <f t="shared" si="9"/>
        <v>0</v>
      </c>
      <c r="H75" s="3079">
        <f t="shared" ca="1" si="7"/>
        <v>0</v>
      </c>
      <c r="I75" s="3081" t="s">
        <v>6799</v>
      </c>
      <c r="J75" s="3060"/>
      <c r="K75" s="3078">
        <f t="shared" si="10"/>
        <v>4191637.3</v>
      </c>
      <c r="L75" s="3059" t="s">
        <v>6795</v>
      </c>
      <c r="M75" s="3081" t="s">
        <v>6799</v>
      </c>
      <c r="N75" s="3060"/>
      <c r="O75" s="3087"/>
      <c r="P75" s="3088"/>
      <c r="Q75" s="3088"/>
      <c r="R75" s="3088"/>
      <c r="S75" s="3089" t="s">
        <v>295</v>
      </c>
      <c r="T75" s="3089" t="s">
        <v>213</v>
      </c>
      <c r="U75" s="3090">
        <v>122101</v>
      </c>
      <c r="V75" s="3090" t="s">
        <v>295</v>
      </c>
      <c r="W75" s="3090" t="s">
        <v>145</v>
      </c>
      <c r="X75" s="3090" t="s">
        <v>213</v>
      </c>
      <c r="Y75" s="3091" t="s">
        <v>119</v>
      </c>
    </row>
    <row r="76" spans="1:25" ht="36" hidden="1">
      <c r="A76" s="1304"/>
      <c r="B76" s="643">
        <v>1221</v>
      </c>
      <c r="C76" s="643">
        <v>122102</v>
      </c>
      <c r="D76" s="3075">
        <v>2</v>
      </c>
      <c r="E76" s="3076" t="str">
        <f t="shared" si="8"/>
        <v>其他应收款</v>
      </c>
      <c r="F76" s="3077" t="s">
        <v>6433</v>
      </c>
      <c r="G76" s="3078">
        <f t="shared" si="9"/>
        <v>0</v>
      </c>
      <c r="H76" s="3079">
        <f t="shared" ca="1" si="7"/>
        <v>0</v>
      </c>
      <c r="I76" s="3081" t="s">
        <v>6799</v>
      </c>
      <c r="J76" s="3060"/>
      <c r="K76" s="3078">
        <f t="shared" si="10"/>
        <v>4191637.3</v>
      </c>
      <c r="L76" s="3059">
        <f ca="1">INDIRECT("Notes!CheckB"&amp;$C76)</f>
        <v>0</v>
      </c>
      <c r="M76" s="3081" t="s">
        <v>6799</v>
      </c>
      <c r="N76" s="3060"/>
      <c r="O76" s="3087"/>
      <c r="P76" s="3088"/>
      <c r="Q76" s="3088"/>
      <c r="R76" s="3088"/>
      <c r="S76" s="3089" t="s">
        <v>295</v>
      </c>
      <c r="T76" s="3089" t="s">
        <v>213</v>
      </c>
      <c r="U76" s="3090">
        <v>122100</v>
      </c>
      <c r="V76" s="3090" t="s">
        <v>295</v>
      </c>
      <c r="W76" s="3090" t="s">
        <v>145</v>
      </c>
      <c r="X76" s="3090" t="s">
        <v>6796</v>
      </c>
      <c r="Y76" s="3091" t="s">
        <v>119</v>
      </c>
    </row>
    <row r="77" spans="1:25" ht="36" hidden="1">
      <c r="A77" s="1304"/>
      <c r="B77" s="643">
        <v>1221</v>
      </c>
      <c r="C77" s="643">
        <v>122121</v>
      </c>
      <c r="D77" s="3075">
        <v>2</v>
      </c>
      <c r="E77" s="3076" t="str">
        <f t="shared" si="8"/>
        <v>其他应收款</v>
      </c>
      <c r="F77" s="3077" t="s">
        <v>5911</v>
      </c>
      <c r="G77" s="3078">
        <f t="shared" si="9"/>
        <v>0</v>
      </c>
      <c r="H77" s="3079">
        <f t="shared" ca="1" si="7"/>
        <v>0</v>
      </c>
      <c r="I77" s="3081" t="s">
        <v>6799</v>
      </c>
      <c r="J77" s="3060"/>
      <c r="K77" s="3078">
        <f t="shared" si="10"/>
        <v>4191637.3</v>
      </c>
      <c r="L77" s="3059" t="s">
        <v>6795</v>
      </c>
      <c r="M77" s="3081" t="s">
        <v>6799</v>
      </c>
      <c r="N77" s="3060"/>
      <c r="O77" s="3087"/>
      <c r="P77" s="3088"/>
      <c r="Q77" s="3088"/>
      <c r="R77" s="3088"/>
      <c r="S77" s="3089" t="s">
        <v>295</v>
      </c>
      <c r="T77" s="3089" t="s">
        <v>213</v>
      </c>
      <c r="U77" s="3090">
        <v>122102</v>
      </c>
      <c r="V77" s="3090" t="s">
        <v>295</v>
      </c>
      <c r="W77" s="3090" t="s">
        <v>145</v>
      </c>
      <c r="X77" s="3090" t="s">
        <v>6796</v>
      </c>
      <c r="Y77" s="3091" t="s">
        <v>119</v>
      </c>
    </row>
    <row r="78" spans="1:25" ht="36" hidden="1">
      <c r="A78" s="1304"/>
      <c r="B78" s="643">
        <v>1221</v>
      </c>
      <c r="C78" s="643">
        <v>122122</v>
      </c>
      <c r="D78" s="3075">
        <v>2</v>
      </c>
      <c r="E78" s="3076" t="str">
        <f t="shared" si="8"/>
        <v>其他应收款</v>
      </c>
      <c r="F78" s="3077" t="s">
        <v>5912</v>
      </c>
      <c r="G78" s="3078">
        <f t="shared" si="9"/>
        <v>0</v>
      </c>
      <c r="H78" s="3079">
        <f t="shared" ca="1" si="7"/>
        <v>0</v>
      </c>
      <c r="I78" s="3081" t="s">
        <v>6799</v>
      </c>
      <c r="J78" s="3060"/>
      <c r="K78" s="3078">
        <f t="shared" si="10"/>
        <v>4191637.3</v>
      </c>
      <c r="L78" s="3059" t="s">
        <v>6795</v>
      </c>
      <c r="M78" s="3081" t="s">
        <v>6799</v>
      </c>
      <c r="N78" s="3060"/>
      <c r="O78" s="3087"/>
      <c r="P78" s="3088"/>
      <c r="Q78" s="3088"/>
      <c r="R78" s="3088"/>
      <c r="S78" s="3089" t="s">
        <v>295</v>
      </c>
      <c r="T78" s="3089" t="s">
        <v>213</v>
      </c>
      <c r="U78" s="3090">
        <v>122102</v>
      </c>
      <c r="V78" s="3090" t="s">
        <v>295</v>
      </c>
      <c r="W78" s="3090" t="s">
        <v>145</v>
      </c>
      <c r="X78" s="3090" t="s">
        <v>6796</v>
      </c>
      <c r="Y78" s="3091" t="s">
        <v>119</v>
      </c>
    </row>
    <row r="79" spans="1:25" ht="36" hidden="1">
      <c r="A79" s="1304"/>
      <c r="B79" s="643">
        <v>1221</v>
      </c>
      <c r="C79" s="643">
        <v>122123</v>
      </c>
      <c r="D79" s="3075">
        <v>2</v>
      </c>
      <c r="E79" s="3076" t="str">
        <f t="shared" si="8"/>
        <v>其他应收款</v>
      </c>
      <c r="F79" s="3077" t="s">
        <v>5913</v>
      </c>
      <c r="G79" s="3078">
        <f t="shared" si="9"/>
        <v>0</v>
      </c>
      <c r="H79" s="3079">
        <f t="shared" ca="1" si="7"/>
        <v>0</v>
      </c>
      <c r="I79" s="3081" t="s">
        <v>6799</v>
      </c>
      <c r="J79" s="3060"/>
      <c r="K79" s="3078">
        <f t="shared" si="10"/>
        <v>4191637.3</v>
      </c>
      <c r="L79" s="3059" t="s">
        <v>6795</v>
      </c>
      <c r="M79" s="3081" t="s">
        <v>6799</v>
      </c>
      <c r="N79" s="3060"/>
      <c r="O79" s="3087"/>
      <c r="P79" s="3088"/>
      <c r="Q79" s="3088"/>
      <c r="R79" s="3088"/>
      <c r="S79" s="3089" t="s">
        <v>295</v>
      </c>
      <c r="T79" s="3089" t="s">
        <v>213</v>
      </c>
      <c r="U79" s="3090">
        <v>122102</v>
      </c>
      <c r="V79" s="3090" t="s">
        <v>295</v>
      </c>
      <c r="W79" s="3090" t="s">
        <v>145</v>
      </c>
      <c r="X79" s="3090" t="s">
        <v>213</v>
      </c>
      <c r="Y79" s="3091" t="s">
        <v>119</v>
      </c>
    </row>
    <row r="80" spans="1:25" ht="36" hidden="1">
      <c r="A80" s="1304"/>
      <c r="B80" s="643">
        <v>1221</v>
      </c>
      <c r="C80" s="643">
        <v>122124</v>
      </c>
      <c r="D80" s="3075">
        <v>2</v>
      </c>
      <c r="E80" s="3076" t="str">
        <f t="shared" si="8"/>
        <v>其他应收款</v>
      </c>
      <c r="F80" s="3077" t="s">
        <v>5914</v>
      </c>
      <c r="G80" s="3078">
        <f t="shared" si="9"/>
        <v>0</v>
      </c>
      <c r="H80" s="3079">
        <f t="shared" ca="1" si="7"/>
        <v>0</v>
      </c>
      <c r="I80" s="3081" t="s">
        <v>6799</v>
      </c>
      <c r="J80" s="3060"/>
      <c r="K80" s="3078">
        <f t="shared" si="10"/>
        <v>4191637.3</v>
      </c>
      <c r="L80" s="3059" t="s">
        <v>6795</v>
      </c>
      <c r="M80" s="3081" t="s">
        <v>6799</v>
      </c>
      <c r="N80" s="3060"/>
      <c r="O80" s="3087"/>
      <c r="P80" s="3088"/>
      <c r="Q80" s="3088"/>
      <c r="R80" s="3088"/>
      <c r="S80" s="3089" t="s">
        <v>295</v>
      </c>
      <c r="T80" s="3089" t="s">
        <v>213</v>
      </c>
      <c r="U80" s="3090">
        <v>122102</v>
      </c>
      <c r="V80" s="3090" t="s">
        <v>295</v>
      </c>
      <c r="W80" s="3090" t="s">
        <v>145</v>
      </c>
      <c r="X80" s="3090" t="s">
        <v>213</v>
      </c>
      <c r="Y80" s="3091" t="s">
        <v>119</v>
      </c>
    </row>
    <row r="81" spans="1:25" ht="36" hidden="1">
      <c r="A81" s="1304"/>
      <c r="B81" s="643">
        <v>1221</v>
      </c>
      <c r="C81" s="643">
        <v>122103</v>
      </c>
      <c r="D81" s="3075">
        <v>2</v>
      </c>
      <c r="E81" s="3076" t="str">
        <f t="shared" si="8"/>
        <v>其他应收款</v>
      </c>
      <c r="F81" s="3077" t="s">
        <v>6434</v>
      </c>
      <c r="G81" s="3078">
        <f t="shared" si="9"/>
        <v>0</v>
      </c>
      <c r="H81" s="3079">
        <f t="shared" ca="1" si="7"/>
        <v>0</v>
      </c>
      <c r="I81" s="3081" t="s">
        <v>6799</v>
      </c>
      <c r="J81" s="3060"/>
      <c r="K81" s="3078">
        <f t="shared" si="10"/>
        <v>4191637.3</v>
      </c>
      <c r="L81" s="3059" t="s">
        <v>6795</v>
      </c>
      <c r="M81" s="3081" t="s">
        <v>6799</v>
      </c>
      <c r="N81" s="3060"/>
      <c r="O81" s="3087"/>
      <c r="P81" s="3088"/>
      <c r="Q81" s="3088"/>
      <c r="R81" s="3088"/>
      <c r="S81" s="3089" t="s">
        <v>295</v>
      </c>
      <c r="T81" s="3089" t="s">
        <v>213</v>
      </c>
      <c r="U81" s="3090">
        <v>122100</v>
      </c>
      <c r="V81" s="3090" t="s">
        <v>295</v>
      </c>
      <c r="W81" s="3090" t="s">
        <v>145</v>
      </c>
      <c r="X81" s="3090" t="s">
        <v>6796</v>
      </c>
      <c r="Y81" s="3091" t="s">
        <v>119</v>
      </c>
    </row>
    <row r="82" spans="1:25" ht="36" hidden="1">
      <c r="A82" s="1304"/>
      <c r="B82" s="643">
        <v>1221</v>
      </c>
      <c r="C82" s="643">
        <v>122131</v>
      </c>
      <c r="D82" s="3075">
        <v>2</v>
      </c>
      <c r="E82" s="3076" t="str">
        <f t="shared" si="8"/>
        <v>其他应收款</v>
      </c>
      <c r="F82" s="3077" t="s">
        <v>5915</v>
      </c>
      <c r="G82" s="3078">
        <f t="shared" si="9"/>
        <v>0</v>
      </c>
      <c r="H82" s="3079">
        <f t="shared" ca="1" si="7"/>
        <v>0</v>
      </c>
      <c r="I82" s="3081" t="s">
        <v>6799</v>
      </c>
      <c r="J82" s="3060"/>
      <c r="K82" s="3078">
        <f t="shared" si="10"/>
        <v>4191637.3</v>
      </c>
      <c r="L82" s="3059" t="s">
        <v>6795</v>
      </c>
      <c r="M82" s="3081" t="s">
        <v>6799</v>
      </c>
      <c r="N82" s="3060"/>
      <c r="O82" s="3087"/>
      <c r="P82" s="3088"/>
      <c r="Q82" s="3088"/>
      <c r="R82" s="3088"/>
      <c r="S82" s="3089" t="s">
        <v>295</v>
      </c>
      <c r="T82" s="3089" t="s">
        <v>213</v>
      </c>
      <c r="U82" s="3090">
        <v>122103</v>
      </c>
      <c r="V82" s="3090" t="s">
        <v>295</v>
      </c>
      <c r="W82" s="3090" t="s">
        <v>145</v>
      </c>
      <c r="X82" s="3090" t="s">
        <v>6796</v>
      </c>
      <c r="Y82" s="3091" t="s">
        <v>119</v>
      </c>
    </row>
    <row r="83" spans="1:25" ht="36" hidden="1">
      <c r="A83" s="1304"/>
      <c r="B83" s="643">
        <v>1221</v>
      </c>
      <c r="C83" s="643">
        <v>122132</v>
      </c>
      <c r="D83" s="3075">
        <v>2</v>
      </c>
      <c r="E83" s="3076" t="str">
        <f t="shared" si="8"/>
        <v>其他应收款</v>
      </c>
      <c r="F83" s="3077" t="s">
        <v>5916</v>
      </c>
      <c r="G83" s="3078">
        <f t="shared" si="9"/>
        <v>0</v>
      </c>
      <c r="H83" s="3079">
        <f t="shared" ca="1" si="7"/>
        <v>0</v>
      </c>
      <c r="I83" s="3081" t="s">
        <v>6799</v>
      </c>
      <c r="J83" s="3060"/>
      <c r="K83" s="3078">
        <f t="shared" si="10"/>
        <v>4191637.3</v>
      </c>
      <c r="L83" s="3059" t="s">
        <v>6795</v>
      </c>
      <c r="M83" s="3081" t="s">
        <v>6799</v>
      </c>
      <c r="N83" s="3060"/>
      <c r="O83" s="3087"/>
      <c r="P83" s="3088"/>
      <c r="Q83" s="3088"/>
      <c r="R83" s="3088"/>
      <c r="S83" s="3089" t="s">
        <v>295</v>
      </c>
      <c r="T83" s="3089" t="s">
        <v>213</v>
      </c>
      <c r="U83" s="3090">
        <v>122103</v>
      </c>
      <c r="V83" s="3090" t="s">
        <v>295</v>
      </c>
      <c r="W83" s="3090" t="s">
        <v>145</v>
      </c>
      <c r="X83" s="3090" t="s">
        <v>6796</v>
      </c>
      <c r="Y83" s="3091" t="s">
        <v>119</v>
      </c>
    </row>
    <row r="84" spans="1:25" ht="36" hidden="1">
      <c r="A84" s="1304"/>
      <c r="B84" s="643">
        <v>1221</v>
      </c>
      <c r="C84" s="643">
        <v>122133</v>
      </c>
      <c r="D84" s="3075">
        <v>2</v>
      </c>
      <c r="E84" s="3076" t="str">
        <f t="shared" si="8"/>
        <v>其他应收款</v>
      </c>
      <c r="F84" s="3077" t="s">
        <v>5917</v>
      </c>
      <c r="G84" s="3078">
        <f t="shared" si="9"/>
        <v>0</v>
      </c>
      <c r="H84" s="3079">
        <f t="shared" ca="1" si="7"/>
        <v>0</v>
      </c>
      <c r="I84" s="3081" t="s">
        <v>6799</v>
      </c>
      <c r="J84" s="3060"/>
      <c r="K84" s="3078">
        <f t="shared" si="10"/>
        <v>4191637.3</v>
      </c>
      <c r="L84" s="3059">
        <f t="shared" ref="L84:L90" ca="1" si="11">INDIRECT("Notes!CheckB"&amp;$C84)</f>
        <v>0</v>
      </c>
      <c r="M84" s="3081" t="s">
        <v>6799</v>
      </c>
      <c r="N84" s="3060"/>
      <c r="O84" s="3087"/>
      <c r="P84" s="3088"/>
      <c r="Q84" s="3088"/>
      <c r="R84" s="3088"/>
      <c r="S84" s="3089" t="s">
        <v>295</v>
      </c>
      <c r="T84" s="3089" t="s">
        <v>213</v>
      </c>
      <c r="U84" s="3090">
        <v>122103</v>
      </c>
      <c r="V84" s="3090" t="s">
        <v>295</v>
      </c>
      <c r="W84" s="3090" t="s">
        <v>145</v>
      </c>
      <c r="X84" s="3090" t="s">
        <v>213</v>
      </c>
      <c r="Y84" s="3091" t="s">
        <v>119</v>
      </c>
    </row>
    <row r="85" spans="1:25" ht="36" hidden="1">
      <c r="A85" s="1304"/>
      <c r="B85" s="643">
        <v>1221</v>
      </c>
      <c r="C85" s="643">
        <v>122134</v>
      </c>
      <c r="D85" s="3075">
        <v>2</v>
      </c>
      <c r="E85" s="3076" t="str">
        <f t="shared" si="8"/>
        <v>其他应收款</v>
      </c>
      <c r="F85" s="3077" t="s">
        <v>5918</v>
      </c>
      <c r="G85" s="3078">
        <f t="shared" si="9"/>
        <v>0</v>
      </c>
      <c r="H85" s="3079">
        <f t="shared" ca="1" si="7"/>
        <v>0</v>
      </c>
      <c r="I85" s="3081" t="s">
        <v>6799</v>
      </c>
      <c r="J85" s="3060"/>
      <c r="K85" s="3078">
        <f t="shared" si="10"/>
        <v>4191637.3</v>
      </c>
      <c r="L85" s="3059">
        <f t="shared" ca="1" si="11"/>
        <v>0</v>
      </c>
      <c r="M85" s="3081" t="s">
        <v>6799</v>
      </c>
      <c r="N85" s="3060"/>
      <c r="O85" s="3087"/>
      <c r="P85" s="3088"/>
      <c r="Q85" s="3088"/>
      <c r="R85" s="3088"/>
      <c r="S85" s="3089" t="s">
        <v>295</v>
      </c>
      <c r="T85" s="3089" t="s">
        <v>213</v>
      </c>
      <c r="U85" s="3090">
        <v>122103</v>
      </c>
      <c r="V85" s="3090" t="s">
        <v>295</v>
      </c>
      <c r="W85" s="3090" t="s">
        <v>145</v>
      </c>
      <c r="X85" s="3090" t="s">
        <v>213</v>
      </c>
      <c r="Y85" s="3091" t="s">
        <v>119</v>
      </c>
    </row>
    <row r="86" spans="1:25" ht="36" hidden="1">
      <c r="A86" s="1304"/>
      <c r="B86" s="643">
        <v>1221</v>
      </c>
      <c r="C86" s="643" t="s">
        <v>558</v>
      </c>
      <c r="D86" s="3075">
        <v>2</v>
      </c>
      <c r="E86" s="3076" t="str">
        <f t="shared" si="8"/>
        <v>其他应收款</v>
      </c>
      <c r="F86" s="3077" t="s">
        <v>6435</v>
      </c>
      <c r="G86" s="3078">
        <f t="shared" si="9"/>
        <v>0</v>
      </c>
      <c r="H86" s="3079" t="s">
        <v>6795</v>
      </c>
      <c r="I86" s="3081" t="s">
        <v>6799</v>
      </c>
      <c r="J86" s="3060"/>
      <c r="K86" s="3078">
        <f t="shared" si="10"/>
        <v>4191637.3</v>
      </c>
      <c r="L86" s="3059">
        <f t="shared" ca="1" si="11"/>
        <v>0</v>
      </c>
      <c r="M86" s="3081" t="s">
        <v>6799</v>
      </c>
      <c r="N86" s="3060"/>
      <c r="O86" s="3087"/>
      <c r="P86" s="3088"/>
      <c r="Q86" s="3088"/>
      <c r="R86" s="3088"/>
      <c r="S86" s="3089" t="s">
        <v>295</v>
      </c>
      <c r="T86" s="3089" t="s">
        <v>213</v>
      </c>
      <c r="U86" s="3090"/>
      <c r="V86" s="3090" t="s">
        <v>295</v>
      </c>
      <c r="W86" s="3090" t="s">
        <v>145</v>
      </c>
      <c r="X86" s="3090" t="s">
        <v>6796</v>
      </c>
      <c r="Y86" s="3091" t="s">
        <v>119</v>
      </c>
    </row>
    <row r="87" spans="1:25" ht="48" hidden="1">
      <c r="A87" s="1304"/>
      <c r="B87" s="643">
        <v>1221</v>
      </c>
      <c r="C87" s="643" t="s">
        <v>569</v>
      </c>
      <c r="D87" s="3075">
        <v>2</v>
      </c>
      <c r="E87" s="3076" t="str">
        <f t="shared" si="8"/>
        <v>其他应收款</v>
      </c>
      <c r="F87" s="3077" t="s">
        <v>6436</v>
      </c>
      <c r="G87" s="3078">
        <f t="shared" si="9"/>
        <v>0</v>
      </c>
      <c r="H87" s="3079" t="s">
        <v>6795</v>
      </c>
      <c r="I87" s="3081" t="s">
        <v>6799</v>
      </c>
      <c r="J87" s="3060"/>
      <c r="K87" s="3078">
        <f t="shared" si="10"/>
        <v>4191637.3</v>
      </c>
      <c r="L87" s="3059">
        <f t="shared" ca="1" si="11"/>
        <v>0</v>
      </c>
      <c r="M87" s="3081" t="s">
        <v>6799</v>
      </c>
      <c r="N87" s="3060"/>
      <c r="O87" s="3087"/>
      <c r="P87" s="3088"/>
      <c r="Q87" s="3088"/>
      <c r="R87" s="3088"/>
      <c r="S87" s="3089" t="s">
        <v>295</v>
      </c>
      <c r="T87" s="3089" t="s">
        <v>213</v>
      </c>
      <c r="U87" s="3090"/>
      <c r="V87" s="3090" t="s">
        <v>295</v>
      </c>
      <c r="W87" s="3090" t="s">
        <v>145</v>
      </c>
      <c r="X87" s="3090" t="s">
        <v>6796</v>
      </c>
      <c r="Y87" s="3091" t="s">
        <v>119</v>
      </c>
    </row>
    <row r="88" spans="1:25" ht="48" hidden="1">
      <c r="A88" s="1304"/>
      <c r="B88" s="643">
        <v>1221</v>
      </c>
      <c r="C88" s="643" t="s">
        <v>575</v>
      </c>
      <c r="D88" s="3075">
        <v>2</v>
      </c>
      <c r="E88" s="3076" t="str">
        <f t="shared" si="8"/>
        <v>其他应收款</v>
      </c>
      <c r="F88" s="3077" t="s">
        <v>6437</v>
      </c>
      <c r="G88" s="3078">
        <f t="shared" si="9"/>
        <v>0</v>
      </c>
      <c r="H88" s="3079" t="s">
        <v>6795</v>
      </c>
      <c r="I88" s="3081" t="s">
        <v>6799</v>
      </c>
      <c r="J88" s="3060"/>
      <c r="K88" s="3078">
        <f t="shared" si="10"/>
        <v>4191637.3</v>
      </c>
      <c r="L88" s="3059">
        <f t="shared" ca="1" si="11"/>
        <v>0</v>
      </c>
      <c r="M88" s="3081" t="s">
        <v>6799</v>
      </c>
      <c r="N88" s="3060"/>
      <c r="O88" s="3087"/>
      <c r="P88" s="3088"/>
      <c r="Q88" s="3088"/>
      <c r="R88" s="3088"/>
      <c r="S88" s="3089" t="s">
        <v>295</v>
      </c>
      <c r="T88" s="3089" t="s">
        <v>213</v>
      </c>
      <c r="U88" s="3090"/>
      <c r="V88" s="3090" t="s">
        <v>295</v>
      </c>
      <c r="W88" s="3090" t="s">
        <v>145</v>
      </c>
      <c r="X88" s="3090" t="s">
        <v>6796</v>
      </c>
      <c r="Y88" s="3091" t="s">
        <v>119</v>
      </c>
    </row>
    <row r="89" spans="1:25" ht="24" hidden="1">
      <c r="A89" s="1304"/>
      <c r="B89" s="643">
        <v>1221</v>
      </c>
      <c r="C89" s="643" t="s">
        <v>579</v>
      </c>
      <c r="D89" s="3075">
        <v>2</v>
      </c>
      <c r="E89" s="3076" t="str">
        <f t="shared" si="8"/>
        <v>其他应收款</v>
      </c>
      <c r="F89" s="3077" t="s">
        <v>580</v>
      </c>
      <c r="G89" s="3078">
        <f t="shared" si="9"/>
        <v>0</v>
      </c>
      <c r="H89" s="3079">
        <f t="shared" ref="H89:H101" ca="1" si="12">INDIRECT("Notes!CheckA"&amp;$C89)</f>
        <v>0</v>
      </c>
      <c r="I89" s="3081" t="s">
        <v>6799</v>
      </c>
      <c r="J89" s="3060"/>
      <c r="K89" s="3078">
        <f t="shared" si="10"/>
        <v>4191637.3</v>
      </c>
      <c r="L89" s="3059">
        <f t="shared" ca="1" si="11"/>
        <v>0</v>
      </c>
      <c r="M89" s="3081" t="s">
        <v>6799</v>
      </c>
      <c r="N89" s="3060"/>
      <c r="O89" s="3087"/>
      <c r="P89" s="3088"/>
      <c r="Q89" s="3088"/>
      <c r="R89" s="3088"/>
      <c r="S89" s="3089" t="s">
        <v>295</v>
      </c>
      <c r="T89" s="3089" t="s">
        <v>213</v>
      </c>
      <c r="U89" s="3090"/>
      <c r="V89" s="3090" t="s">
        <v>295</v>
      </c>
      <c r="W89" s="3090" t="s">
        <v>145</v>
      </c>
      <c r="X89" s="3090" t="s">
        <v>6796</v>
      </c>
      <c r="Y89" s="3091" t="s">
        <v>119</v>
      </c>
    </row>
    <row r="90" spans="1:25" ht="36" hidden="1">
      <c r="A90" s="1304"/>
      <c r="B90" s="643">
        <v>1221</v>
      </c>
      <c r="C90" s="643">
        <v>122104</v>
      </c>
      <c r="D90" s="3075">
        <v>2</v>
      </c>
      <c r="E90" s="3076" t="str">
        <f t="shared" si="8"/>
        <v>其他应收款</v>
      </c>
      <c r="F90" s="3077" t="s">
        <v>5908</v>
      </c>
      <c r="G90" s="3078">
        <f t="shared" si="9"/>
        <v>0</v>
      </c>
      <c r="H90" s="3079">
        <f t="shared" ca="1" si="12"/>
        <v>0</v>
      </c>
      <c r="I90" s="3081" t="s">
        <v>6799</v>
      </c>
      <c r="J90" s="3060"/>
      <c r="K90" s="3078">
        <f t="shared" si="10"/>
        <v>4191637.3</v>
      </c>
      <c r="L90" s="3059">
        <f t="shared" ca="1" si="11"/>
        <v>0</v>
      </c>
      <c r="M90" s="3081" t="s">
        <v>6799</v>
      </c>
      <c r="N90" s="3060"/>
      <c r="O90" s="3087"/>
      <c r="P90" s="3088"/>
      <c r="Q90" s="3088"/>
      <c r="R90" s="3088"/>
      <c r="S90" s="3089" t="s">
        <v>295</v>
      </c>
      <c r="T90" s="3089" t="s">
        <v>213</v>
      </c>
      <c r="U90" s="3090"/>
      <c r="V90" s="3090" t="s">
        <v>295</v>
      </c>
      <c r="W90" s="3090" t="s">
        <v>145</v>
      </c>
      <c r="X90" s="3090" t="s">
        <v>6796</v>
      </c>
      <c r="Y90" s="3091" t="s">
        <v>119</v>
      </c>
    </row>
    <row r="91" spans="1:25" ht="36" hidden="1">
      <c r="A91" s="1304"/>
      <c r="B91" s="643">
        <v>1221</v>
      </c>
      <c r="C91" s="643" t="s">
        <v>584</v>
      </c>
      <c r="D91" s="3075">
        <v>2</v>
      </c>
      <c r="E91" s="3076" t="str">
        <f t="shared" si="8"/>
        <v>其他应收款</v>
      </c>
      <c r="F91" s="3077" t="s">
        <v>585</v>
      </c>
      <c r="G91" s="3078">
        <f t="shared" si="9"/>
        <v>0</v>
      </c>
      <c r="H91" s="3079">
        <f t="shared" ca="1" si="12"/>
        <v>0</v>
      </c>
      <c r="I91" s="3081" t="s">
        <v>6799</v>
      </c>
      <c r="J91" s="3060"/>
      <c r="K91" s="3078">
        <f t="shared" si="10"/>
        <v>4191637.3</v>
      </c>
      <c r="L91" s="3059" t="s">
        <v>6795</v>
      </c>
      <c r="M91" s="3081" t="s">
        <v>6799</v>
      </c>
      <c r="N91" s="3060"/>
      <c r="O91" s="3087"/>
      <c r="P91" s="3088"/>
      <c r="Q91" s="3088"/>
      <c r="R91" s="3088"/>
      <c r="S91" s="3089" t="s">
        <v>295</v>
      </c>
      <c r="T91" s="3089" t="s">
        <v>213</v>
      </c>
      <c r="U91" s="3090"/>
      <c r="V91" s="3090" t="s">
        <v>295</v>
      </c>
      <c r="W91" s="3090" t="s">
        <v>6793</v>
      </c>
      <c r="X91" s="3090" t="s">
        <v>6796</v>
      </c>
      <c r="Y91" s="3091" t="s">
        <v>164</v>
      </c>
    </row>
    <row r="92" spans="1:25" ht="24" hidden="1">
      <c r="A92" s="1304"/>
      <c r="B92" s="643">
        <v>1221</v>
      </c>
      <c r="C92" s="643" t="s">
        <v>590</v>
      </c>
      <c r="D92" s="3075">
        <v>2</v>
      </c>
      <c r="E92" s="3076" t="str">
        <f t="shared" si="8"/>
        <v>其他应收款</v>
      </c>
      <c r="F92" s="3077" t="s">
        <v>591</v>
      </c>
      <c r="G92" s="3078">
        <f t="shared" si="9"/>
        <v>0</v>
      </c>
      <c r="H92" s="3079">
        <f t="shared" ca="1" si="12"/>
        <v>0</v>
      </c>
      <c r="I92" s="3081" t="s">
        <v>6799</v>
      </c>
      <c r="J92" s="3060"/>
      <c r="K92" s="3078">
        <f t="shared" si="10"/>
        <v>4191637.3</v>
      </c>
      <c r="L92" s="3059">
        <f ca="1">INDIRECT("Notes!CheckB"&amp;$C92)</f>
        <v>0</v>
      </c>
      <c r="M92" s="3081" t="s">
        <v>6799</v>
      </c>
      <c r="N92" s="3060"/>
      <c r="O92" s="3087"/>
      <c r="P92" s="3088"/>
      <c r="Q92" s="3088"/>
      <c r="R92" s="3088"/>
      <c r="S92" s="3089" t="s">
        <v>295</v>
      </c>
      <c r="T92" s="3089" t="s">
        <v>213</v>
      </c>
      <c r="U92" s="3090"/>
      <c r="V92" s="3090" t="s">
        <v>295</v>
      </c>
      <c r="W92" s="3090" t="s">
        <v>6793</v>
      </c>
      <c r="X92" s="3090" t="s">
        <v>6796</v>
      </c>
      <c r="Y92" s="3091" t="s">
        <v>164</v>
      </c>
    </row>
    <row r="93" spans="1:25" ht="24" hidden="1">
      <c r="A93" s="1304"/>
      <c r="B93" s="643">
        <v>1221</v>
      </c>
      <c r="C93" s="643" t="s">
        <v>595</v>
      </c>
      <c r="D93" s="3075">
        <v>2</v>
      </c>
      <c r="E93" s="3076" t="str">
        <f t="shared" si="8"/>
        <v>其他应收款</v>
      </c>
      <c r="F93" s="3077" t="s">
        <v>596</v>
      </c>
      <c r="G93" s="3078">
        <f t="shared" si="9"/>
        <v>0</v>
      </c>
      <c r="H93" s="3079">
        <f t="shared" ca="1" si="12"/>
        <v>0</v>
      </c>
      <c r="I93" s="3081" t="s">
        <v>6799</v>
      </c>
      <c r="J93" s="3060"/>
      <c r="K93" s="3078">
        <f t="shared" si="10"/>
        <v>4191637.3</v>
      </c>
      <c r="L93" s="3059" t="s">
        <v>6795</v>
      </c>
      <c r="M93" s="3081" t="s">
        <v>6799</v>
      </c>
      <c r="N93" s="3060"/>
      <c r="O93" s="3087"/>
      <c r="P93" s="3088"/>
      <c r="Q93" s="3088"/>
      <c r="R93" s="3088"/>
      <c r="S93" s="3089" t="s">
        <v>295</v>
      </c>
      <c r="T93" s="3089" t="s">
        <v>213</v>
      </c>
      <c r="U93" s="3090"/>
      <c r="V93" s="3090" t="s">
        <v>295</v>
      </c>
      <c r="W93" s="3090" t="s">
        <v>6793</v>
      </c>
      <c r="X93" s="3090" t="s">
        <v>6796</v>
      </c>
      <c r="Y93" s="3091" t="s">
        <v>164</v>
      </c>
    </row>
    <row r="94" spans="1:25" ht="36" hidden="1">
      <c r="A94" s="1304"/>
      <c r="B94" s="643">
        <v>1221</v>
      </c>
      <c r="C94" s="643" t="s">
        <v>600</v>
      </c>
      <c r="D94" s="3075">
        <v>2</v>
      </c>
      <c r="E94" s="3076" t="str">
        <f t="shared" si="8"/>
        <v>其他应收款</v>
      </c>
      <c r="F94" s="3077" t="s">
        <v>601</v>
      </c>
      <c r="G94" s="3078">
        <f t="shared" si="9"/>
        <v>0</v>
      </c>
      <c r="H94" s="3079">
        <f t="shared" ca="1" si="12"/>
        <v>0</v>
      </c>
      <c r="I94" s="3081" t="s">
        <v>6799</v>
      </c>
      <c r="J94" s="3060"/>
      <c r="K94" s="3078">
        <f t="shared" si="10"/>
        <v>4191637.3</v>
      </c>
      <c r="L94" s="3059" t="s">
        <v>6795</v>
      </c>
      <c r="M94" s="3081" t="s">
        <v>6799</v>
      </c>
      <c r="N94" s="3060"/>
      <c r="O94" s="3087"/>
      <c r="P94" s="3088"/>
      <c r="Q94" s="3088"/>
      <c r="R94" s="3088"/>
      <c r="S94" s="3089" t="s">
        <v>295</v>
      </c>
      <c r="T94" s="3089" t="s">
        <v>213</v>
      </c>
      <c r="U94" s="3090"/>
      <c r="V94" s="3090" t="s">
        <v>295</v>
      </c>
      <c r="W94" s="3090" t="s">
        <v>6793</v>
      </c>
      <c r="X94" s="3090" t="s">
        <v>6796</v>
      </c>
      <c r="Y94" s="3091" t="s">
        <v>164</v>
      </c>
    </row>
    <row r="95" spans="1:25" ht="24" hidden="1">
      <c r="A95" s="1304"/>
      <c r="B95" s="643">
        <v>1221</v>
      </c>
      <c r="C95" s="643" t="s">
        <v>605</v>
      </c>
      <c r="D95" s="3075">
        <v>2</v>
      </c>
      <c r="E95" s="3076" t="str">
        <f t="shared" si="8"/>
        <v>其他应收款</v>
      </c>
      <c r="F95" s="3077" t="s">
        <v>606</v>
      </c>
      <c r="G95" s="3078">
        <f t="shared" si="9"/>
        <v>0</v>
      </c>
      <c r="H95" s="3079">
        <f t="shared" ca="1" si="12"/>
        <v>0</v>
      </c>
      <c r="I95" s="3081" t="s">
        <v>6799</v>
      </c>
      <c r="J95" s="3060"/>
      <c r="K95" s="3078">
        <f t="shared" si="10"/>
        <v>4191637.3</v>
      </c>
      <c r="L95" s="3059" t="s">
        <v>6795</v>
      </c>
      <c r="M95" s="3081" t="s">
        <v>6799</v>
      </c>
      <c r="N95" s="3060"/>
      <c r="O95" s="3087"/>
      <c r="P95" s="3088"/>
      <c r="Q95" s="3088"/>
      <c r="R95" s="3088"/>
      <c r="S95" s="3089" t="s">
        <v>295</v>
      </c>
      <c r="T95" s="3089" t="s">
        <v>213</v>
      </c>
      <c r="U95" s="3090"/>
      <c r="V95" s="3090" t="s">
        <v>295</v>
      </c>
      <c r="W95" s="3090" t="s">
        <v>6793</v>
      </c>
      <c r="X95" s="3090" t="s">
        <v>6796</v>
      </c>
      <c r="Y95" s="3091" t="s">
        <v>164</v>
      </c>
    </row>
    <row r="96" spans="1:25" ht="24" hidden="1">
      <c r="A96" s="1304"/>
      <c r="B96" s="643">
        <v>1221</v>
      </c>
      <c r="C96" s="643" t="s">
        <v>609</v>
      </c>
      <c r="D96" s="3075">
        <v>2</v>
      </c>
      <c r="E96" s="3076" t="str">
        <f t="shared" si="8"/>
        <v>其他应收款</v>
      </c>
      <c r="F96" s="3077" t="s">
        <v>610</v>
      </c>
      <c r="G96" s="3078">
        <f t="shared" si="9"/>
        <v>0</v>
      </c>
      <c r="H96" s="3079">
        <f t="shared" ca="1" si="12"/>
        <v>0</v>
      </c>
      <c r="I96" s="3081" t="s">
        <v>6799</v>
      </c>
      <c r="J96" s="3060"/>
      <c r="K96" s="3078">
        <f t="shared" si="10"/>
        <v>4191637.3</v>
      </c>
      <c r="L96" s="3059" t="s">
        <v>6795</v>
      </c>
      <c r="M96" s="3081" t="s">
        <v>6799</v>
      </c>
      <c r="N96" s="3060"/>
      <c r="O96" s="3087"/>
      <c r="P96" s="3088"/>
      <c r="Q96" s="3088"/>
      <c r="R96" s="3088"/>
      <c r="S96" s="3089" t="s">
        <v>295</v>
      </c>
      <c r="T96" s="3089" t="s">
        <v>213</v>
      </c>
      <c r="U96" s="3090"/>
      <c r="V96" s="3090" t="s">
        <v>295</v>
      </c>
      <c r="W96" s="3090" t="s">
        <v>6793</v>
      </c>
      <c r="X96" s="3090" t="s">
        <v>6796</v>
      </c>
      <c r="Y96" s="3091" t="s">
        <v>164</v>
      </c>
    </row>
    <row r="97" spans="1:25" ht="36" hidden="1">
      <c r="A97" s="1304"/>
      <c r="B97" s="643">
        <v>1221</v>
      </c>
      <c r="C97" s="643" t="s">
        <v>615</v>
      </c>
      <c r="D97" s="3075">
        <v>2</v>
      </c>
      <c r="E97" s="3076" t="str">
        <f t="shared" si="8"/>
        <v>其他应收款</v>
      </c>
      <c r="F97" s="3077" t="s">
        <v>616</v>
      </c>
      <c r="G97" s="3078">
        <f t="shared" si="9"/>
        <v>0</v>
      </c>
      <c r="H97" s="3079">
        <f t="shared" ca="1" si="12"/>
        <v>0</v>
      </c>
      <c r="I97" s="3081" t="s">
        <v>6799</v>
      </c>
      <c r="J97" s="3060"/>
      <c r="K97" s="3078">
        <f t="shared" si="10"/>
        <v>4191637.3</v>
      </c>
      <c r="L97" s="3059" t="s">
        <v>6795</v>
      </c>
      <c r="M97" s="3081" t="s">
        <v>6799</v>
      </c>
      <c r="N97" s="3060"/>
      <c r="O97" s="3087"/>
      <c r="P97" s="3088"/>
      <c r="Q97" s="3088"/>
      <c r="R97" s="3088"/>
      <c r="S97" s="3089" t="s">
        <v>295</v>
      </c>
      <c r="T97" s="3089" t="s">
        <v>213</v>
      </c>
      <c r="U97" s="3090"/>
      <c r="V97" s="3090" t="s">
        <v>295</v>
      </c>
      <c r="W97" s="3090" t="s">
        <v>6793</v>
      </c>
      <c r="X97" s="3090" t="s">
        <v>6796</v>
      </c>
      <c r="Y97" s="3091" t="s">
        <v>164</v>
      </c>
    </row>
    <row r="98" spans="1:25" ht="18" hidden="1">
      <c r="A98" s="1304"/>
      <c r="B98" s="643">
        <v>1221</v>
      </c>
      <c r="C98" s="643" t="s">
        <v>629</v>
      </c>
      <c r="D98" s="3075">
        <v>2</v>
      </c>
      <c r="E98" s="3076" t="str">
        <f t="shared" si="8"/>
        <v>其他应收款</v>
      </c>
      <c r="F98" s="3077" t="s">
        <v>630</v>
      </c>
      <c r="G98" s="3078">
        <f t="shared" si="9"/>
        <v>0</v>
      </c>
      <c r="H98" s="3079">
        <f t="shared" ca="1" si="12"/>
        <v>0</v>
      </c>
      <c r="I98" s="3081" t="s">
        <v>6799</v>
      </c>
      <c r="J98" s="3060"/>
      <c r="K98" s="3078">
        <f t="shared" si="10"/>
        <v>4191637.3</v>
      </c>
      <c r="L98" s="3059" t="s">
        <v>6795</v>
      </c>
      <c r="M98" s="3081" t="s">
        <v>6799</v>
      </c>
      <c r="N98" s="3060"/>
      <c r="O98" s="3087"/>
      <c r="P98" s="3088"/>
      <c r="Q98" s="3088"/>
      <c r="R98" s="3088"/>
      <c r="S98" s="3089" t="s">
        <v>295</v>
      </c>
      <c r="T98" s="3089" t="s">
        <v>213</v>
      </c>
      <c r="U98" s="3090"/>
      <c r="V98" s="3090" t="s">
        <v>295</v>
      </c>
      <c r="W98" s="3090" t="s">
        <v>6793</v>
      </c>
      <c r="X98" s="3090" t="s">
        <v>213</v>
      </c>
      <c r="Y98" s="3091" t="s">
        <v>164</v>
      </c>
    </row>
    <row r="99" spans="1:25" ht="24" hidden="1">
      <c r="A99" s="1304"/>
      <c r="B99" s="643">
        <v>1221</v>
      </c>
      <c r="C99" s="643" t="s">
        <v>654</v>
      </c>
      <c r="D99" s="3075">
        <v>2</v>
      </c>
      <c r="E99" s="3076" t="str">
        <f t="shared" si="8"/>
        <v>其他应收款</v>
      </c>
      <c r="F99" s="3077" t="s">
        <v>655</v>
      </c>
      <c r="G99" s="3078">
        <f t="shared" si="9"/>
        <v>0</v>
      </c>
      <c r="H99" s="3079">
        <f t="shared" ca="1" si="12"/>
        <v>0</v>
      </c>
      <c r="I99" s="3081" t="s">
        <v>6799</v>
      </c>
      <c r="J99" s="3060"/>
      <c r="K99" s="3078">
        <f t="shared" si="10"/>
        <v>4191637.3</v>
      </c>
      <c r="L99" s="3059">
        <f ca="1">INDIRECT("Notes!CheckB"&amp;$C99)</f>
        <v>0</v>
      </c>
      <c r="M99" s="3081" t="s">
        <v>6799</v>
      </c>
      <c r="N99" s="3060"/>
      <c r="O99" s="3087"/>
      <c r="P99" s="3088"/>
      <c r="Q99" s="3088"/>
      <c r="R99" s="3088"/>
      <c r="S99" s="3089" t="s">
        <v>295</v>
      </c>
      <c r="T99" s="3089" t="s">
        <v>213</v>
      </c>
      <c r="U99" s="3090"/>
      <c r="V99" s="3090" t="s">
        <v>295</v>
      </c>
      <c r="W99" s="3090" t="s">
        <v>6793</v>
      </c>
      <c r="X99" s="3090" t="s">
        <v>213</v>
      </c>
      <c r="Y99" s="3091" t="s">
        <v>164</v>
      </c>
    </row>
    <row r="100" spans="1:25" ht="18" hidden="1">
      <c r="A100" s="1304"/>
      <c r="B100" s="643">
        <v>1221</v>
      </c>
      <c r="C100" s="643" t="s">
        <v>663</v>
      </c>
      <c r="D100" s="3075">
        <v>2</v>
      </c>
      <c r="E100" s="3076" t="str">
        <f t="shared" si="8"/>
        <v>其他应收款</v>
      </c>
      <c r="F100" s="3077" t="s">
        <v>664</v>
      </c>
      <c r="G100" s="3078">
        <f t="shared" si="9"/>
        <v>0</v>
      </c>
      <c r="H100" s="3079">
        <f t="shared" ca="1" si="12"/>
        <v>0</v>
      </c>
      <c r="I100" s="3081" t="s">
        <v>6799</v>
      </c>
      <c r="J100" s="3060"/>
      <c r="K100" s="3078">
        <f t="shared" si="10"/>
        <v>4191637.3</v>
      </c>
      <c r="L100" s="3059">
        <f ca="1">INDIRECT("Notes!CheckB"&amp;$C100)</f>
        <v>0</v>
      </c>
      <c r="M100" s="3081" t="s">
        <v>6799</v>
      </c>
      <c r="N100" s="3060"/>
      <c r="O100" s="3087"/>
      <c r="P100" s="3088"/>
      <c r="Q100" s="3088"/>
      <c r="R100" s="3088"/>
      <c r="S100" s="3089" t="s">
        <v>295</v>
      </c>
      <c r="T100" s="3089" t="s">
        <v>213</v>
      </c>
      <c r="U100" s="3090"/>
      <c r="V100" s="3090" t="s">
        <v>295</v>
      </c>
      <c r="W100" s="3090" t="s">
        <v>6793</v>
      </c>
      <c r="X100" s="3090" t="s">
        <v>213</v>
      </c>
      <c r="Y100" s="3091" t="s">
        <v>164</v>
      </c>
    </row>
    <row r="101" spans="1:25" ht="18">
      <c r="A101" s="1304"/>
      <c r="B101" s="643">
        <v>1400</v>
      </c>
      <c r="C101" s="643" t="s">
        <v>668</v>
      </c>
      <c r="D101" s="3075">
        <v>1</v>
      </c>
      <c r="E101" s="3076" t="str">
        <f t="shared" si="8"/>
        <v>存货</v>
      </c>
      <c r="F101" s="3077" t="s">
        <v>669</v>
      </c>
      <c r="G101" s="3078">
        <f t="shared" si="9"/>
        <v>0</v>
      </c>
      <c r="H101" s="3079">
        <f t="shared" ca="1" si="12"/>
        <v>0</v>
      </c>
      <c r="I101" s="3081">
        <f ca="1">IF(AND(LEN(G101)&gt;0,LEN(H101)&gt;0),ROUND(SUM(G101)-SUM(H101),2),"")</f>
        <v>0</v>
      </c>
      <c r="J101" s="3060" t="str">
        <f ca="1">IF(ISNA(I101),"N/A",IF(I101=0,"√","？"))</f>
        <v>√</v>
      </c>
      <c r="K101" s="3078">
        <f t="shared" si="10"/>
        <v>0</v>
      </c>
      <c r="L101" s="3059">
        <f ca="1">INDIRECT("Notes!CheckB"&amp;$C101)</f>
        <v>0</v>
      </c>
      <c r="M101" s="3081">
        <f ca="1">IF(AND(LEN(K101)&gt;0,LEN(L101)&gt;0),ROUND(SUM(K101)-SUM(L101),2),"")</f>
        <v>0</v>
      </c>
      <c r="N101" s="3060" t="str">
        <f ca="1">IF(ISNA(M101),"N/A",IF(M101=0,"√","？"))</f>
        <v>√</v>
      </c>
      <c r="O101" s="3087"/>
      <c r="P101" s="3088"/>
      <c r="Q101" s="3088"/>
      <c r="R101" s="3088"/>
      <c r="S101" s="3089" t="s">
        <v>295</v>
      </c>
      <c r="T101" s="3089" t="s">
        <v>213</v>
      </c>
      <c r="U101" s="3090"/>
      <c r="V101" s="3090" t="s">
        <v>295</v>
      </c>
      <c r="W101" s="3090" t="s">
        <v>6793</v>
      </c>
      <c r="X101" s="3090" t="s">
        <v>6794</v>
      </c>
      <c r="Y101" s="3091" t="s">
        <v>164</v>
      </c>
    </row>
    <row r="102" spans="1:25" ht="24" hidden="1">
      <c r="A102" s="1304"/>
      <c r="B102" s="643">
        <v>1400</v>
      </c>
      <c r="C102" s="643" t="s">
        <v>674</v>
      </c>
      <c r="D102" s="3075">
        <v>2</v>
      </c>
      <c r="E102" s="3076" t="str">
        <f t="shared" si="8"/>
        <v>存货</v>
      </c>
      <c r="F102" s="3077" t="s">
        <v>675</v>
      </c>
      <c r="G102" s="3078">
        <f t="shared" si="9"/>
        <v>0</v>
      </c>
      <c r="H102" s="3079" t="s">
        <v>6795</v>
      </c>
      <c r="I102" s="3081" t="s">
        <v>6799</v>
      </c>
      <c r="J102" s="3060"/>
      <c r="K102" s="3078">
        <f t="shared" si="10"/>
        <v>0</v>
      </c>
      <c r="L102" s="3059" t="s">
        <v>6795</v>
      </c>
      <c r="M102" s="3081" t="s">
        <v>6799</v>
      </c>
      <c r="N102" s="3060"/>
      <c r="O102" s="3087"/>
      <c r="P102" s="3088"/>
      <c r="Q102" s="3088"/>
      <c r="R102" s="3088"/>
      <c r="S102" s="3089" t="s">
        <v>295</v>
      </c>
      <c r="T102" s="3089" t="s">
        <v>213</v>
      </c>
      <c r="U102" s="3090"/>
      <c r="V102" s="3090" t="s">
        <v>295</v>
      </c>
      <c r="W102" s="3090" t="s">
        <v>6793</v>
      </c>
      <c r="X102" s="3090" t="s">
        <v>6794</v>
      </c>
      <c r="Y102" s="3091" t="s">
        <v>164</v>
      </c>
    </row>
    <row r="103" spans="1:25" ht="36" hidden="1">
      <c r="A103" s="1304"/>
      <c r="B103" s="643">
        <v>1400</v>
      </c>
      <c r="C103" s="643" t="s">
        <v>678</v>
      </c>
      <c r="D103" s="3075">
        <v>2</v>
      </c>
      <c r="E103" s="3076" t="str">
        <f t="shared" si="8"/>
        <v>存货</v>
      </c>
      <c r="F103" s="3077" t="s">
        <v>679</v>
      </c>
      <c r="G103" s="3078">
        <f t="shared" si="9"/>
        <v>0</v>
      </c>
      <c r="H103" s="3079" t="s">
        <v>6795</v>
      </c>
      <c r="I103" s="3081" t="s">
        <v>6799</v>
      </c>
      <c r="J103" s="3060"/>
      <c r="K103" s="3078">
        <f t="shared" si="10"/>
        <v>0</v>
      </c>
      <c r="L103" s="3059" t="s">
        <v>6795</v>
      </c>
      <c r="M103" s="3081" t="s">
        <v>6799</v>
      </c>
      <c r="N103" s="3060"/>
      <c r="O103" s="3087"/>
      <c r="P103" s="3088"/>
      <c r="Q103" s="3088"/>
      <c r="R103" s="3088"/>
      <c r="S103" s="3089" t="s">
        <v>295</v>
      </c>
      <c r="T103" s="3089" t="s">
        <v>213</v>
      </c>
      <c r="U103" s="3090"/>
      <c r="V103" s="3090" t="s">
        <v>295</v>
      </c>
      <c r="W103" s="3090" t="s">
        <v>6793</v>
      </c>
      <c r="X103" s="3090" t="s">
        <v>213</v>
      </c>
      <c r="Y103" s="3091" t="s">
        <v>164</v>
      </c>
    </row>
    <row r="104" spans="1:25" ht="24" hidden="1">
      <c r="A104" s="1304"/>
      <c r="B104" s="643">
        <v>1400</v>
      </c>
      <c r="C104" s="643" t="s">
        <v>683</v>
      </c>
      <c r="D104" s="3075">
        <v>2</v>
      </c>
      <c r="E104" s="3076" t="str">
        <f t="shared" si="8"/>
        <v>存货</v>
      </c>
      <c r="F104" s="3077" t="s">
        <v>684</v>
      </c>
      <c r="G104" s="3078">
        <f t="shared" si="9"/>
        <v>0</v>
      </c>
      <c r="H104" s="3079">
        <f ca="1">INDIRECT("Notes!CheckA"&amp;$C104)</f>
        <v>0</v>
      </c>
      <c r="I104" s="3081" t="s">
        <v>6799</v>
      </c>
      <c r="J104" s="3060"/>
      <c r="K104" s="3078">
        <f t="shared" si="10"/>
        <v>0</v>
      </c>
      <c r="L104" s="3059" t="s">
        <v>6795</v>
      </c>
      <c r="M104" s="3081" t="s">
        <v>6799</v>
      </c>
      <c r="N104" s="3060"/>
      <c r="O104" s="3087"/>
      <c r="P104" s="3088"/>
      <c r="Q104" s="3088"/>
      <c r="R104" s="3088"/>
      <c r="S104" s="3089" t="s">
        <v>295</v>
      </c>
      <c r="T104" s="3089" t="s">
        <v>213</v>
      </c>
      <c r="U104" s="3090"/>
      <c r="V104" s="3090" t="s">
        <v>295</v>
      </c>
      <c r="W104" s="3090" t="s">
        <v>6793</v>
      </c>
      <c r="X104" s="3090" t="s">
        <v>6796</v>
      </c>
      <c r="Y104" s="3091" t="s">
        <v>164</v>
      </c>
    </row>
    <row r="105" spans="1:25" ht="18" hidden="1">
      <c r="A105" s="1304"/>
      <c r="B105" s="643">
        <v>1400</v>
      </c>
      <c r="C105" s="643" t="s">
        <v>691</v>
      </c>
      <c r="D105" s="3075">
        <v>2</v>
      </c>
      <c r="E105" s="3076" t="str">
        <f t="shared" si="8"/>
        <v>存货</v>
      </c>
      <c r="F105" s="3077" t="s">
        <v>692</v>
      </c>
      <c r="G105" s="3078">
        <f t="shared" si="9"/>
        <v>0</v>
      </c>
      <c r="H105" s="3079" t="s">
        <v>6795</v>
      </c>
      <c r="I105" s="3081" t="s">
        <v>6799</v>
      </c>
      <c r="J105" s="3060"/>
      <c r="K105" s="3078">
        <f t="shared" ref="K105:K136" si="13">IF(ISERROR(VLOOKUP($B105,Sheet_Trialbal,10,0)),"        ----",VLOOKUP($B105,Sheet_Trialbal,10,0))</f>
        <v>0</v>
      </c>
      <c r="L105" s="3059" t="s">
        <v>6795</v>
      </c>
      <c r="M105" s="3081" t="s">
        <v>6799</v>
      </c>
      <c r="N105" s="3060"/>
      <c r="O105" s="3087"/>
      <c r="P105" s="3088"/>
      <c r="Q105" s="3088"/>
      <c r="R105" s="3088"/>
      <c r="S105" s="3089" t="s">
        <v>295</v>
      </c>
      <c r="T105" s="3089" t="s">
        <v>213</v>
      </c>
      <c r="U105" s="3090"/>
      <c r="V105" s="3090" t="s">
        <v>295</v>
      </c>
      <c r="W105" s="3090" t="s">
        <v>6793</v>
      </c>
      <c r="X105" s="3090" t="s">
        <v>6797</v>
      </c>
      <c r="Y105" s="3091" t="s">
        <v>164</v>
      </c>
    </row>
    <row r="106" spans="1:25" ht="18" hidden="1">
      <c r="A106" s="1304"/>
      <c r="B106" s="643">
        <v>1400</v>
      </c>
      <c r="C106" s="643" t="s">
        <v>695</v>
      </c>
      <c r="D106" s="3075">
        <v>2</v>
      </c>
      <c r="E106" s="3076" t="str">
        <f t="shared" si="8"/>
        <v>存货</v>
      </c>
      <c r="F106" s="3077" t="s">
        <v>696</v>
      </c>
      <c r="G106" s="3078">
        <f t="shared" si="9"/>
        <v>0</v>
      </c>
      <c r="H106" s="3079" t="s">
        <v>6795</v>
      </c>
      <c r="I106" s="3081" t="s">
        <v>6799</v>
      </c>
      <c r="J106" s="3060"/>
      <c r="K106" s="3078">
        <f t="shared" si="13"/>
        <v>0</v>
      </c>
      <c r="L106" s="3059" t="s">
        <v>6795</v>
      </c>
      <c r="M106" s="3081" t="s">
        <v>6799</v>
      </c>
      <c r="N106" s="3060"/>
      <c r="O106" s="3087"/>
      <c r="P106" s="3088"/>
      <c r="Q106" s="3088"/>
      <c r="R106" s="3088"/>
      <c r="S106" s="3089" t="s">
        <v>295</v>
      </c>
      <c r="T106" s="3089" t="s">
        <v>213</v>
      </c>
      <c r="U106" s="3090"/>
      <c r="V106" s="3090" t="s">
        <v>295</v>
      </c>
      <c r="W106" s="3090" t="s">
        <v>6793</v>
      </c>
      <c r="X106" s="3090" t="s">
        <v>6797</v>
      </c>
      <c r="Y106" s="3091" t="s">
        <v>164</v>
      </c>
    </row>
    <row r="107" spans="1:25" ht="18" hidden="1">
      <c r="A107" s="1304"/>
      <c r="B107" s="643">
        <v>1400</v>
      </c>
      <c r="C107" s="643" t="s">
        <v>699</v>
      </c>
      <c r="D107" s="3075">
        <v>2</v>
      </c>
      <c r="E107" s="3076" t="str">
        <f t="shared" si="8"/>
        <v>存货</v>
      </c>
      <c r="F107" s="3077" t="s">
        <v>700</v>
      </c>
      <c r="G107" s="3078">
        <f t="shared" si="9"/>
        <v>0</v>
      </c>
      <c r="H107" s="3079" t="s">
        <v>6795</v>
      </c>
      <c r="I107" s="3081" t="s">
        <v>6799</v>
      </c>
      <c r="J107" s="3060"/>
      <c r="K107" s="3078">
        <f t="shared" si="13"/>
        <v>0</v>
      </c>
      <c r="L107" s="3059" t="s">
        <v>6795</v>
      </c>
      <c r="M107" s="3081" t="s">
        <v>6799</v>
      </c>
      <c r="N107" s="3060"/>
      <c r="O107" s="3087"/>
      <c r="P107" s="3088"/>
      <c r="Q107" s="3088"/>
      <c r="R107" s="3088"/>
      <c r="S107" s="3089" t="s">
        <v>295</v>
      </c>
      <c r="T107" s="3089" t="s">
        <v>213</v>
      </c>
      <c r="U107" s="3090"/>
      <c r="V107" s="3090" t="s">
        <v>295</v>
      </c>
      <c r="W107" s="3090" t="s">
        <v>6793</v>
      </c>
      <c r="X107" s="3090" t="s">
        <v>213</v>
      </c>
      <c r="Y107" s="3091" t="s">
        <v>164</v>
      </c>
    </row>
    <row r="108" spans="1:25" ht="24" hidden="1">
      <c r="A108" s="1304"/>
      <c r="B108" s="643">
        <v>1400</v>
      </c>
      <c r="C108" s="643" t="s">
        <v>703</v>
      </c>
      <c r="D108" s="3075">
        <v>2</v>
      </c>
      <c r="E108" s="3076" t="str">
        <f t="shared" si="8"/>
        <v>存货</v>
      </c>
      <c r="F108" s="3077" t="s">
        <v>704</v>
      </c>
      <c r="G108" s="3078">
        <f t="shared" si="9"/>
        <v>0</v>
      </c>
      <c r="H108" s="3079" t="s">
        <v>6795</v>
      </c>
      <c r="I108" s="3081" t="s">
        <v>6799</v>
      </c>
      <c r="J108" s="3060"/>
      <c r="K108" s="3078">
        <f t="shared" si="13"/>
        <v>0</v>
      </c>
      <c r="L108" s="3059" t="s">
        <v>6795</v>
      </c>
      <c r="M108" s="3081" t="s">
        <v>6799</v>
      </c>
      <c r="N108" s="3060"/>
      <c r="O108" s="3087"/>
      <c r="P108" s="3088"/>
      <c r="Q108" s="3088"/>
      <c r="R108" s="3088"/>
      <c r="S108" s="3089" t="s">
        <v>295</v>
      </c>
      <c r="T108" s="3089" t="s">
        <v>213</v>
      </c>
      <c r="U108" s="3090"/>
      <c r="V108" s="3090" t="s">
        <v>295</v>
      </c>
      <c r="W108" s="3090" t="s">
        <v>6793</v>
      </c>
      <c r="X108" s="3090" t="s">
        <v>213</v>
      </c>
      <c r="Y108" s="3091" t="s">
        <v>164</v>
      </c>
    </row>
    <row r="109" spans="1:25" ht="24" hidden="1">
      <c r="A109" s="1304"/>
      <c r="B109" s="643">
        <v>1400</v>
      </c>
      <c r="C109" s="643" t="s">
        <v>687</v>
      </c>
      <c r="D109" s="3075">
        <v>2</v>
      </c>
      <c r="E109" s="3076" t="str">
        <f t="shared" si="8"/>
        <v>存货</v>
      </c>
      <c r="F109" s="3077" t="s">
        <v>688</v>
      </c>
      <c r="G109" s="3078">
        <f t="shared" si="9"/>
        <v>0</v>
      </c>
      <c r="H109" s="3079" t="s">
        <v>6795</v>
      </c>
      <c r="I109" s="3081" t="s">
        <v>6799</v>
      </c>
      <c r="J109" s="3060"/>
      <c r="K109" s="3078">
        <f t="shared" si="13"/>
        <v>0</v>
      </c>
      <c r="L109" s="3059" t="s">
        <v>6795</v>
      </c>
      <c r="M109" s="3081" t="s">
        <v>6799</v>
      </c>
      <c r="N109" s="3060"/>
      <c r="O109" s="3087"/>
      <c r="P109" s="3088"/>
      <c r="Q109" s="3088"/>
      <c r="R109" s="3088"/>
      <c r="S109" s="3089" t="s">
        <v>295</v>
      </c>
      <c r="T109" s="3089" t="s">
        <v>213</v>
      </c>
      <c r="U109" s="3090"/>
      <c r="V109" s="3090" t="s">
        <v>295</v>
      </c>
      <c r="W109" s="3090" t="s">
        <v>6793</v>
      </c>
      <c r="X109" s="3090" t="s">
        <v>213</v>
      </c>
      <c r="Y109" s="3091" t="s">
        <v>164</v>
      </c>
    </row>
    <row r="110" spans="1:25" ht="18" hidden="1">
      <c r="A110" s="1304"/>
      <c r="B110" s="643">
        <v>1400</v>
      </c>
      <c r="C110" s="643" t="s">
        <v>709</v>
      </c>
      <c r="D110" s="3075">
        <v>2</v>
      </c>
      <c r="E110" s="3076" t="str">
        <f t="shared" si="8"/>
        <v>存货</v>
      </c>
      <c r="F110" s="3077" t="s">
        <v>710</v>
      </c>
      <c r="G110" s="3078">
        <f t="shared" si="9"/>
        <v>0</v>
      </c>
      <c r="H110" s="3079" t="s">
        <v>6795</v>
      </c>
      <c r="I110" s="3081" t="s">
        <v>6799</v>
      </c>
      <c r="J110" s="3060"/>
      <c r="K110" s="3078">
        <f t="shared" si="13"/>
        <v>0</v>
      </c>
      <c r="L110" s="3059" t="s">
        <v>6795</v>
      </c>
      <c r="M110" s="3081" t="s">
        <v>6799</v>
      </c>
      <c r="N110" s="3060"/>
      <c r="O110" s="3087"/>
      <c r="P110" s="3088"/>
      <c r="Q110" s="3088"/>
      <c r="R110" s="3088"/>
      <c r="S110" s="3089" t="s">
        <v>295</v>
      </c>
      <c r="T110" s="3089" t="s">
        <v>213</v>
      </c>
      <c r="U110" s="3090"/>
      <c r="V110" s="3090" t="s">
        <v>295</v>
      </c>
      <c r="W110" s="3090" t="s">
        <v>6793</v>
      </c>
      <c r="X110" s="3090" t="s">
        <v>213</v>
      </c>
      <c r="Y110" s="3091" t="s">
        <v>164</v>
      </c>
    </row>
    <row r="111" spans="1:25" ht="24" hidden="1">
      <c r="A111" s="1304"/>
      <c r="B111" s="643">
        <v>1315</v>
      </c>
      <c r="C111" s="643" t="s">
        <v>730</v>
      </c>
      <c r="D111" s="3075">
        <v>2</v>
      </c>
      <c r="E111" s="3076" t="str">
        <f t="shared" si="8"/>
        <v>持有待售资产</v>
      </c>
      <c r="F111" s="3077" t="s">
        <v>715</v>
      </c>
      <c r="G111" s="3078">
        <f t="shared" si="9"/>
        <v>0</v>
      </c>
      <c r="H111" s="3079">
        <f t="shared" ref="H111:H124" ca="1" si="14">INDIRECT("Notes!CheckA"&amp;$C111)</f>
        <v>0</v>
      </c>
      <c r="I111" s="3081" t="s">
        <v>6799</v>
      </c>
      <c r="J111" s="3060"/>
      <c r="K111" s="3078">
        <f t="shared" si="13"/>
        <v>0</v>
      </c>
      <c r="L111" s="3059" t="s">
        <v>6795</v>
      </c>
      <c r="M111" s="3081" t="s">
        <v>6799</v>
      </c>
      <c r="N111" s="3060"/>
      <c r="O111" s="3087"/>
      <c r="P111" s="3088"/>
      <c r="Q111" s="3088"/>
      <c r="R111" s="3088"/>
      <c r="S111" s="3089" t="s">
        <v>295</v>
      </c>
      <c r="T111" s="3089" t="s">
        <v>213</v>
      </c>
      <c r="U111" s="3090"/>
      <c r="V111" s="3090" t="s">
        <v>295</v>
      </c>
      <c r="W111" s="3090" t="s">
        <v>6793</v>
      </c>
      <c r="X111" s="3090" t="s">
        <v>6794</v>
      </c>
      <c r="Y111" s="3091" t="s">
        <v>164</v>
      </c>
    </row>
    <row r="112" spans="1:25" ht="24" hidden="1">
      <c r="A112" s="1304"/>
      <c r="B112" s="643">
        <v>1315</v>
      </c>
      <c r="C112" s="643" t="s">
        <v>721</v>
      </c>
      <c r="D112" s="3075">
        <v>2</v>
      </c>
      <c r="E112" s="3076" t="str">
        <f t="shared" si="8"/>
        <v>持有待售资产</v>
      </c>
      <c r="F112" s="3077" t="s">
        <v>722</v>
      </c>
      <c r="G112" s="3078">
        <f t="shared" si="9"/>
        <v>0</v>
      </c>
      <c r="H112" s="3079">
        <f t="shared" ca="1" si="14"/>
        <v>0</v>
      </c>
      <c r="I112" s="3081" t="s">
        <v>6799</v>
      </c>
      <c r="J112" s="3060"/>
      <c r="K112" s="3078">
        <f t="shared" si="13"/>
        <v>0</v>
      </c>
      <c r="L112" s="3059">
        <f t="shared" ref="L112:L118" ca="1" si="15">INDIRECT("Notes!CheckB"&amp;$C112)</f>
        <v>0</v>
      </c>
      <c r="M112" s="3081" t="s">
        <v>6799</v>
      </c>
      <c r="N112" s="3060"/>
      <c r="O112" s="3087"/>
      <c r="P112" s="3088"/>
      <c r="Q112" s="3088"/>
      <c r="R112" s="3088"/>
      <c r="S112" s="3089" t="s">
        <v>295</v>
      </c>
      <c r="T112" s="3089" t="s">
        <v>213</v>
      </c>
      <c r="U112" s="3090"/>
      <c r="V112" s="3090" t="s">
        <v>295</v>
      </c>
      <c r="W112" s="3090" t="s">
        <v>145</v>
      </c>
      <c r="X112" s="3090" t="s">
        <v>6796</v>
      </c>
      <c r="Y112" s="3091" t="s">
        <v>164</v>
      </c>
    </row>
    <row r="113" spans="1:25" ht="24">
      <c r="A113" s="1304"/>
      <c r="B113" s="643">
        <v>1495</v>
      </c>
      <c r="C113" s="643" t="s">
        <v>747</v>
      </c>
      <c r="D113" s="3075">
        <v>1</v>
      </c>
      <c r="E113" s="3076" t="str">
        <f t="shared" si="8"/>
        <v>一年内到期的非流动资产</v>
      </c>
      <c r="F113" s="3077" t="s">
        <v>748</v>
      </c>
      <c r="G113" s="3078">
        <f t="shared" si="9"/>
        <v>0</v>
      </c>
      <c r="H113" s="3079">
        <f t="shared" ca="1" si="14"/>
        <v>0</v>
      </c>
      <c r="I113" s="3081">
        <f ca="1">IF(AND(LEN(G113)&gt;0,LEN(H113)&gt;0),ROUND(SUM(G113)-SUM(H113),2),"")</f>
        <v>0</v>
      </c>
      <c r="J113" s="3060" t="str">
        <f ca="1">IF(ISNA(I113),"N/A",IF(I113=0,"√","？"))</f>
        <v>√</v>
      </c>
      <c r="K113" s="3078">
        <f t="shared" si="13"/>
        <v>0</v>
      </c>
      <c r="L113" s="3059">
        <f t="shared" ca="1" si="15"/>
        <v>0</v>
      </c>
      <c r="M113" s="3081">
        <f ca="1">IF(AND(LEN(K113)&gt;0,LEN(L113)&gt;0),ROUND(SUM(K113)-SUM(L113),2),"")</f>
        <v>0</v>
      </c>
      <c r="N113" s="3060" t="str">
        <f ca="1">IF(ISNA(M113),"N/A",IF(M113=0,"√","？"))</f>
        <v>√</v>
      </c>
      <c r="O113" s="3087"/>
      <c r="P113" s="3088"/>
      <c r="Q113" s="3088"/>
      <c r="R113" s="3088"/>
      <c r="S113" s="3089" t="s">
        <v>295</v>
      </c>
      <c r="T113" s="3089" t="s">
        <v>213</v>
      </c>
      <c r="U113" s="3090"/>
      <c r="V113" s="3090" t="s">
        <v>295</v>
      </c>
      <c r="W113" s="3090" t="s">
        <v>6793</v>
      </c>
      <c r="X113" s="3090" t="s">
        <v>6794</v>
      </c>
      <c r="Y113" s="3091" t="s">
        <v>164</v>
      </c>
    </row>
    <row r="114" spans="1:25" ht="36" hidden="1">
      <c r="A114" s="1304"/>
      <c r="B114" s="643">
        <v>1495</v>
      </c>
      <c r="C114" s="643" t="s">
        <v>752</v>
      </c>
      <c r="D114" s="3075">
        <v>2</v>
      </c>
      <c r="E114" s="3076" t="str">
        <f t="shared" si="8"/>
        <v>一年内到期的非流动资产</v>
      </c>
      <c r="F114" s="3077" t="s">
        <v>753</v>
      </c>
      <c r="G114" s="3078">
        <f t="shared" si="9"/>
        <v>0</v>
      </c>
      <c r="H114" s="3079">
        <f t="shared" ca="1" si="14"/>
        <v>0</v>
      </c>
      <c r="I114" s="3081" t="s">
        <v>6799</v>
      </c>
      <c r="J114" s="3060"/>
      <c r="K114" s="3078">
        <f t="shared" si="13"/>
        <v>0</v>
      </c>
      <c r="L114" s="3059">
        <f t="shared" ca="1" si="15"/>
        <v>0</v>
      </c>
      <c r="M114" s="3081" t="s">
        <v>6799</v>
      </c>
      <c r="N114" s="3060"/>
      <c r="O114" s="3087"/>
      <c r="P114" s="3088"/>
      <c r="Q114" s="3088"/>
      <c r="R114" s="3088"/>
      <c r="S114" s="3089" t="s">
        <v>295</v>
      </c>
      <c r="T114" s="3089" t="s">
        <v>213</v>
      </c>
      <c r="U114" s="3090"/>
      <c r="V114" s="3090" t="s">
        <v>295</v>
      </c>
      <c r="W114" s="3090" t="s">
        <v>145</v>
      </c>
      <c r="X114" s="3090" t="s">
        <v>6796</v>
      </c>
      <c r="Y114" s="3091" t="s">
        <v>119</v>
      </c>
    </row>
    <row r="115" spans="1:25" ht="18">
      <c r="A115" s="1304"/>
      <c r="B115" s="643">
        <v>1496</v>
      </c>
      <c r="C115" s="643" t="s">
        <v>756</v>
      </c>
      <c r="D115" s="3075">
        <v>1</v>
      </c>
      <c r="E115" s="3076" t="str">
        <f t="shared" si="8"/>
        <v>其他流动资产</v>
      </c>
      <c r="F115" s="3077" t="s">
        <v>757</v>
      </c>
      <c r="G115" s="3078">
        <f t="shared" si="9"/>
        <v>0</v>
      </c>
      <c r="H115" s="3079">
        <f t="shared" ca="1" si="14"/>
        <v>0</v>
      </c>
      <c r="I115" s="3081">
        <f ca="1">IF(AND(LEN(G115)&gt;0,LEN(H115)&gt;0),ROUND(SUM(G115)-SUM(H115),2),"")</f>
        <v>0</v>
      </c>
      <c r="J115" s="3060" t="str">
        <f ca="1">IF(ISNA(I115),"N/A",IF(I115=0,"√","？"))</f>
        <v>√</v>
      </c>
      <c r="K115" s="3078">
        <f t="shared" si="13"/>
        <v>0</v>
      </c>
      <c r="L115" s="3059">
        <f t="shared" ca="1" si="15"/>
        <v>0</v>
      </c>
      <c r="M115" s="3081">
        <f ca="1">IF(AND(LEN(K115)&gt;0,LEN(L115)&gt;0),ROUND(SUM(K115)-SUM(L115),2),"")</f>
        <v>0</v>
      </c>
      <c r="N115" s="3060" t="str">
        <f ca="1">IF(ISNA(M115),"N/A",IF(M115=0,"√","？"))</f>
        <v>√</v>
      </c>
      <c r="O115" s="3087"/>
      <c r="P115" s="3088"/>
      <c r="Q115" s="3088"/>
      <c r="R115" s="3088"/>
      <c r="S115" s="3089" t="s">
        <v>295</v>
      </c>
      <c r="T115" s="3089" t="s">
        <v>213</v>
      </c>
      <c r="U115" s="3090"/>
      <c r="V115" s="3090" t="s">
        <v>295</v>
      </c>
      <c r="W115" s="3090" t="s">
        <v>6793</v>
      </c>
      <c r="X115" s="3090" t="s">
        <v>6794</v>
      </c>
      <c r="Y115" s="3091" t="s">
        <v>164</v>
      </c>
    </row>
    <row r="116" spans="1:25" ht="18">
      <c r="A116" s="1304"/>
      <c r="B116" s="643">
        <v>1505</v>
      </c>
      <c r="C116" s="643" t="s">
        <v>762</v>
      </c>
      <c r="D116" s="3075">
        <v>1</v>
      </c>
      <c r="E116" s="3076" t="str">
        <f t="shared" si="8"/>
        <v>债权投资</v>
      </c>
      <c r="F116" s="3077" t="s">
        <v>763</v>
      </c>
      <c r="G116" s="3078">
        <f t="shared" si="9"/>
        <v>0</v>
      </c>
      <c r="H116" s="3079">
        <f t="shared" ca="1" si="14"/>
        <v>0</v>
      </c>
      <c r="I116" s="3081">
        <f ca="1">IF(AND(LEN(G116)&gt;0,LEN(H116)&gt;0),ROUND(SUM(G116)-SUM(H116),2),"")</f>
        <v>0</v>
      </c>
      <c r="J116" s="3060" t="str">
        <f ca="1">IF(ISNA(I116),"N/A",IF(I116=0,"√","？"))</f>
        <v>√</v>
      </c>
      <c r="K116" s="3078">
        <f t="shared" si="13"/>
        <v>0</v>
      </c>
      <c r="L116" s="3059">
        <f t="shared" ca="1" si="15"/>
        <v>0</v>
      </c>
      <c r="M116" s="3081">
        <f ca="1">IF(AND(LEN(K116)&gt;0,LEN(L116)&gt;0),ROUND(SUM(K116)-SUM(L116),2),"")</f>
        <v>0</v>
      </c>
      <c r="N116" s="3060" t="str">
        <f ca="1">IF(ISNA(M116),"N/A",IF(M116=0,"√","？"))</f>
        <v>√</v>
      </c>
      <c r="O116" s="3087"/>
      <c r="P116" s="3088"/>
      <c r="Q116" s="3088"/>
      <c r="R116" s="3088"/>
      <c r="S116" s="3089" t="s">
        <v>295</v>
      </c>
      <c r="T116" s="3089" t="s">
        <v>213</v>
      </c>
      <c r="U116" s="3090"/>
      <c r="V116" s="3090" t="s">
        <v>295</v>
      </c>
      <c r="W116" s="3090" t="s">
        <v>145</v>
      </c>
      <c r="X116" s="3090" t="s">
        <v>6796</v>
      </c>
      <c r="Y116" s="3091" t="s">
        <v>119</v>
      </c>
    </row>
    <row r="117" spans="1:25" ht="18" hidden="1">
      <c r="A117" s="1304"/>
      <c r="B117" s="643">
        <v>1505</v>
      </c>
      <c r="C117" s="643" t="s">
        <v>768</v>
      </c>
      <c r="D117" s="3075">
        <v>2</v>
      </c>
      <c r="E117" s="3076" t="str">
        <f t="shared" si="8"/>
        <v>债权投资</v>
      </c>
      <c r="F117" s="3077" t="s">
        <v>769</v>
      </c>
      <c r="G117" s="3078">
        <f t="shared" si="9"/>
        <v>0</v>
      </c>
      <c r="H117" s="3079">
        <f t="shared" ca="1" si="14"/>
        <v>0</v>
      </c>
      <c r="I117" s="3081" t="s">
        <v>6799</v>
      </c>
      <c r="J117" s="3060"/>
      <c r="K117" s="3078">
        <f t="shared" si="13"/>
        <v>0</v>
      </c>
      <c r="L117" s="3059">
        <f t="shared" ca="1" si="15"/>
        <v>0</v>
      </c>
      <c r="M117" s="3081" t="s">
        <v>6799</v>
      </c>
      <c r="N117" s="3060"/>
      <c r="O117" s="3087"/>
      <c r="P117" s="3088"/>
      <c r="Q117" s="3088"/>
      <c r="R117" s="3088"/>
      <c r="S117" s="3089" t="s">
        <v>295</v>
      </c>
      <c r="T117" s="3089" t="s">
        <v>213</v>
      </c>
      <c r="U117" s="3090"/>
      <c r="V117" s="3090" t="s">
        <v>295</v>
      </c>
      <c r="W117" s="3090" t="s">
        <v>145</v>
      </c>
      <c r="X117" s="3090" t="s">
        <v>6796</v>
      </c>
      <c r="Y117" s="3091" t="s">
        <v>119</v>
      </c>
    </row>
    <row r="118" spans="1:25" ht="36" hidden="1">
      <c r="A118" s="1304"/>
      <c r="B118" s="643">
        <v>1505</v>
      </c>
      <c r="C118" s="643" t="s">
        <v>773</v>
      </c>
      <c r="D118" s="3075">
        <v>2</v>
      </c>
      <c r="E118" s="3076" t="str">
        <f t="shared" si="8"/>
        <v>债权投资</v>
      </c>
      <c r="F118" s="3077" t="s">
        <v>6438</v>
      </c>
      <c r="G118" s="3078">
        <f t="shared" si="9"/>
        <v>0</v>
      </c>
      <c r="H118" s="3079">
        <f t="shared" ca="1" si="14"/>
        <v>0</v>
      </c>
      <c r="I118" s="3081" t="s">
        <v>6799</v>
      </c>
      <c r="J118" s="3060"/>
      <c r="K118" s="3078">
        <f t="shared" si="13"/>
        <v>0</v>
      </c>
      <c r="L118" s="3059">
        <f t="shared" ca="1" si="15"/>
        <v>0</v>
      </c>
      <c r="M118" s="3081" t="s">
        <v>6799</v>
      </c>
      <c r="N118" s="3060"/>
      <c r="O118" s="3087"/>
      <c r="P118" s="3088"/>
      <c r="Q118" s="3088"/>
      <c r="R118" s="3088"/>
      <c r="S118" s="3089" t="s">
        <v>295</v>
      </c>
      <c r="T118" s="3089" t="s">
        <v>213</v>
      </c>
      <c r="U118" s="3090"/>
      <c r="V118" s="3090" t="s">
        <v>295</v>
      </c>
      <c r="W118" s="3090" t="s">
        <v>145</v>
      </c>
      <c r="X118" s="3090" t="s">
        <v>6796</v>
      </c>
      <c r="Y118" s="3091" t="s">
        <v>119</v>
      </c>
    </row>
    <row r="119" spans="1:25" ht="24" hidden="1">
      <c r="A119" s="1304"/>
      <c r="B119" s="643">
        <v>1505</v>
      </c>
      <c r="C119" s="643" t="s">
        <v>788</v>
      </c>
      <c r="D119" s="3075">
        <v>2</v>
      </c>
      <c r="E119" s="3076" t="str">
        <f t="shared" si="8"/>
        <v>债权投资</v>
      </c>
      <c r="F119" s="3077" t="s">
        <v>789</v>
      </c>
      <c r="G119" s="3078">
        <f t="shared" si="9"/>
        <v>0</v>
      </c>
      <c r="H119" s="3079">
        <f t="shared" ca="1" si="14"/>
        <v>0</v>
      </c>
      <c r="I119" s="3081" t="s">
        <v>6799</v>
      </c>
      <c r="J119" s="3060"/>
      <c r="K119" s="3078">
        <f t="shared" si="13"/>
        <v>0</v>
      </c>
      <c r="L119" s="3059" t="s">
        <v>6795</v>
      </c>
      <c r="M119" s="3081" t="s">
        <v>6799</v>
      </c>
      <c r="N119" s="3060"/>
      <c r="O119" s="3087"/>
      <c r="P119" s="3088"/>
      <c r="Q119" s="3088"/>
      <c r="R119" s="3088"/>
      <c r="S119" s="3089" t="s">
        <v>295</v>
      </c>
      <c r="T119" s="3089" t="s">
        <v>213</v>
      </c>
      <c r="U119" s="3090"/>
      <c r="V119" s="3090" t="s">
        <v>295</v>
      </c>
      <c r="W119" s="3090" t="s">
        <v>145</v>
      </c>
      <c r="X119" s="3090" t="s">
        <v>6796</v>
      </c>
      <c r="Y119" s="3091" t="s">
        <v>119</v>
      </c>
    </row>
    <row r="120" spans="1:25" ht="24" hidden="1">
      <c r="A120" s="1304"/>
      <c r="B120" s="643">
        <v>1505</v>
      </c>
      <c r="C120" s="643" t="s">
        <v>792</v>
      </c>
      <c r="D120" s="3075">
        <v>2</v>
      </c>
      <c r="E120" s="3076" t="str">
        <f t="shared" si="8"/>
        <v>债权投资</v>
      </c>
      <c r="F120" s="3077" t="s">
        <v>793</v>
      </c>
      <c r="G120" s="3078">
        <f t="shared" si="9"/>
        <v>0</v>
      </c>
      <c r="H120" s="3079">
        <f t="shared" ca="1" si="14"/>
        <v>0</v>
      </c>
      <c r="I120" s="3081" t="s">
        <v>6799</v>
      </c>
      <c r="J120" s="3060"/>
      <c r="K120" s="3078">
        <f t="shared" si="13"/>
        <v>0</v>
      </c>
      <c r="L120" s="3059" t="s">
        <v>6795</v>
      </c>
      <c r="M120" s="3081" t="s">
        <v>6799</v>
      </c>
      <c r="N120" s="3060"/>
      <c r="O120" s="3087"/>
      <c r="P120" s="3088"/>
      <c r="Q120" s="3088"/>
      <c r="R120" s="3088"/>
      <c r="S120" s="3089" t="s">
        <v>295</v>
      </c>
      <c r="T120" s="3089" t="s">
        <v>213</v>
      </c>
      <c r="U120" s="3090"/>
      <c r="V120" s="3090" t="s">
        <v>295</v>
      </c>
      <c r="W120" s="3090" t="s">
        <v>145</v>
      </c>
      <c r="X120" s="3090" t="s">
        <v>6796</v>
      </c>
      <c r="Y120" s="3091" t="s">
        <v>119</v>
      </c>
    </row>
    <row r="121" spans="1:25" ht="24" hidden="1">
      <c r="A121" s="1304"/>
      <c r="B121" s="643">
        <v>1505</v>
      </c>
      <c r="C121" s="643" t="s">
        <v>795</v>
      </c>
      <c r="D121" s="3075">
        <v>2</v>
      </c>
      <c r="E121" s="3076" t="str">
        <f t="shared" si="8"/>
        <v>债权投资</v>
      </c>
      <c r="F121" s="3077" t="s">
        <v>796</v>
      </c>
      <c r="G121" s="3078">
        <f t="shared" si="9"/>
        <v>0</v>
      </c>
      <c r="H121" s="3079">
        <f t="shared" ca="1" si="14"/>
        <v>0</v>
      </c>
      <c r="I121" s="3081" t="s">
        <v>6799</v>
      </c>
      <c r="J121" s="3060"/>
      <c r="K121" s="3078">
        <f t="shared" si="13"/>
        <v>0</v>
      </c>
      <c r="L121" s="3059" t="s">
        <v>6795</v>
      </c>
      <c r="M121" s="3081" t="s">
        <v>6799</v>
      </c>
      <c r="N121" s="3060"/>
      <c r="O121" s="3087"/>
      <c r="P121" s="3088"/>
      <c r="Q121" s="3088"/>
      <c r="R121" s="3088"/>
      <c r="S121" s="3089" t="s">
        <v>295</v>
      </c>
      <c r="T121" s="3089" t="s">
        <v>213</v>
      </c>
      <c r="U121" s="3090"/>
      <c r="V121" s="3090" t="s">
        <v>295</v>
      </c>
      <c r="W121" s="3090" t="s">
        <v>145</v>
      </c>
      <c r="X121" s="3090" t="s">
        <v>6796</v>
      </c>
      <c r="Y121" s="3091" t="s">
        <v>119</v>
      </c>
    </row>
    <row r="122" spans="1:25" ht="24" hidden="1">
      <c r="A122" s="1304"/>
      <c r="B122" s="643">
        <v>1505</v>
      </c>
      <c r="C122" s="643" t="s">
        <v>799</v>
      </c>
      <c r="D122" s="3075">
        <v>2</v>
      </c>
      <c r="E122" s="3076" t="str">
        <f t="shared" si="8"/>
        <v>债权投资</v>
      </c>
      <c r="F122" s="3077" t="s">
        <v>785</v>
      </c>
      <c r="G122" s="3078">
        <f t="shared" si="9"/>
        <v>0</v>
      </c>
      <c r="H122" s="3079">
        <f t="shared" ca="1" si="14"/>
        <v>0</v>
      </c>
      <c r="I122" s="3081" t="s">
        <v>6799</v>
      </c>
      <c r="J122" s="3060"/>
      <c r="K122" s="3078">
        <f t="shared" si="13"/>
        <v>0</v>
      </c>
      <c r="L122" s="3059">
        <f ca="1">INDIRECT("Notes!CheckB"&amp;$C122)</f>
        <v>0</v>
      </c>
      <c r="M122" s="3081" t="s">
        <v>6799</v>
      </c>
      <c r="N122" s="3060"/>
      <c r="O122" s="3087"/>
      <c r="P122" s="3088"/>
      <c r="Q122" s="3088"/>
      <c r="R122" s="3088"/>
      <c r="S122" s="3089" t="s">
        <v>295</v>
      </c>
      <c r="T122" s="3089" t="s">
        <v>213</v>
      </c>
      <c r="U122" s="3090"/>
      <c r="V122" s="3090" t="s">
        <v>295</v>
      </c>
      <c r="W122" s="3090" t="s">
        <v>145</v>
      </c>
      <c r="X122" s="3090" t="s">
        <v>6796</v>
      </c>
      <c r="Y122" s="3091" t="s">
        <v>119</v>
      </c>
    </row>
    <row r="123" spans="1:25" ht="36" hidden="1">
      <c r="A123" s="1304"/>
      <c r="B123" s="643">
        <v>1505</v>
      </c>
      <c r="C123" s="643" t="s">
        <v>784</v>
      </c>
      <c r="D123" s="3075">
        <v>2</v>
      </c>
      <c r="E123" s="3076" t="str">
        <f t="shared" si="8"/>
        <v>债权投资</v>
      </c>
      <c r="F123" s="3077" t="s">
        <v>5961</v>
      </c>
      <c r="G123" s="3078">
        <f t="shared" si="9"/>
        <v>0</v>
      </c>
      <c r="H123" s="3079">
        <f t="shared" ca="1" si="14"/>
        <v>0</v>
      </c>
      <c r="I123" s="3081" t="s">
        <v>6799</v>
      </c>
      <c r="J123" s="3060"/>
      <c r="K123" s="3078">
        <f t="shared" si="13"/>
        <v>0</v>
      </c>
      <c r="L123" s="3059" t="s">
        <v>6795</v>
      </c>
      <c r="M123" s="3081" t="s">
        <v>6799</v>
      </c>
      <c r="N123" s="3060"/>
      <c r="O123" s="3087"/>
      <c r="P123" s="3088"/>
      <c r="Q123" s="3088"/>
      <c r="R123" s="3088"/>
      <c r="S123" s="3089" t="s">
        <v>295</v>
      </c>
      <c r="T123" s="3089" t="s">
        <v>213</v>
      </c>
      <c r="U123" s="3090"/>
      <c r="V123" s="3090" t="s">
        <v>295</v>
      </c>
      <c r="W123" s="3090" t="s">
        <v>145</v>
      </c>
      <c r="X123" s="3090" t="s">
        <v>6796</v>
      </c>
      <c r="Y123" s="3091" t="s">
        <v>119</v>
      </c>
    </row>
    <row r="124" spans="1:25" ht="18">
      <c r="A124" s="1304"/>
      <c r="B124" s="643">
        <v>1503</v>
      </c>
      <c r="C124" s="643" t="s">
        <v>804</v>
      </c>
      <c r="D124" s="3075">
        <v>1</v>
      </c>
      <c r="E124" s="3076" t="str">
        <f t="shared" si="8"/>
        <v>可供出售金融资产</v>
      </c>
      <c r="F124" s="3077" t="s">
        <v>805</v>
      </c>
      <c r="G124" s="3078">
        <f t="shared" si="9"/>
        <v>0</v>
      </c>
      <c r="H124" s="3079">
        <f t="shared" ca="1" si="14"/>
        <v>0</v>
      </c>
      <c r="I124" s="3081">
        <f ca="1">IF(AND(LEN(G124)&gt;0,LEN(H124)&gt;0),ROUND(SUM(G124)-SUM(H124),2),"")</f>
        <v>0</v>
      </c>
      <c r="J124" s="3060" t="str">
        <f ca="1">IF(ISNA(I124),"N/A",IF(I124=0,"√","？"))</f>
        <v>√</v>
      </c>
      <c r="K124" s="3078">
        <f t="shared" si="13"/>
        <v>0</v>
      </c>
      <c r="L124" s="3059">
        <f ca="1">INDIRECT("Notes!CheckB"&amp;$C124)</f>
        <v>0</v>
      </c>
      <c r="M124" s="3081">
        <f ca="1">IF(AND(LEN(K124)&gt;0,LEN(L124)&gt;0),ROUND(SUM(K124)-SUM(L124),2),"")</f>
        <v>0</v>
      </c>
      <c r="N124" s="3060" t="str">
        <f ca="1">IF(ISNA(M124),"N/A",IF(M124=0,"√","？"))</f>
        <v>√</v>
      </c>
      <c r="O124" s="3087"/>
      <c r="P124" s="3088"/>
      <c r="Q124" s="3088"/>
      <c r="R124" s="3088"/>
      <c r="S124" s="3089" t="s">
        <v>295</v>
      </c>
      <c r="T124" s="3089" t="s">
        <v>213</v>
      </c>
      <c r="U124" s="3090"/>
      <c r="V124" s="3090" t="s">
        <v>295</v>
      </c>
      <c r="W124" s="3090" t="s">
        <v>6793</v>
      </c>
      <c r="X124" s="3090" t="s">
        <v>6794</v>
      </c>
      <c r="Y124" s="3091" t="s">
        <v>164</v>
      </c>
    </row>
    <row r="125" spans="1:25" ht="24" hidden="1">
      <c r="A125" s="1304"/>
      <c r="B125" s="643">
        <v>1503</v>
      </c>
      <c r="C125" s="643" t="s">
        <v>830</v>
      </c>
      <c r="D125" s="3075">
        <v>2</v>
      </c>
      <c r="E125" s="3076" t="str">
        <f t="shared" si="8"/>
        <v>可供出售金融资产</v>
      </c>
      <c r="F125" s="3077" t="s">
        <v>831</v>
      </c>
      <c r="G125" s="3078">
        <f t="shared" si="9"/>
        <v>0</v>
      </c>
      <c r="H125" s="3079" t="s">
        <v>6795</v>
      </c>
      <c r="I125" s="3081" t="s">
        <v>6799</v>
      </c>
      <c r="J125" s="3060"/>
      <c r="K125" s="3078">
        <f t="shared" si="13"/>
        <v>0</v>
      </c>
      <c r="L125" s="3059" t="s">
        <v>6795</v>
      </c>
      <c r="M125" s="3081" t="s">
        <v>6799</v>
      </c>
      <c r="N125" s="3060"/>
      <c r="O125" s="3087"/>
      <c r="P125" s="3088"/>
      <c r="Q125" s="3088"/>
      <c r="R125" s="3088"/>
      <c r="S125" s="3089" t="s">
        <v>295</v>
      </c>
      <c r="T125" s="3089" t="s">
        <v>213</v>
      </c>
      <c r="U125" s="3090"/>
      <c r="V125" s="3090" t="s">
        <v>295</v>
      </c>
      <c r="W125" s="3090" t="s">
        <v>145</v>
      </c>
      <c r="X125" s="3090" t="s">
        <v>6796</v>
      </c>
      <c r="Y125" s="3091" t="s">
        <v>164</v>
      </c>
    </row>
    <row r="126" spans="1:25" ht="24" hidden="1">
      <c r="A126" s="1304"/>
      <c r="B126" s="643">
        <v>1503</v>
      </c>
      <c r="C126" s="643" t="s">
        <v>813</v>
      </c>
      <c r="D126" s="3075">
        <v>2</v>
      </c>
      <c r="E126" s="3076" t="str">
        <f t="shared" si="8"/>
        <v>可供出售金融资产</v>
      </c>
      <c r="F126" s="3077" t="s">
        <v>814</v>
      </c>
      <c r="G126" s="3078">
        <f t="shared" si="9"/>
        <v>0</v>
      </c>
      <c r="H126" s="3079" t="s">
        <v>6795</v>
      </c>
      <c r="I126" s="3081" t="s">
        <v>6799</v>
      </c>
      <c r="J126" s="3060"/>
      <c r="K126" s="3078">
        <f t="shared" si="13"/>
        <v>0</v>
      </c>
      <c r="L126" s="3059" t="s">
        <v>6795</v>
      </c>
      <c r="M126" s="3081" t="s">
        <v>6799</v>
      </c>
      <c r="N126" s="3060"/>
      <c r="O126" s="3087"/>
      <c r="P126" s="3088"/>
      <c r="Q126" s="3088"/>
      <c r="R126" s="3088"/>
      <c r="S126" s="3089" t="s">
        <v>295</v>
      </c>
      <c r="T126" s="3089" t="s">
        <v>213</v>
      </c>
      <c r="U126" s="3090"/>
      <c r="V126" s="3090" t="s">
        <v>295</v>
      </c>
      <c r="W126" s="3090" t="s">
        <v>145</v>
      </c>
      <c r="X126" s="3090" t="s">
        <v>6796</v>
      </c>
      <c r="Y126" s="3091" t="s">
        <v>164</v>
      </c>
    </row>
    <row r="127" spans="1:25" ht="24" hidden="1">
      <c r="A127" s="1304"/>
      <c r="B127" s="643">
        <v>1503</v>
      </c>
      <c r="C127" s="643" t="s">
        <v>817</v>
      </c>
      <c r="D127" s="3075">
        <v>2</v>
      </c>
      <c r="E127" s="3076" t="str">
        <f t="shared" si="8"/>
        <v>可供出售金融资产</v>
      </c>
      <c r="F127" s="3077" t="s">
        <v>818</v>
      </c>
      <c r="G127" s="3078">
        <f t="shared" si="9"/>
        <v>0</v>
      </c>
      <c r="H127" s="3079" t="s">
        <v>6795</v>
      </c>
      <c r="I127" s="3081" t="s">
        <v>6799</v>
      </c>
      <c r="J127" s="3060"/>
      <c r="K127" s="3078">
        <f t="shared" si="13"/>
        <v>0</v>
      </c>
      <c r="L127" s="3059" t="s">
        <v>6795</v>
      </c>
      <c r="M127" s="3081" t="s">
        <v>6799</v>
      </c>
      <c r="N127" s="3060"/>
      <c r="O127" s="3087"/>
      <c r="P127" s="3088"/>
      <c r="Q127" s="3088"/>
      <c r="R127" s="3088"/>
      <c r="S127" s="3089" t="s">
        <v>295</v>
      </c>
      <c r="T127" s="3089" t="s">
        <v>213</v>
      </c>
      <c r="U127" s="3090"/>
      <c r="V127" s="3090" t="s">
        <v>295</v>
      </c>
      <c r="W127" s="3090" t="s">
        <v>145</v>
      </c>
      <c r="X127" s="3090" t="s">
        <v>6796</v>
      </c>
      <c r="Y127" s="3091" t="s">
        <v>164</v>
      </c>
    </row>
    <row r="128" spans="1:25" ht="24" hidden="1">
      <c r="A128" s="1304"/>
      <c r="B128" s="643">
        <v>1503</v>
      </c>
      <c r="C128" s="643" t="s">
        <v>821</v>
      </c>
      <c r="D128" s="3075">
        <v>2</v>
      </c>
      <c r="E128" s="3076" t="str">
        <f t="shared" si="8"/>
        <v>可供出售金融资产</v>
      </c>
      <c r="F128" s="3077" t="s">
        <v>822</v>
      </c>
      <c r="G128" s="3078">
        <f t="shared" si="9"/>
        <v>0</v>
      </c>
      <c r="H128" s="3079">
        <f ca="1">INDIRECT("Notes!CheckA"&amp;$C128)</f>
        <v>0</v>
      </c>
      <c r="I128" s="3081" t="s">
        <v>6799</v>
      </c>
      <c r="J128" s="3060"/>
      <c r="K128" s="3078">
        <f t="shared" si="13"/>
        <v>0</v>
      </c>
      <c r="L128" s="3059" t="s">
        <v>6795</v>
      </c>
      <c r="M128" s="3081" t="s">
        <v>6799</v>
      </c>
      <c r="N128" s="3060"/>
      <c r="O128" s="3087"/>
      <c r="P128" s="3088"/>
      <c r="Q128" s="3088"/>
      <c r="R128" s="3088"/>
      <c r="S128" s="3089" t="s">
        <v>295</v>
      </c>
      <c r="T128" s="3089" t="s">
        <v>213</v>
      </c>
      <c r="U128" s="3090"/>
      <c r="V128" s="3090" t="s">
        <v>295</v>
      </c>
      <c r="W128" s="3090" t="s">
        <v>145</v>
      </c>
      <c r="X128" s="3090" t="s">
        <v>6796</v>
      </c>
      <c r="Y128" s="3091" t="s">
        <v>164</v>
      </c>
    </row>
    <row r="129" spans="1:25" ht="48" hidden="1">
      <c r="A129" s="1304"/>
      <c r="B129" s="643">
        <v>1503</v>
      </c>
      <c r="C129" s="643" t="s">
        <v>825</v>
      </c>
      <c r="D129" s="3075">
        <v>2</v>
      </c>
      <c r="E129" s="3076" t="str">
        <f t="shared" si="8"/>
        <v>可供出售金融资产</v>
      </c>
      <c r="F129" s="3077" t="s">
        <v>826</v>
      </c>
      <c r="G129" s="3078">
        <f t="shared" si="9"/>
        <v>0</v>
      </c>
      <c r="H129" s="3079" t="s">
        <v>6795</v>
      </c>
      <c r="I129" s="3081" t="s">
        <v>6799</v>
      </c>
      <c r="J129" s="3060"/>
      <c r="K129" s="3078">
        <f t="shared" si="13"/>
        <v>0</v>
      </c>
      <c r="L129" s="3059" t="s">
        <v>6795</v>
      </c>
      <c r="M129" s="3081" t="s">
        <v>6799</v>
      </c>
      <c r="N129" s="3060"/>
      <c r="O129" s="3087"/>
      <c r="P129" s="3088"/>
      <c r="Q129" s="3088"/>
      <c r="R129" s="3088"/>
      <c r="S129" s="3089" t="s">
        <v>295</v>
      </c>
      <c r="T129" s="3089" t="s">
        <v>213</v>
      </c>
      <c r="U129" s="3090"/>
      <c r="V129" s="3090" t="s">
        <v>295</v>
      </c>
      <c r="W129" s="3090" t="s">
        <v>145</v>
      </c>
      <c r="X129" s="3090" t="s">
        <v>6796</v>
      </c>
      <c r="Y129" s="3091" t="s">
        <v>164</v>
      </c>
    </row>
    <row r="130" spans="1:25" ht="18">
      <c r="A130" s="1304"/>
      <c r="B130" s="643">
        <v>1508</v>
      </c>
      <c r="C130" s="643" t="s">
        <v>847</v>
      </c>
      <c r="D130" s="3075">
        <v>1</v>
      </c>
      <c r="E130" s="3076" t="str">
        <f t="shared" si="8"/>
        <v>其他债权投资</v>
      </c>
      <c r="F130" s="3077" t="s">
        <v>848</v>
      </c>
      <c r="G130" s="3078">
        <f t="shared" si="9"/>
        <v>0</v>
      </c>
      <c r="H130" s="3079">
        <f t="shared" ref="H130:H138" ca="1" si="16">INDIRECT("Notes!CheckA"&amp;$C130)</f>
        <v>0</v>
      </c>
      <c r="I130" s="3081">
        <f ca="1">IF(AND(LEN(G130)&gt;0,LEN(H130)&gt;0),ROUND(SUM(G130)-SUM(H130),2),"")</f>
        <v>0</v>
      </c>
      <c r="J130" s="3060" t="str">
        <f ca="1">IF(ISNA(I130),"N/A",IF(I130=0,"√","？"))</f>
        <v>√</v>
      </c>
      <c r="K130" s="3078">
        <f t="shared" si="13"/>
        <v>0</v>
      </c>
      <c r="L130" s="3059">
        <f ca="1">INDIRECT("Notes!CheckB"&amp;$C130)</f>
        <v>0</v>
      </c>
      <c r="M130" s="3081">
        <f ca="1">IF(AND(LEN(K130)&gt;0,LEN(L130)&gt;0),ROUND(SUM(K130)-SUM(L130),2),"")</f>
        <v>0</v>
      </c>
      <c r="N130" s="3060" t="str">
        <f ca="1">IF(ISNA(M130),"N/A",IF(M130=0,"√","？"))</f>
        <v>√</v>
      </c>
      <c r="O130" s="3087"/>
      <c r="P130" s="3088"/>
      <c r="Q130" s="3088"/>
      <c r="R130" s="3088"/>
      <c r="S130" s="3089" t="s">
        <v>295</v>
      </c>
      <c r="T130" s="3089" t="s">
        <v>213</v>
      </c>
      <c r="U130" s="3090"/>
      <c r="V130" s="3090" t="s">
        <v>295</v>
      </c>
      <c r="W130" s="3090" t="s">
        <v>145</v>
      </c>
      <c r="X130" s="3090" t="s">
        <v>6796</v>
      </c>
      <c r="Y130" s="3091" t="s">
        <v>119</v>
      </c>
    </row>
    <row r="131" spans="1:25" ht="24" hidden="1">
      <c r="A131" s="1304"/>
      <c r="B131" s="643">
        <v>1508</v>
      </c>
      <c r="C131" s="643" t="s">
        <v>853</v>
      </c>
      <c r="D131" s="3075">
        <v>2</v>
      </c>
      <c r="E131" s="3076" t="str">
        <f t="shared" si="8"/>
        <v>其他债权投资</v>
      </c>
      <c r="F131" s="3077" t="s">
        <v>854</v>
      </c>
      <c r="G131" s="3078">
        <f t="shared" si="9"/>
        <v>0</v>
      </c>
      <c r="H131" s="3079">
        <f t="shared" ca="1" si="16"/>
        <v>0</v>
      </c>
      <c r="I131" s="3081" t="s">
        <v>6799</v>
      </c>
      <c r="J131" s="3060"/>
      <c r="K131" s="3078">
        <f t="shared" si="13"/>
        <v>0</v>
      </c>
      <c r="L131" s="3059">
        <f ca="1">INDIRECT("Notes!CheckB"&amp;$C131)</f>
        <v>0</v>
      </c>
      <c r="M131" s="3081" t="s">
        <v>6799</v>
      </c>
      <c r="N131" s="3060"/>
      <c r="O131" s="3087"/>
      <c r="P131" s="3088"/>
      <c r="Q131" s="3088"/>
      <c r="R131" s="3088"/>
      <c r="S131" s="3089" t="s">
        <v>295</v>
      </c>
      <c r="T131" s="3089" t="s">
        <v>213</v>
      </c>
      <c r="U131" s="3090"/>
      <c r="V131" s="3090" t="s">
        <v>295</v>
      </c>
      <c r="W131" s="3090" t="s">
        <v>145</v>
      </c>
      <c r="X131" s="3090" t="s">
        <v>6796</v>
      </c>
      <c r="Y131" s="3091" t="s">
        <v>119</v>
      </c>
    </row>
    <row r="132" spans="1:25" ht="36" hidden="1">
      <c r="A132" s="1304"/>
      <c r="B132" s="643">
        <v>1508</v>
      </c>
      <c r="C132" s="643" t="s">
        <v>859</v>
      </c>
      <c r="D132" s="3075">
        <v>2</v>
      </c>
      <c r="E132" s="3076" t="str">
        <f t="shared" si="8"/>
        <v>其他债权投资</v>
      </c>
      <c r="F132" s="3077" t="s">
        <v>6439</v>
      </c>
      <c r="G132" s="3078">
        <f t="shared" si="9"/>
        <v>0</v>
      </c>
      <c r="H132" s="3079">
        <f t="shared" ca="1" si="16"/>
        <v>0</v>
      </c>
      <c r="I132" s="3081" t="s">
        <v>6799</v>
      </c>
      <c r="J132" s="3060"/>
      <c r="K132" s="3078">
        <f t="shared" si="13"/>
        <v>0</v>
      </c>
      <c r="L132" s="3059" t="s">
        <v>6795</v>
      </c>
      <c r="M132" s="3081" t="s">
        <v>6799</v>
      </c>
      <c r="N132" s="3060"/>
      <c r="O132" s="3087"/>
      <c r="P132" s="3088"/>
      <c r="Q132" s="3088"/>
      <c r="R132" s="3088"/>
      <c r="S132" s="3089" t="s">
        <v>295</v>
      </c>
      <c r="T132" s="3089" t="s">
        <v>213</v>
      </c>
      <c r="U132" s="3090"/>
      <c r="V132" s="3090" t="s">
        <v>295</v>
      </c>
      <c r="W132" s="3090" t="s">
        <v>145</v>
      </c>
      <c r="X132" s="3090" t="s">
        <v>6796</v>
      </c>
      <c r="Y132" s="3091" t="s">
        <v>119</v>
      </c>
    </row>
    <row r="133" spans="1:25" ht="24" hidden="1">
      <c r="A133" s="1304"/>
      <c r="B133" s="643">
        <v>1508</v>
      </c>
      <c r="C133" s="643" t="s">
        <v>885</v>
      </c>
      <c r="D133" s="3075">
        <v>2</v>
      </c>
      <c r="E133" s="3076" t="str">
        <f t="shared" si="8"/>
        <v>其他债权投资</v>
      </c>
      <c r="F133" s="3077" t="s">
        <v>886</v>
      </c>
      <c r="G133" s="3078">
        <f t="shared" si="9"/>
        <v>0</v>
      </c>
      <c r="H133" s="3079">
        <f t="shared" ca="1" si="16"/>
        <v>0</v>
      </c>
      <c r="I133" s="3081" t="s">
        <v>6799</v>
      </c>
      <c r="J133" s="3060"/>
      <c r="K133" s="3078">
        <f t="shared" si="13"/>
        <v>0</v>
      </c>
      <c r="L133" s="3059" t="s">
        <v>6795</v>
      </c>
      <c r="M133" s="3081" t="s">
        <v>6799</v>
      </c>
      <c r="N133" s="3060"/>
      <c r="O133" s="3087"/>
      <c r="P133" s="3088"/>
      <c r="Q133" s="3088"/>
      <c r="R133" s="3088"/>
      <c r="S133" s="3089" t="s">
        <v>295</v>
      </c>
      <c r="T133" s="3089" t="s">
        <v>213</v>
      </c>
      <c r="U133" s="3090"/>
      <c r="V133" s="3090" t="s">
        <v>295</v>
      </c>
      <c r="W133" s="3090" t="s">
        <v>145</v>
      </c>
      <c r="X133" s="3090" t="s">
        <v>6796</v>
      </c>
      <c r="Y133" s="3091" t="s">
        <v>119</v>
      </c>
    </row>
    <row r="134" spans="1:25" ht="24" hidden="1">
      <c r="A134" s="1304"/>
      <c r="B134" s="643">
        <v>1508</v>
      </c>
      <c r="C134" s="643" t="s">
        <v>889</v>
      </c>
      <c r="D134" s="3075">
        <v>2</v>
      </c>
      <c r="E134" s="3076" t="str">
        <f t="shared" si="8"/>
        <v>其他债权投资</v>
      </c>
      <c r="F134" s="3077" t="s">
        <v>890</v>
      </c>
      <c r="G134" s="3078">
        <f t="shared" si="9"/>
        <v>0</v>
      </c>
      <c r="H134" s="3079">
        <f t="shared" ca="1" si="16"/>
        <v>0</v>
      </c>
      <c r="I134" s="3081" t="s">
        <v>6799</v>
      </c>
      <c r="J134" s="3060"/>
      <c r="K134" s="3078">
        <f t="shared" si="13"/>
        <v>0</v>
      </c>
      <c r="L134" s="3059" t="s">
        <v>6795</v>
      </c>
      <c r="M134" s="3081" t="s">
        <v>6799</v>
      </c>
      <c r="N134" s="3060"/>
      <c r="O134" s="3087"/>
      <c r="P134" s="3088"/>
      <c r="Q134" s="3088"/>
      <c r="R134" s="3088"/>
      <c r="S134" s="3089" t="s">
        <v>295</v>
      </c>
      <c r="T134" s="3089" t="s">
        <v>213</v>
      </c>
      <c r="U134" s="3090"/>
      <c r="V134" s="3090" t="s">
        <v>295</v>
      </c>
      <c r="W134" s="3090" t="s">
        <v>145</v>
      </c>
      <c r="X134" s="3090" t="s">
        <v>6796</v>
      </c>
      <c r="Y134" s="3091" t="s">
        <v>119</v>
      </c>
    </row>
    <row r="135" spans="1:25" ht="24" hidden="1">
      <c r="A135" s="1304"/>
      <c r="B135" s="643">
        <v>1508</v>
      </c>
      <c r="C135" s="643" t="s">
        <v>894</v>
      </c>
      <c r="D135" s="3075">
        <v>2</v>
      </c>
      <c r="E135" s="3076" t="str">
        <f t="shared" si="8"/>
        <v>其他债权投资</v>
      </c>
      <c r="F135" s="3077" t="s">
        <v>895</v>
      </c>
      <c r="G135" s="3078">
        <f t="shared" si="9"/>
        <v>0</v>
      </c>
      <c r="H135" s="3079">
        <f t="shared" ca="1" si="16"/>
        <v>0</v>
      </c>
      <c r="I135" s="3081" t="s">
        <v>6799</v>
      </c>
      <c r="J135" s="3060"/>
      <c r="K135" s="3078">
        <f t="shared" si="13"/>
        <v>0</v>
      </c>
      <c r="L135" s="3059" t="s">
        <v>6795</v>
      </c>
      <c r="M135" s="3081" t="s">
        <v>6799</v>
      </c>
      <c r="N135" s="3060"/>
      <c r="O135" s="3087"/>
      <c r="P135" s="3088"/>
      <c r="Q135" s="3088"/>
      <c r="R135" s="3088"/>
      <c r="S135" s="3089" t="s">
        <v>295</v>
      </c>
      <c r="T135" s="3089" t="s">
        <v>213</v>
      </c>
      <c r="U135" s="3090"/>
      <c r="V135" s="3090" t="s">
        <v>295</v>
      </c>
      <c r="W135" s="3090" t="s">
        <v>145</v>
      </c>
      <c r="X135" s="3090" t="s">
        <v>6796</v>
      </c>
      <c r="Y135" s="3091" t="s">
        <v>119</v>
      </c>
    </row>
    <row r="136" spans="1:25" ht="24" hidden="1">
      <c r="A136" s="1304"/>
      <c r="B136" s="643">
        <v>1508</v>
      </c>
      <c r="C136" s="643" t="s">
        <v>898</v>
      </c>
      <c r="D136" s="3075">
        <v>2</v>
      </c>
      <c r="E136" s="3076" t="str">
        <f t="shared" si="8"/>
        <v>其他债权投资</v>
      </c>
      <c r="F136" s="3077" t="s">
        <v>881</v>
      </c>
      <c r="G136" s="3078">
        <f t="shared" si="9"/>
        <v>0</v>
      </c>
      <c r="H136" s="3079">
        <f t="shared" ca="1" si="16"/>
        <v>0</v>
      </c>
      <c r="I136" s="3081" t="s">
        <v>6799</v>
      </c>
      <c r="J136" s="3060"/>
      <c r="K136" s="3078">
        <f t="shared" si="13"/>
        <v>0</v>
      </c>
      <c r="L136" s="3059" t="s">
        <v>6795</v>
      </c>
      <c r="M136" s="3081" t="s">
        <v>6799</v>
      </c>
      <c r="N136" s="3060"/>
      <c r="O136" s="3087"/>
      <c r="P136" s="3088"/>
      <c r="Q136" s="3088"/>
      <c r="R136" s="3088"/>
      <c r="S136" s="3089" t="s">
        <v>295</v>
      </c>
      <c r="T136" s="3089" t="s">
        <v>213</v>
      </c>
      <c r="U136" s="3090"/>
      <c r="V136" s="3090" t="s">
        <v>295</v>
      </c>
      <c r="W136" s="3090" t="s">
        <v>145</v>
      </c>
      <c r="X136" s="3090" t="s">
        <v>6796</v>
      </c>
      <c r="Y136" s="3091" t="s">
        <v>119</v>
      </c>
    </row>
    <row r="137" spans="1:25" ht="36" hidden="1">
      <c r="A137" s="1304"/>
      <c r="B137" s="643">
        <v>1508</v>
      </c>
      <c r="C137" s="643" t="s">
        <v>880</v>
      </c>
      <c r="D137" s="3075">
        <v>2</v>
      </c>
      <c r="E137" s="3076" t="str">
        <f t="shared" ref="E137:E200" si="17">IF(ISERROR(VLOOKUP($B137,Sheet_Items,2,0)),"        ----",VLOOKUP($B137,Sheet_Items,2,0))</f>
        <v>其他债权投资</v>
      </c>
      <c r="F137" s="3077" t="s">
        <v>5960</v>
      </c>
      <c r="G137" s="3078">
        <f t="shared" ref="G137:G200" si="18">IF(ISERROR(VLOOKUP($B137,Sheet_Trialbal,6,0)),"        ----",VLOOKUP($B137,Sheet_Trialbal,6,0))</f>
        <v>0</v>
      </c>
      <c r="H137" s="3079">
        <f t="shared" ca="1" si="16"/>
        <v>0</v>
      </c>
      <c r="I137" s="3081" t="s">
        <v>6799</v>
      </c>
      <c r="J137" s="3060"/>
      <c r="K137" s="3078">
        <f t="shared" ref="K137:K157" si="19">IF(ISERROR(VLOOKUP($B137,Sheet_Trialbal,10,0)),"        ----",VLOOKUP($B137,Sheet_Trialbal,10,0))</f>
        <v>0</v>
      </c>
      <c r="L137" s="3059" t="s">
        <v>6795</v>
      </c>
      <c r="M137" s="3081" t="s">
        <v>6799</v>
      </c>
      <c r="N137" s="3060"/>
      <c r="O137" s="3087"/>
      <c r="P137" s="3088"/>
      <c r="Q137" s="3088"/>
      <c r="R137" s="3088"/>
      <c r="S137" s="3089" t="s">
        <v>295</v>
      </c>
      <c r="T137" s="3089" t="s">
        <v>213</v>
      </c>
      <c r="U137" s="3090"/>
      <c r="V137" s="3090" t="s">
        <v>295</v>
      </c>
      <c r="W137" s="3090" t="s">
        <v>145</v>
      </c>
      <c r="X137" s="3090" t="s">
        <v>6796</v>
      </c>
      <c r="Y137" s="3091" t="s">
        <v>119</v>
      </c>
    </row>
    <row r="138" spans="1:25" ht="18">
      <c r="A138" s="1304"/>
      <c r="B138" s="643">
        <v>1501</v>
      </c>
      <c r="C138" s="643" t="s">
        <v>902</v>
      </c>
      <c r="D138" s="3075">
        <v>1</v>
      </c>
      <c r="E138" s="3076" t="str">
        <f t="shared" si="17"/>
        <v>持有至到期投资</v>
      </c>
      <c r="F138" s="3077" t="s">
        <v>903</v>
      </c>
      <c r="G138" s="3078">
        <f t="shared" si="18"/>
        <v>0</v>
      </c>
      <c r="H138" s="3079">
        <f t="shared" ca="1" si="16"/>
        <v>0</v>
      </c>
      <c r="I138" s="3081">
        <f ca="1">IF(AND(LEN(G138)&gt;0,LEN(H138)&gt;0),ROUND(SUM(G138)-SUM(H138),2),"")</f>
        <v>0</v>
      </c>
      <c r="J138" s="3060" t="str">
        <f ca="1">IF(ISNA(I138),"N/A",IF(I138=0,"√","？"))</f>
        <v>√</v>
      </c>
      <c r="K138" s="3078">
        <f t="shared" si="19"/>
        <v>0</v>
      </c>
      <c r="L138" s="3059">
        <f ca="1">INDIRECT("Notes!CheckB"&amp;$C138)</f>
        <v>0</v>
      </c>
      <c r="M138" s="3081">
        <f ca="1">IF(AND(LEN(K138)&gt;0,LEN(L138)&gt;0),ROUND(SUM(K138)-SUM(L138),2),"")</f>
        <v>0</v>
      </c>
      <c r="N138" s="3060" t="str">
        <f ca="1">IF(ISNA(M138),"N/A",IF(M138=0,"√","？"))</f>
        <v>√</v>
      </c>
      <c r="O138" s="3087"/>
      <c r="P138" s="3088"/>
      <c r="Q138" s="3088"/>
      <c r="R138" s="3088"/>
      <c r="S138" s="3089" t="s">
        <v>295</v>
      </c>
      <c r="T138" s="3089" t="s">
        <v>213</v>
      </c>
      <c r="U138" s="3090"/>
      <c r="V138" s="3090" t="s">
        <v>295</v>
      </c>
      <c r="W138" s="3090" t="s">
        <v>6793</v>
      </c>
      <c r="X138" s="3090" t="s">
        <v>6794</v>
      </c>
      <c r="Y138" s="3091" t="s">
        <v>164</v>
      </c>
    </row>
    <row r="139" spans="1:25" ht="18" hidden="1">
      <c r="A139" s="1304"/>
      <c r="B139" s="643">
        <v>1501</v>
      </c>
      <c r="C139" s="643" t="s">
        <v>910</v>
      </c>
      <c r="D139" s="3075">
        <v>2</v>
      </c>
      <c r="E139" s="3076" t="str">
        <f t="shared" si="17"/>
        <v>持有至到期投资</v>
      </c>
      <c r="F139" s="3077" t="s">
        <v>911</v>
      </c>
      <c r="G139" s="3078">
        <f t="shared" si="18"/>
        <v>0</v>
      </c>
      <c r="H139" s="3079" t="s">
        <v>6795</v>
      </c>
      <c r="I139" s="3081" t="s">
        <v>6799</v>
      </c>
      <c r="J139" s="3060"/>
      <c r="K139" s="3078">
        <f t="shared" si="19"/>
        <v>0</v>
      </c>
      <c r="L139" s="3059" t="s">
        <v>6795</v>
      </c>
      <c r="M139" s="3081" t="s">
        <v>6799</v>
      </c>
      <c r="N139" s="3060"/>
      <c r="O139" s="3087"/>
      <c r="P139" s="3088"/>
      <c r="Q139" s="3088"/>
      <c r="R139" s="3088"/>
      <c r="S139" s="3089" t="s">
        <v>295</v>
      </c>
      <c r="T139" s="3089" t="s">
        <v>213</v>
      </c>
      <c r="U139" s="3090"/>
      <c r="V139" s="3090" t="s">
        <v>295</v>
      </c>
      <c r="W139" s="3090" t="s">
        <v>6793</v>
      </c>
      <c r="X139" s="3090" t="s">
        <v>6794</v>
      </c>
      <c r="Y139" s="3091" t="s">
        <v>164</v>
      </c>
    </row>
    <row r="140" spans="1:25" ht="24" hidden="1">
      <c r="A140" s="1304"/>
      <c r="B140" s="643">
        <v>1501</v>
      </c>
      <c r="C140" s="643" t="s">
        <v>917</v>
      </c>
      <c r="D140" s="3075">
        <v>2</v>
      </c>
      <c r="E140" s="3076" t="str">
        <f t="shared" si="17"/>
        <v>持有至到期投资</v>
      </c>
      <c r="F140" s="3077" t="s">
        <v>6440</v>
      </c>
      <c r="G140" s="3078">
        <f t="shared" si="18"/>
        <v>0</v>
      </c>
      <c r="H140" s="3079" t="s">
        <v>6795</v>
      </c>
      <c r="I140" s="3081" t="s">
        <v>6799</v>
      </c>
      <c r="J140" s="3060"/>
      <c r="K140" s="3078">
        <f t="shared" si="19"/>
        <v>0</v>
      </c>
      <c r="L140" s="3059" t="s">
        <v>6795</v>
      </c>
      <c r="M140" s="3081" t="s">
        <v>6799</v>
      </c>
      <c r="N140" s="3060"/>
      <c r="O140" s="3087"/>
      <c r="P140" s="3088"/>
      <c r="Q140" s="3088"/>
      <c r="R140" s="3088"/>
      <c r="S140" s="3089" t="s">
        <v>295</v>
      </c>
      <c r="T140" s="3089" t="s">
        <v>213</v>
      </c>
      <c r="U140" s="3090"/>
      <c r="V140" s="3090" t="s">
        <v>295</v>
      </c>
      <c r="W140" s="3090" t="s">
        <v>6798</v>
      </c>
      <c r="X140" s="3090" t="s">
        <v>213</v>
      </c>
      <c r="Y140" s="3091" t="s">
        <v>164</v>
      </c>
    </row>
    <row r="141" spans="1:25" ht="18" hidden="1">
      <c r="A141" s="1304"/>
      <c r="B141" s="643">
        <v>1501</v>
      </c>
      <c r="C141" s="643" t="s">
        <v>5587</v>
      </c>
      <c r="D141" s="3075">
        <v>2</v>
      </c>
      <c r="E141" s="3076" t="str">
        <f t="shared" si="17"/>
        <v>持有至到期投资</v>
      </c>
      <c r="F141" s="3077" t="s">
        <v>5588</v>
      </c>
      <c r="G141" s="3078">
        <f t="shared" si="18"/>
        <v>0</v>
      </c>
      <c r="H141" s="3079">
        <f t="shared" ref="H141:H147" ca="1" si="20">INDIRECT("Notes!CheckA"&amp;$C141)</f>
        <v>0</v>
      </c>
      <c r="I141" s="3081" t="s">
        <v>6799</v>
      </c>
      <c r="J141" s="3060"/>
      <c r="K141" s="3078">
        <f t="shared" si="19"/>
        <v>0</v>
      </c>
      <c r="L141" s="3059">
        <f ca="1">INDIRECT("Notes!CheckB"&amp;$C141)</f>
        <v>0</v>
      </c>
      <c r="M141" s="3081" t="s">
        <v>6799</v>
      </c>
      <c r="N141" s="3060"/>
      <c r="O141" s="3087"/>
      <c r="P141" s="3088"/>
      <c r="Q141" s="3088"/>
      <c r="R141" s="3088"/>
      <c r="S141" s="3089" t="s">
        <v>295</v>
      </c>
      <c r="T141" s="3089" t="s">
        <v>213</v>
      </c>
      <c r="U141" s="3090"/>
      <c r="V141" s="3090" t="s">
        <v>295</v>
      </c>
      <c r="W141" s="3090" t="s">
        <v>6798</v>
      </c>
      <c r="X141" s="3090" t="s">
        <v>213</v>
      </c>
      <c r="Y141" s="3091" t="s">
        <v>164</v>
      </c>
    </row>
    <row r="142" spans="1:25" ht="18">
      <c r="A142" s="1304"/>
      <c r="B142" s="643">
        <v>1531</v>
      </c>
      <c r="C142" s="643" t="s">
        <v>923</v>
      </c>
      <c r="D142" s="3075">
        <v>1</v>
      </c>
      <c r="E142" s="3076" t="str">
        <f t="shared" si="17"/>
        <v>长期应收款</v>
      </c>
      <c r="F142" s="3077" t="s">
        <v>924</v>
      </c>
      <c r="G142" s="3078">
        <f t="shared" si="18"/>
        <v>0</v>
      </c>
      <c r="H142" s="3079">
        <f t="shared" ca="1" si="20"/>
        <v>0</v>
      </c>
      <c r="I142" s="3081">
        <f ca="1">IF(AND(LEN(G142)&gt;0,LEN(H142)&gt;0),ROUND(SUM(G142)-SUM(H142),2),"")</f>
        <v>0</v>
      </c>
      <c r="J142" s="3060" t="str">
        <f ca="1">IF(ISNA(I142),"N/A",IF(I142=0,"√","？"))</f>
        <v>√</v>
      </c>
      <c r="K142" s="3078">
        <f t="shared" si="19"/>
        <v>0</v>
      </c>
      <c r="L142" s="3059">
        <f ca="1">INDIRECT("Notes!CheckB"&amp;$C142)</f>
        <v>0</v>
      </c>
      <c r="M142" s="3081">
        <f ca="1">IF(AND(LEN(K142)&gt;0,LEN(L142)&gt;0),ROUND(SUM(K142)-SUM(L142),2),"")</f>
        <v>0</v>
      </c>
      <c r="N142" s="3060" t="str">
        <f ca="1">IF(ISNA(M142),"N/A",IF(M142=0,"√","？"))</f>
        <v>√</v>
      </c>
      <c r="O142" s="3087"/>
      <c r="P142" s="3088"/>
      <c r="Q142" s="3088"/>
      <c r="R142" s="3088"/>
      <c r="S142" s="3089" t="s">
        <v>295</v>
      </c>
      <c r="T142" s="3089" t="s">
        <v>213</v>
      </c>
      <c r="U142" s="3090"/>
      <c r="V142" s="3090" t="s">
        <v>295</v>
      </c>
      <c r="W142" s="3090" t="s">
        <v>6793</v>
      </c>
      <c r="X142" s="3090" t="s">
        <v>6794</v>
      </c>
      <c r="Y142" s="3091" t="s">
        <v>164</v>
      </c>
    </row>
    <row r="143" spans="1:25" ht="36" hidden="1">
      <c r="A143" s="1304"/>
      <c r="B143" s="643">
        <v>1531</v>
      </c>
      <c r="C143" s="643" t="s">
        <v>5919</v>
      </c>
      <c r="D143" s="3075">
        <v>2</v>
      </c>
      <c r="E143" s="3076" t="str">
        <f t="shared" si="17"/>
        <v>长期应收款</v>
      </c>
      <c r="F143" s="3077" t="s">
        <v>6441</v>
      </c>
      <c r="G143" s="3078">
        <f t="shared" si="18"/>
        <v>0</v>
      </c>
      <c r="H143" s="3079">
        <f t="shared" ca="1" si="20"/>
        <v>0</v>
      </c>
      <c r="I143" s="3081" t="s">
        <v>6799</v>
      </c>
      <c r="J143" s="3060"/>
      <c r="K143" s="3078">
        <f t="shared" si="19"/>
        <v>0</v>
      </c>
      <c r="L143" s="3059" t="s">
        <v>6795</v>
      </c>
      <c r="M143" s="3081" t="s">
        <v>6799</v>
      </c>
      <c r="N143" s="3060"/>
      <c r="O143" s="3087"/>
      <c r="P143" s="3088"/>
      <c r="Q143" s="3088"/>
      <c r="R143" s="3088"/>
      <c r="S143" s="3089" t="s">
        <v>295</v>
      </c>
      <c r="T143" s="3089" t="s">
        <v>213</v>
      </c>
      <c r="U143" s="3090"/>
      <c r="V143" s="3090" t="s">
        <v>295</v>
      </c>
      <c r="W143" s="3090" t="s">
        <v>145</v>
      </c>
      <c r="X143" s="3090" t="s">
        <v>6796</v>
      </c>
      <c r="Y143" s="3091" t="s">
        <v>119</v>
      </c>
    </row>
    <row r="144" spans="1:25" ht="36" hidden="1">
      <c r="A144" s="1304"/>
      <c r="B144" s="643">
        <v>1531</v>
      </c>
      <c r="C144" s="643" t="s">
        <v>928</v>
      </c>
      <c r="D144" s="3075">
        <v>2</v>
      </c>
      <c r="E144" s="3076" t="str">
        <f t="shared" si="17"/>
        <v>长期应收款</v>
      </c>
      <c r="F144" s="3077" t="s">
        <v>5953</v>
      </c>
      <c r="G144" s="3078">
        <f t="shared" si="18"/>
        <v>0</v>
      </c>
      <c r="H144" s="3079">
        <f t="shared" ca="1" si="20"/>
        <v>0</v>
      </c>
      <c r="I144" s="3081" t="s">
        <v>6799</v>
      </c>
      <c r="J144" s="3060"/>
      <c r="K144" s="3078">
        <f t="shared" si="19"/>
        <v>0</v>
      </c>
      <c r="L144" s="3059" t="s">
        <v>6795</v>
      </c>
      <c r="M144" s="3081" t="s">
        <v>6799</v>
      </c>
      <c r="N144" s="3060"/>
      <c r="O144" s="3087"/>
      <c r="P144" s="3088"/>
      <c r="Q144" s="3088"/>
      <c r="R144" s="3088"/>
      <c r="S144" s="3089" t="s">
        <v>295</v>
      </c>
      <c r="T144" s="3089" t="s">
        <v>213</v>
      </c>
      <c r="U144" s="3090"/>
      <c r="V144" s="3090" t="s">
        <v>295</v>
      </c>
      <c r="W144" s="3090" t="s">
        <v>145</v>
      </c>
      <c r="X144" s="3090" t="s">
        <v>6796</v>
      </c>
      <c r="Y144" s="3091" t="s">
        <v>119</v>
      </c>
    </row>
    <row r="145" spans="1:25" ht="36" hidden="1">
      <c r="A145" s="1304"/>
      <c r="B145" s="643">
        <v>1531</v>
      </c>
      <c r="C145" s="643" t="s">
        <v>931</v>
      </c>
      <c r="D145" s="3075">
        <v>2</v>
      </c>
      <c r="E145" s="3076" t="str">
        <f t="shared" si="17"/>
        <v>长期应收款</v>
      </c>
      <c r="F145" s="3077" t="s">
        <v>5954</v>
      </c>
      <c r="G145" s="3078">
        <f t="shared" si="18"/>
        <v>0</v>
      </c>
      <c r="H145" s="3079">
        <f t="shared" ca="1" si="20"/>
        <v>0</v>
      </c>
      <c r="I145" s="3081" t="s">
        <v>6799</v>
      </c>
      <c r="J145" s="3060"/>
      <c r="K145" s="3078">
        <f t="shared" si="19"/>
        <v>0</v>
      </c>
      <c r="L145" s="3059" t="s">
        <v>6795</v>
      </c>
      <c r="M145" s="3081" t="s">
        <v>6799</v>
      </c>
      <c r="N145" s="3060"/>
      <c r="O145" s="3087"/>
      <c r="P145" s="3088"/>
      <c r="Q145" s="3088"/>
      <c r="R145" s="3088"/>
      <c r="S145" s="3089" t="s">
        <v>295</v>
      </c>
      <c r="T145" s="3089" t="s">
        <v>213</v>
      </c>
      <c r="U145" s="3090"/>
      <c r="V145" s="3090" t="s">
        <v>295</v>
      </c>
      <c r="W145" s="3090" t="s">
        <v>145</v>
      </c>
      <c r="X145" s="3090" t="s">
        <v>6796</v>
      </c>
      <c r="Y145" s="3091" t="s">
        <v>119</v>
      </c>
    </row>
    <row r="146" spans="1:25" ht="36" hidden="1">
      <c r="A146" s="1304"/>
      <c r="B146" s="643">
        <v>1531</v>
      </c>
      <c r="C146" s="643" t="s">
        <v>934</v>
      </c>
      <c r="D146" s="3075">
        <v>2</v>
      </c>
      <c r="E146" s="3076" t="str">
        <f t="shared" si="17"/>
        <v>长期应收款</v>
      </c>
      <c r="F146" s="3077" t="s">
        <v>5955</v>
      </c>
      <c r="G146" s="3078">
        <f t="shared" si="18"/>
        <v>0</v>
      </c>
      <c r="H146" s="3079">
        <f t="shared" ca="1" si="20"/>
        <v>0</v>
      </c>
      <c r="I146" s="3081" t="s">
        <v>6799</v>
      </c>
      <c r="J146" s="3060"/>
      <c r="K146" s="3078">
        <f t="shared" si="19"/>
        <v>0</v>
      </c>
      <c r="L146" s="3059" t="s">
        <v>6795</v>
      </c>
      <c r="M146" s="3081" t="s">
        <v>6799</v>
      </c>
      <c r="N146" s="3060"/>
      <c r="O146" s="3087"/>
      <c r="P146" s="3088"/>
      <c r="Q146" s="3088"/>
      <c r="R146" s="3088"/>
      <c r="S146" s="3089" t="s">
        <v>295</v>
      </c>
      <c r="T146" s="3089" t="s">
        <v>213</v>
      </c>
      <c r="U146" s="3090"/>
      <c r="V146" s="3090" t="s">
        <v>295</v>
      </c>
      <c r="W146" s="3090" t="s">
        <v>145</v>
      </c>
      <c r="X146" s="3090" t="s">
        <v>6796</v>
      </c>
      <c r="Y146" s="3091" t="s">
        <v>119</v>
      </c>
    </row>
    <row r="147" spans="1:25" ht="36" hidden="1">
      <c r="A147" s="1304"/>
      <c r="B147" s="643">
        <v>1531</v>
      </c>
      <c r="C147" s="643" t="s">
        <v>946</v>
      </c>
      <c r="D147" s="3075">
        <v>2</v>
      </c>
      <c r="E147" s="3076" t="str">
        <f t="shared" si="17"/>
        <v>长期应收款</v>
      </c>
      <c r="F147" s="3077" t="s">
        <v>6442</v>
      </c>
      <c r="G147" s="3078">
        <f t="shared" si="18"/>
        <v>0</v>
      </c>
      <c r="H147" s="3079">
        <f t="shared" ca="1" si="20"/>
        <v>0</v>
      </c>
      <c r="I147" s="3081" t="s">
        <v>6799</v>
      </c>
      <c r="J147" s="3060"/>
      <c r="K147" s="3078">
        <f t="shared" si="19"/>
        <v>0</v>
      </c>
      <c r="L147" s="3059">
        <f ca="1">INDIRECT("Notes!CheckB"&amp;$C147)</f>
        <v>0</v>
      </c>
      <c r="M147" s="3081" t="s">
        <v>6799</v>
      </c>
      <c r="N147" s="3060"/>
      <c r="O147" s="3087"/>
      <c r="P147" s="3088"/>
      <c r="Q147" s="3088"/>
      <c r="R147" s="3088"/>
      <c r="S147" s="3089" t="s">
        <v>295</v>
      </c>
      <c r="T147" s="3089" t="s">
        <v>213</v>
      </c>
      <c r="U147" s="3090"/>
      <c r="V147" s="3090" t="s">
        <v>295</v>
      </c>
      <c r="W147" s="3090" t="s">
        <v>145</v>
      </c>
      <c r="X147" s="3090" t="s">
        <v>6796</v>
      </c>
      <c r="Y147" s="3091" t="s">
        <v>119</v>
      </c>
    </row>
    <row r="148" spans="1:25" ht="48" hidden="1">
      <c r="A148" s="1304"/>
      <c r="B148" s="643">
        <v>1531</v>
      </c>
      <c r="C148" s="643" t="s">
        <v>949</v>
      </c>
      <c r="D148" s="3075">
        <v>2</v>
      </c>
      <c r="E148" s="3076" t="str">
        <f t="shared" si="17"/>
        <v>长期应收款</v>
      </c>
      <c r="F148" s="3077" t="s">
        <v>5956</v>
      </c>
      <c r="G148" s="3078">
        <f t="shared" si="18"/>
        <v>0</v>
      </c>
      <c r="H148" s="3079" t="s">
        <v>6795</v>
      </c>
      <c r="I148" s="3081" t="s">
        <v>6799</v>
      </c>
      <c r="J148" s="3060"/>
      <c r="K148" s="3078">
        <f t="shared" si="19"/>
        <v>0</v>
      </c>
      <c r="L148" s="3059">
        <f ca="1">INDIRECT("Notes!CheckB"&amp;$C148)</f>
        <v>0</v>
      </c>
      <c r="M148" s="3081" t="s">
        <v>6799</v>
      </c>
      <c r="N148" s="3060"/>
      <c r="O148" s="3087"/>
      <c r="P148" s="3088"/>
      <c r="Q148" s="3088"/>
      <c r="R148" s="3088"/>
      <c r="S148" s="3089" t="s">
        <v>295</v>
      </c>
      <c r="T148" s="3089" t="s">
        <v>213</v>
      </c>
      <c r="U148" s="3090"/>
      <c r="V148" s="3090" t="s">
        <v>295</v>
      </c>
      <c r="W148" s="3090" t="s">
        <v>145</v>
      </c>
      <c r="X148" s="3090" t="s">
        <v>6796</v>
      </c>
      <c r="Y148" s="3091" t="s">
        <v>119</v>
      </c>
    </row>
    <row r="149" spans="1:25" ht="36" hidden="1">
      <c r="A149" s="1304"/>
      <c r="B149" s="643">
        <v>1531</v>
      </c>
      <c r="C149" s="643" t="s">
        <v>939</v>
      </c>
      <c r="D149" s="3075">
        <v>2</v>
      </c>
      <c r="E149" s="3076" t="str">
        <f t="shared" si="17"/>
        <v>长期应收款</v>
      </c>
      <c r="F149" s="3077" t="s">
        <v>5957</v>
      </c>
      <c r="G149" s="3078">
        <f t="shared" si="18"/>
        <v>0</v>
      </c>
      <c r="H149" s="3079">
        <f t="shared" ref="H149:H165" ca="1" si="21">INDIRECT("Notes!CheckA"&amp;$C149)</f>
        <v>0</v>
      </c>
      <c r="I149" s="3081" t="s">
        <v>6799</v>
      </c>
      <c r="J149" s="3060"/>
      <c r="K149" s="3078">
        <f t="shared" si="19"/>
        <v>0</v>
      </c>
      <c r="L149" s="3059" t="s">
        <v>6795</v>
      </c>
      <c r="M149" s="3081" t="s">
        <v>6799</v>
      </c>
      <c r="N149" s="3060"/>
      <c r="O149" s="3087"/>
      <c r="P149" s="3088"/>
      <c r="Q149" s="3088"/>
      <c r="R149" s="3088"/>
      <c r="S149" s="3089" t="s">
        <v>295</v>
      </c>
      <c r="T149" s="3089" t="s">
        <v>213</v>
      </c>
      <c r="U149" s="3090"/>
      <c r="V149" s="3090" t="s">
        <v>295</v>
      </c>
      <c r="W149" s="3090" t="s">
        <v>145</v>
      </c>
      <c r="X149" s="3090" t="s">
        <v>213</v>
      </c>
      <c r="Y149" s="3091" t="s">
        <v>119</v>
      </c>
    </row>
    <row r="150" spans="1:25" ht="24" hidden="1">
      <c r="A150" s="1304"/>
      <c r="B150" s="643">
        <v>1531</v>
      </c>
      <c r="C150" s="643" t="s">
        <v>954</v>
      </c>
      <c r="D150" s="3075">
        <v>2</v>
      </c>
      <c r="E150" s="3076" t="str">
        <f t="shared" si="17"/>
        <v>长期应收款</v>
      </c>
      <c r="F150" s="3077" t="s">
        <v>5958</v>
      </c>
      <c r="G150" s="3078">
        <f t="shared" si="18"/>
        <v>0</v>
      </c>
      <c r="H150" s="3079">
        <f t="shared" ca="1" si="21"/>
        <v>0</v>
      </c>
      <c r="I150" s="3081" t="s">
        <v>6799</v>
      </c>
      <c r="J150" s="3060"/>
      <c r="K150" s="3078">
        <f t="shared" si="19"/>
        <v>0</v>
      </c>
      <c r="L150" s="3059">
        <f ca="1">INDIRECT("Notes!CheckB"&amp;$C150)</f>
        <v>0</v>
      </c>
      <c r="M150" s="3081" t="s">
        <v>6799</v>
      </c>
      <c r="N150" s="3060"/>
      <c r="O150" s="3087"/>
      <c r="P150" s="3088"/>
      <c r="Q150" s="3088"/>
      <c r="R150" s="3088"/>
      <c r="S150" s="3089" t="s">
        <v>295</v>
      </c>
      <c r="T150" s="3089" t="s">
        <v>213</v>
      </c>
      <c r="U150" s="3090"/>
      <c r="V150" s="3090" t="s">
        <v>295</v>
      </c>
      <c r="W150" s="3090" t="s">
        <v>145</v>
      </c>
      <c r="X150" s="3090" t="s">
        <v>6796</v>
      </c>
      <c r="Y150" s="3091" t="s">
        <v>119</v>
      </c>
    </row>
    <row r="151" spans="1:25" ht="24" hidden="1">
      <c r="A151" s="1304"/>
      <c r="B151" s="643">
        <v>1531</v>
      </c>
      <c r="C151" s="643" t="s">
        <v>951</v>
      </c>
      <c r="D151" s="3075">
        <v>2</v>
      </c>
      <c r="E151" s="3076" t="str">
        <f t="shared" si="17"/>
        <v>长期应收款</v>
      </c>
      <c r="F151" s="3077" t="s">
        <v>5959</v>
      </c>
      <c r="G151" s="3078">
        <f t="shared" si="18"/>
        <v>0</v>
      </c>
      <c r="H151" s="3079">
        <f t="shared" ca="1" si="21"/>
        <v>0</v>
      </c>
      <c r="I151" s="3081" t="s">
        <v>6799</v>
      </c>
      <c r="J151" s="3060"/>
      <c r="K151" s="3078">
        <f t="shared" si="19"/>
        <v>0</v>
      </c>
      <c r="L151" s="3059" t="s">
        <v>6795</v>
      </c>
      <c r="M151" s="3081" t="s">
        <v>6799</v>
      </c>
      <c r="N151" s="3060"/>
      <c r="O151" s="3087"/>
      <c r="P151" s="3088"/>
      <c r="Q151" s="3088"/>
      <c r="R151" s="3088"/>
      <c r="S151" s="3089" t="s">
        <v>295</v>
      </c>
      <c r="T151" s="3089" t="s">
        <v>213</v>
      </c>
      <c r="U151" s="3090"/>
      <c r="V151" s="3090" t="s">
        <v>295</v>
      </c>
      <c r="W151" s="3090" t="s">
        <v>145</v>
      </c>
      <c r="X151" s="3090" t="s">
        <v>6796</v>
      </c>
      <c r="Y151" s="3091" t="s">
        <v>119</v>
      </c>
    </row>
    <row r="152" spans="1:25" ht="24" hidden="1">
      <c r="A152" s="1304"/>
      <c r="B152" s="643">
        <v>1531</v>
      </c>
      <c r="C152" s="643" t="s">
        <v>973</v>
      </c>
      <c r="D152" s="3075">
        <v>2</v>
      </c>
      <c r="E152" s="3076" t="str">
        <f t="shared" si="17"/>
        <v>长期应收款</v>
      </c>
      <c r="F152" s="3077" t="s">
        <v>956</v>
      </c>
      <c r="G152" s="3078">
        <f t="shared" si="18"/>
        <v>0</v>
      </c>
      <c r="H152" s="3079">
        <f t="shared" ca="1" si="21"/>
        <v>0</v>
      </c>
      <c r="I152" s="3081" t="s">
        <v>6799</v>
      </c>
      <c r="J152" s="3060"/>
      <c r="K152" s="3078">
        <f t="shared" si="19"/>
        <v>0</v>
      </c>
      <c r="L152" s="3059" t="s">
        <v>6795</v>
      </c>
      <c r="M152" s="3081" t="s">
        <v>6799</v>
      </c>
      <c r="N152" s="3060"/>
      <c r="O152" s="3087"/>
      <c r="P152" s="3088"/>
      <c r="Q152" s="3088"/>
      <c r="R152" s="3088"/>
      <c r="S152" s="3089" t="s">
        <v>295</v>
      </c>
      <c r="T152" s="3089" t="s">
        <v>213</v>
      </c>
      <c r="U152" s="3090"/>
      <c r="V152" s="3090" t="s">
        <v>295</v>
      </c>
      <c r="W152" s="3090" t="s">
        <v>6793</v>
      </c>
      <c r="X152" s="3090" t="s">
        <v>6794</v>
      </c>
      <c r="Y152" s="3091" t="s">
        <v>164</v>
      </c>
    </row>
    <row r="153" spans="1:25" ht="36" hidden="1">
      <c r="A153" s="1304"/>
      <c r="B153" s="643">
        <v>1531</v>
      </c>
      <c r="C153" s="643" t="s">
        <v>959</v>
      </c>
      <c r="D153" s="3075">
        <v>2</v>
      </c>
      <c r="E153" s="3076" t="str">
        <f t="shared" si="17"/>
        <v>长期应收款</v>
      </c>
      <c r="F153" s="3077" t="s">
        <v>960</v>
      </c>
      <c r="G153" s="3078">
        <f t="shared" si="18"/>
        <v>0</v>
      </c>
      <c r="H153" s="3079">
        <f t="shared" ca="1" si="21"/>
        <v>0</v>
      </c>
      <c r="I153" s="3081" t="s">
        <v>6799</v>
      </c>
      <c r="J153" s="3060"/>
      <c r="K153" s="3078">
        <f t="shared" si="19"/>
        <v>0</v>
      </c>
      <c r="L153" s="3059" t="s">
        <v>6795</v>
      </c>
      <c r="M153" s="3081" t="s">
        <v>6799</v>
      </c>
      <c r="N153" s="3060"/>
      <c r="O153" s="3087"/>
      <c r="P153" s="3088"/>
      <c r="Q153" s="3088"/>
      <c r="R153" s="3088"/>
      <c r="S153" s="3089" t="s">
        <v>295</v>
      </c>
      <c r="T153" s="3089" t="s">
        <v>213</v>
      </c>
      <c r="U153" s="3090"/>
      <c r="V153" s="3090" t="s">
        <v>295</v>
      </c>
      <c r="W153" s="3090" t="s">
        <v>6793</v>
      </c>
      <c r="X153" s="3090" t="s">
        <v>6794</v>
      </c>
      <c r="Y153" s="3091" t="s">
        <v>164</v>
      </c>
    </row>
    <row r="154" spans="1:25" ht="24" hidden="1">
      <c r="A154" s="1304"/>
      <c r="B154" s="643">
        <v>1531</v>
      </c>
      <c r="C154" s="643" t="s">
        <v>969</v>
      </c>
      <c r="D154" s="3075">
        <v>2</v>
      </c>
      <c r="E154" s="3076" t="str">
        <f t="shared" si="17"/>
        <v>长期应收款</v>
      </c>
      <c r="F154" s="3077" t="s">
        <v>6444</v>
      </c>
      <c r="G154" s="3078">
        <f t="shared" si="18"/>
        <v>0</v>
      </c>
      <c r="H154" s="3079">
        <f t="shared" ca="1" si="21"/>
        <v>0</v>
      </c>
      <c r="I154" s="3081" t="s">
        <v>6799</v>
      </c>
      <c r="J154" s="3060"/>
      <c r="K154" s="3078">
        <f t="shared" si="19"/>
        <v>0</v>
      </c>
      <c r="L154" s="3059">
        <f ca="1">INDIRECT("Notes!CheckB"&amp;$C154)</f>
        <v>0</v>
      </c>
      <c r="M154" s="3081" t="s">
        <v>6799</v>
      </c>
      <c r="N154" s="3060"/>
      <c r="O154" s="3087"/>
      <c r="P154" s="3088"/>
      <c r="Q154" s="3088"/>
      <c r="R154" s="3088"/>
      <c r="S154" s="3089" t="s">
        <v>295</v>
      </c>
      <c r="T154" s="3089" t="s">
        <v>213</v>
      </c>
      <c r="U154" s="3090"/>
      <c r="V154" s="3090" t="s">
        <v>295</v>
      </c>
      <c r="W154" s="3090" t="s">
        <v>6793</v>
      </c>
      <c r="X154" s="3090" t="s">
        <v>213</v>
      </c>
      <c r="Y154" s="3091" t="s">
        <v>164</v>
      </c>
    </row>
    <row r="155" spans="1:25" ht="18" hidden="1">
      <c r="A155" s="1304"/>
      <c r="B155" s="643">
        <v>1531</v>
      </c>
      <c r="C155" s="643" t="s">
        <v>977</v>
      </c>
      <c r="D155" s="3075">
        <v>2</v>
      </c>
      <c r="E155" s="3076" t="str">
        <f t="shared" si="17"/>
        <v>长期应收款</v>
      </c>
      <c r="F155" s="3077" t="s">
        <v>978</v>
      </c>
      <c r="G155" s="3078">
        <f t="shared" si="18"/>
        <v>0</v>
      </c>
      <c r="H155" s="3079">
        <f t="shared" ca="1" si="21"/>
        <v>0</v>
      </c>
      <c r="I155" s="3081" t="s">
        <v>6799</v>
      </c>
      <c r="J155" s="3060"/>
      <c r="K155" s="3078">
        <f t="shared" si="19"/>
        <v>0</v>
      </c>
      <c r="L155" s="3059" t="s">
        <v>6795</v>
      </c>
      <c r="M155" s="3081" t="s">
        <v>6799</v>
      </c>
      <c r="N155" s="3060"/>
      <c r="O155" s="3087"/>
      <c r="P155" s="3088"/>
      <c r="Q155" s="3088"/>
      <c r="R155" s="3088"/>
      <c r="S155" s="3089" t="s">
        <v>295</v>
      </c>
      <c r="T155" s="3089" t="s">
        <v>213</v>
      </c>
      <c r="U155" s="3090"/>
      <c r="V155" s="3090" t="s">
        <v>295</v>
      </c>
      <c r="W155" s="3090" t="s">
        <v>6793</v>
      </c>
      <c r="X155" s="3090" t="s">
        <v>213</v>
      </c>
      <c r="Y155" s="3091" t="s">
        <v>164</v>
      </c>
    </row>
    <row r="156" spans="1:25" ht="18">
      <c r="A156" s="1304"/>
      <c r="B156" s="643">
        <v>1511</v>
      </c>
      <c r="C156" s="643" t="s">
        <v>5621</v>
      </c>
      <c r="D156" s="3075">
        <v>1</v>
      </c>
      <c r="E156" s="3076" t="str">
        <f t="shared" si="17"/>
        <v>长期股权投资</v>
      </c>
      <c r="F156" s="3077" t="s">
        <v>5623</v>
      </c>
      <c r="G156" s="3078">
        <f t="shared" si="18"/>
        <v>0</v>
      </c>
      <c r="H156" s="3079">
        <f t="shared" ca="1" si="21"/>
        <v>0</v>
      </c>
      <c r="I156" s="3081">
        <f ca="1">IF(AND(LEN(G156)&gt;0,LEN(H156)&gt;0),ROUND(SUM(G156)-SUM(H156),2),"")</f>
        <v>0</v>
      </c>
      <c r="J156" s="3060" t="str">
        <f ca="1">IF(ISNA(I156),"N/A",IF(I156=0,"√","？"))</f>
        <v>√</v>
      </c>
      <c r="K156" s="3078">
        <f t="shared" si="19"/>
        <v>445619464.50999999</v>
      </c>
      <c r="L156" s="3059">
        <f ca="1">INDIRECT("Notes!CheckB"&amp;$C156)</f>
        <v>0</v>
      </c>
      <c r="M156" s="3081">
        <f ca="1">IF(AND(LEN(K156)&gt;0,LEN(L156)&gt;0),ROUND(SUM(K156)-SUM(L156),2),"")</f>
        <v>445619464.50999999</v>
      </c>
      <c r="N156" s="3060" t="str">
        <f ca="1">IF(ISNA(M156),"N/A",IF(M156=0,"√","？"))</f>
        <v>？</v>
      </c>
      <c r="O156" s="3087"/>
      <c r="P156" s="3088"/>
      <c r="Q156" s="3088"/>
      <c r="R156" s="3088"/>
      <c r="S156" s="3089" t="s">
        <v>295</v>
      </c>
      <c r="T156" s="3089" t="s">
        <v>213</v>
      </c>
      <c r="U156" s="3090"/>
      <c r="V156" s="3090" t="s">
        <v>295</v>
      </c>
      <c r="W156" s="3090" t="s">
        <v>6793</v>
      </c>
      <c r="X156" s="3090" t="s">
        <v>213</v>
      </c>
      <c r="Y156" s="3091" t="s">
        <v>164</v>
      </c>
    </row>
    <row r="157" spans="1:25" ht="24" hidden="1">
      <c r="A157" s="1304"/>
      <c r="B157" s="643">
        <v>1511</v>
      </c>
      <c r="C157" s="643" t="s">
        <v>5622</v>
      </c>
      <c r="D157" s="3075">
        <v>2</v>
      </c>
      <c r="E157" s="3076" t="str">
        <f t="shared" si="17"/>
        <v>长期股权投资</v>
      </c>
      <c r="F157" s="3077" t="s">
        <v>5624</v>
      </c>
      <c r="G157" s="3078">
        <f t="shared" si="18"/>
        <v>0</v>
      </c>
      <c r="H157" s="3079">
        <f t="shared" ca="1" si="21"/>
        <v>0</v>
      </c>
      <c r="I157" s="3081" t="s">
        <v>6799</v>
      </c>
      <c r="J157" s="3060"/>
      <c r="K157" s="3078">
        <f t="shared" si="19"/>
        <v>445619464.50999999</v>
      </c>
      <c r="L157" s="3059">
        <f ca="1">INDIRECT("Notes!CheckB"&amp;$C157)</f>
        <v>0</v>
      </c>
      <c r="M157" s="3081" t="s">
        <v>6799</v>
      </c>
      <c r="N157" s="3060"/>
      <c r="O157" s="3087"/>
      <c r="P157" s="3088"/>
      <c r="Q157" s="3088"/>
      <c r="R157" s="3088"/>
      <c r="S157" s="3089" t="s">
        <v>295</v>
      </c>
      <c r="T157" s="3089" t="s">
        <v>213</v>
      </c>
      <c r="U157" s="3090"/>
      <c r="V157" s="3090" t="s">
        <v>295</v>
      </c>
      <c r="W157" s="3090" t="s">
        <v>6793</v>
      </c>
      <c r="X157" s="3090" t="s">
        <v>213</v>
      </c>
      <c r="Y157" s="3091" t="s">
        <v>164</v>
      </c>
    </row>
    <row r="158" spans="1:25" ht="24" hidden="1">
      <c r="A158" s="1304"/>
      <c r="B158" s="643">
        <v>1511</v>
      </c>
      <c r="C158" s="643" t="s">
        <v>982</v>
      </c>
      <c r="D158" s="3075">
        <v>2</v>
      </c>
      <c r="E158" s="3076" t="str">
        <f t="shared" si="17"/>
        <v>长期股权投资</v>
      </c>
      <c r="F158" s="3077" t="s">
        <v>6445</v>
      </c>
      <c r="G158" s="3078">
        <f t="shared" si="18"/>
        <v>0</v>
      </c>
      <c r="H158" s="3079">
        <f t="shared" ca="1" si="21"/>
        <v>0</v>
      </c>
      <c r="I158" s="3081" t="s">
        <v>6799</v>
      </c>
      <c r="J158" s="3060"/>
      <c r="K158" s="3078"/>
      <c r="L158" s="3059"/>
      <c r="M158" s="3081" t="s">
        <v>6799</v>
      </c>
      <c r="N158" s="3060"/>
      <c r="O158" s="3087"/>
      <c r="P158" s="3088"/>
      <c r="Q158" s="3088"/>
      <c r="R158" s="3088"/>
      <c r="S158" s="3089" t="s">
        <v>295</v>
      </c>
      <c r="T158" s="3089" t="s">
        <v>213</v>
      </c>
      <c r="U158" s="3090"/>
      <c r="V158" s="3090" t="s">
        <v>295</v>
      </c>
      <c r="W158" s="3090" t="s">
        <v>6793</v>
      </c>
      <c r="X158" s="3090" t="s">
        <v>6794</v>
      </c>
      <c r="Y158" s="3091" t="s">
        <v>164</v>
      </c>
    </row>
    <row r="159" spans="1:25" ht="18">
      <c r="A159" s="1304"/>
      <c r="B159" s="643">
        <v>1538</v>
      </c>
      <c r="C159" s="643" t="s">
        <v>993</v>
      </c>
      <c r="D159" s="3075">
        <v>1</v>
      </c>
      <c r="E159" s="3076" t="str">
        <f t="shared" si="17"/>
        <v>其他权益工具投资</v>
      </c>
      <c r="F159" s="3077" t="s">
        <v>994</v>
      </c>
      <c r="G159" s="3078">
        <f t="shared" si="18"/>
        <v>0</v>
      </c>
      <c r="H159" s="3079">
        <f t="shared" ca="1" si="21"/>
        <v>0</v>
      </c>
      <c r="I159" s="3081">
        <f ca="1">IF(AND(LEN(G159)&gt;0,LEN(H159)&gt;0),ROUND(SUM(G159)-SUM(H159),2),"")</f>
        <v>0</v>
      </c>
      <c r="J159" s="3060" t="str">
        <f ca="1">IF(ISNA(I159),"N/A",IF(I159=0,"√","？"))</f>
        <v>√</v>
      </c>
      <c r="K159" s="3078">
        <f t="shared" ref="K159:K222" si="22">IF(ISERROR(VLOOKUP($B159,Sheet_Trialbal,10,0)),"        ----",VLOOKUP($B159,Sheet_Trialbal,10,0))</f>
        <v>0</v>
      </c>
      <c r="L159" s="3059">
        <f ca="1">INDIRECT("Notes!CheckB"&amp;$C159)</f>
        <v>0</v>
      </c>
      <c r="M159" s="3081">
        <f ca="1">IF(AND(LEN(K159)&gt;0,LEN(L159)&gt;0),ROUND(SUM(K159)-SUM(L159),2),"")</f>
        <v>0</v>
      </c>
      <c r="N159" s="3060" t="str">
        <f ca="1">IF(ISNA(M159),"N/A",IF(M159=0,"√","？"))</f>
        <v>√</v>
      </c>
      <c r="O159" s="3087"/>
      <c r="P159" s="3088"/>
      <c r="Q159" s="3088"/>
      <c r="R159" s="3088"/>
      <c r="S159" s="3089" t="s">
        <v>295</v>
      </c>
      <c r="T159" s="3089" t="s">
        <v>213</v>
      </c>
      <c r="U159" s="3090"/>
      <c r="V159" s="3090" t="s">
        <v>295</v>
      </c>
      <c r="W159" s="3090" t="s">
        <v>145</v>
      </c>
      <c r="X159" s="3090" t="s">
        <v>6796</v>
      </c>
      <c r="Y159" s="3091" t="s">
        <v>119</v>
      </c>
    </row>
    <row r="160" spans="1:25" ht="24" hidden="1">
      <c r="A160" s="1304"/>
      <c r="B160" s="643">
        <v>1538</v>
      </c>
      <c r="C160" s="643" t="s">
        <v>1000</v>
      </c>
      <c r="D160" s="3075">
        <v>2</v>
      </c>
      <c r="E160" s="3076" t="str">
        <f t="shared" si="17"/>
        <v>其他权益工具投资</v>
      </c>
      <c r="F160" s="3077" t="s">
        <v>1001</v>
      </c>
      <c r="G160" s="3078">
        <f t="shared" si="18"/>
        <v>0</v>
      </c>
      <c r="H160" s="3079">
        <f t="shared" ca="1" si="21"/>
        <v>0</v>
      </c>
      <c r="I160" s="3081" t="s">
        <v>6799</v>
      </c>
      <c r="J160" s="3060"/>
      <c r="K160" s="3078">
        <f t="shared" si="22"/>
        <v>0</v>
      </c>
      <c r="L160" s="3059" t="s">
        <v>6795</v>
      </c>
      <c r="M160" s="3081" t="s">
        <v>6799</v>
      </c>
      <c r="N160" s="3060"/>
      <c r="O160" s="3087"/>
      <c r="P160" s="3088"/>
      <c r="Q160" s="3088"/>
      <c r="R160" s="3088"/>
      <c r="S160" s="3089" t="s">
        <v>295</v>
      </c>
      <c r="T160" s="3089" t="s">
        <v>213</v>
      </c>
      <c r="U160" s="3090"/>
      <c r="V160" s="3090" t="s">
        <v>295</v>
      </c>
      <c r="W160" s="3090" t="s">
        <v>145</v>
      </c>
      <c r="X160" s="3090" t="s">
        <v>6796</v>
      </c>
      <c r="Y160" s="3091" t="s">
        <v>119</v>
      </c>
    </row>
    <row r="161" spans="1:25" ht="24">
      <c r="A161" s="1304"/>
      <c r="B161" s="643">
        <v>1539</v>
      </c>
      <c r="C161" s="643" t="s">
        <v>1006</v>
      </c>
      <c r="D161" s="3075">
        <v>1</v>
      </c>
      <c r="E161" s="3076" t="str">
        <f t="shared" si="17"/>
        <v>其他非流动金融资产</v>
      </c>
      <c r="F161" s="3077" t="s">
        <v>1007</v>
      </c>
      <c r="G161" s="3078">
        <f t="shared" si="18"/>
        <v>0</v>
      </c>
      <c r="H161" s="3079">
        <f t="shared" ca="1" si="21"/>
        <v>0</v>
      </c>
      <c r="I161" s="3081">
        <f ca="1">IF(AND(LEN(G161)&gt;0,LEN(H161)&gt;0),ROUND(SUM(G161)-SUM(H161),2),"")</f>
        <v>0</v>
      </c>
      <c r="J161" s="3060" t="str">
        <f ca="1">IF(ISNA(I161),"N/A",IF(I161=0,"√","？"))</f>
        <v>√</v>
      </c>
      <c r="K161" s="3078">
        <f t="shared" si="22"/>
        <v>0</v>
      </c>
      <c r="L161" s="3059">
        <f ca="1">INDIRECT("Notes!CheckB"&amp;$C161)</f>
        <v>0</v>
      </c>
      <c r="M161" s="3081">
        <f ca="1">IF(AND(LEN(K161)&gt;0,LEN(L161)&gt;0),ROUND(SUM(K161)-SUM(L161),2),"")</f>
        <v>0</v>
      </c>
      <c r="N161" s="3060" t="str">
        <f ca="1">IF(ISNA(M161),"N/A",IF(M161=0,"√","？"))</f>
        <v>√</v>
      </c>
      <c r="O161" s="3087"/>
      <c r="P161" s="3088"/>
      <c r="Q161" s="3088"/>
      <c r="R161" s="3088"/>
      <c r="S161" s="3089" t="s">
        <v>295</v>
      </c>
      <c r="T161" s="3089" t="s">
        <v>213</v>
      </c>
      <c r="U161" s="3090"/>
      <c r="V161" s="3090" t="s">
        <v>295</v>
      </c>
      <c r="W161" s="3090" t="s">
        <v>145</v>
      </c>
      <c r="X161" s="3090" t="s">
        <v>6796</v>
      </c>
      <c r="Y161" s="3091" t="s">
        <v>119</v>
      </c>
    </row>
    <row r="162" spans="1:25" ht="24" hidden="1">
      <c r="A162" s="1304"/>
      <c r="B162" s="643">
        <v>1539</v>
      </c>
      <c r="C162" s="643" t="s">
        <v>5617</v>
      </c>
      <c r="D162" s="3075">
        <v>2</v>
      </c>
      <c r="E162" s="3076" t="str">
        <f t="shared" si="17"/>
        <v>其他非流动金融资产</v>
      </c>
      <c r="F162" s="3077" t="s">
        <v>5619</v>
      </c>
      <c r="G162" s="3078">
        <f t="shared" si="18"/>
        <v>0</v>
      </c>
      <c r="H162" s="3079">
        <f t="shared" ca="1" si="21"/>
        <v>0</v>
      </c>
      <c r="I162" s="3081" t="s">
        <v>6799</v>
      </c>
      <c r="J162" s="3060"/>
      <c r="K162" s="3078">
        <f t="shared" si="22"/>
        <v>0</v>
      </c>
      <c r="L162" s="3059">
        <f ca="1">INDIRECT("Notes!CheckB"&amp;$C162)</f>
        <v>0</v>
      </c>
      <c r="M162" s="3081" t="s">
        <v>6799</v>
      </c>
      <c r="N162" s="3060"/>
      <c r="O162" s="3087"/>
      <c r="P162" s="3088"/>
      <c r="Q162" s="3088"/>
      <c r="R162" s="3088"/>
      <c r="S162" s="3089" t="s">
        <v>295</v>
      </c>
      <c r="T162" s="3089" t="s">
        <v>213</v>
      </c>
      <c r="U162" s="3090"/>
      <c r="V162" s="3090" t="s">
        <v>295</v>
      </c>
      <c r="W162" s="3090" t="s">
        <v>145</v>
      </c>
      <c r="X162" s="3090" t="s">
        <v>213</v>
      </c>
      <c r="Y162" s="3091" t="s">
        <v>119</v>
      </c>
    </row>
    <row r="163" spans="1:25" ht="24" hidden="1">
      <c r="A163" s="1304"/>
      <c r="B163" s="643">
        <v>1539</v>
      </c>
      <c r="C163" s="643" t="s">
        <v>5618</v>
      </c>
      <c r="D163" s="3075">
        <v>2</v>
      </c>
      <c r="E163" s="3076" t="str">
        <f t="shared" si="17"/>
        <v>其他非流动金融资产</v>
      </c>
      <c r="F163" s="3077" t="s">
        <v>5620</v>
      </c>
      <c r="G163" s="3078">
        <f t="shared" si="18"/>
        <v>0</v>
      </c>
      <c r="H163" s="3079">
        <f t="shared" ca="1" si="21"/>
        <v>0</v>
      </c>
      <c r="I163" s="3081" t="s">
        <v>6799</v>
      </c>
      <c r="J163" s="3060"/>
      <c r="K163" s="3078">
        <f t="shared" si="22"/>
        <v>0</v>
      </c>
      <c r="L163" s="3059">
        <f ca="1">INDIRECT("Notes!CheckB"&amp;$C163)</f>
        <v>0</v>
      </c>
      <c r="M163" s="3081" t="s">
        <v>6799</v>
      </c>
      <c r="N163" s="3060"/>
      <c r="O163" s="3087"/>
      <c r="P163" s="3088"/>
      <c r="Q163" s="3088"/>
      <c r="R163" s="3088"/>
      <c r="S163" s="3089" t="s">
        <v>295</v>
      </c>
      <c r="T163" s="3089" t="s">
        <v>213</v>
      </c>
      <c r="U163" s="3090"/>
      <c r="V163" s="3090" t="s">
        <v>295</v>
      </c>
      <c r="W163" s="3090" t="s">
        <v>145</v>
      </c>
      <c r="X163" s="3090" t="s">
        <v>213</v>
      </c>
      <c r="Y163" s="3091" t="s">
        <v>119</v>
      </c>
    </row>
    <row r="164" spans="1:25" ht="24" hidden="1">
      <c r="A164" s="1304"/>
      <c r="B164" s="643">
        <v>1521</v>
      </c>
      <c r="C164" s="643" t="s">
        <v>1051</v>
      </c>
      <c r="D164" s="3075">
        <v>2</v>
      </c>
      <c r="E164" s="3076" t="str">
        <f t="shared" si="17"/>
        <v>投资性房地产</v>
      </c>
      <c r="F164" s="3077" t="s">
        <v>1052</v>
      </c>
      <c r="G164" s="3078">
        <f t="shared" si="18"/>
        <v>0</v>
      </c>
      <c r="H164" s="3079">
        <f t="shared" ca="1" si="21"/>
        <v>0</v>
      </c>
      <c r="I164" s="3081" t="s">
        <v>6799</v>
      </c>
      <c r="J164" s="3060"/>
      <c r="K164" s="3078">
        <f t="shared" si="22"/>
        <v>0</v>
      </c>
      <c r="L164" s="3059">
        <f ca="1">INDIRECT("Notes!CheckB"&amp;$C164)</f>
        <v>0</v>
      </c>
      <c r="M164" s="3081" t="s">
        <v>6799</v>
      </c>
      <c r="N164" s="3060"/>
      <c r="O164" s="3087"/>
      <c r="P164" s="3088"/>
      <c r="Q164" s="3088"/>
      <c r="R164" s="3088"/>
      <c r="S164" s="3089" t="s">
        <v>295</v>
      </c>
      <c r="T164" s="3089" t="s">
        <v>213</v>
      </c>
      <c r="U164" s="3090">
        <v>1521</v>
      </c>
      <c r="V164" s="3090" t="s">
        <v>295</v>
      </c>
      <c r="W164" s="3090" t="s">
        <v>6793</v>
      </c>
      <c r="X164" s="3090" t="s">
        <v>6794</v>
      </c>
      <c r="Y164" s="3091" t="s">
        <v>164</v>
      </c>
    </row>
    <row r="165" spans="1:25" ht="24" hidden="1">
      <c r="A165" s="1304"/>
      <c r="B165" s="643">
        <v>1521</v>
      </c>
      <c r="C165" s="643" t="s">
        <v>1058</v>
      </c>
      <c r="D165" s="3075">
        <v>2</v>
      </c>
      <c r="E165" s="3076" t="str">
        <f t="shared" si="17"/>
        <v>投资性房地产</v>
      </c>
      <c r="F165" s="3077" t="s">
        <v>1059</v>
      </c>
      <c r="G165" s="3078">
        <f t="shared" si="18"/>
        <v>0</v>
      </c>
      <c r="H165" s="3079">
        <f t="shared" ca="1" si="21"/>
        <v>0</v>
      </c>
      <c r="I165" s="3081" t="s">
        <v>6799</v>
      </c>
      <c r="J165" s="3060"/>
      <c r="K165" s="3078">
        <f t="shared" si="22"/>
        <v>0</v>
      </c>
      <c r="L165" s="3059">
        <f ca="1">INDIRECT("Notes!CheckB"&amp;$C165)</f>
        <v>0</v>
      </c>
      <c r="M165" s="3081" t="s">
        <v>6799</v>
      </c>
      <c r="N165" s="3060"/>
      <c r="O165" s="3087"/>
      <c r="P165" s="3088"/>
      <c r="Q165" s="3088"/>
      <c r="R165" s="3088"/>
      <c r="S165" s="3089" t="s">
        <v>295</v>
      </c>
      <c r="T165" s="3089" t="s">
        <v>213</v>
      </c>
      <c r="U165" s="3090">
        <v>1521</v>
      </c>
      <c r="V165" s="3090" t="s">
        <v>295</v>
      </c>
      <c r="W165" s="3090" t="s">
        <v>6793</v>
      </c>
      <c r="X165" s="3090" t="s">
        <v>6794</v>
      </c>
      <c r="Y165" s="3091" t="s">
        <v>164</v>
      </c>
    </row>
    <row r="166" spans="1:25" ht="24" hidden="1">
      <c r="A166" s="1304"/>
      <c r="B166" s="643">
        <v>1521</v>
      </c>
      <c r="C166" s="643" t="s">
        <v>1062</v>
      </c>
      <c r="D166" s="3075">
        <v>2</v>
      </c>
      <c r="E166" s="3076" t="str">
        <f t="shared" si="17"/>
        <v>投资性房地产</v>
      </c>
      <c r="F166" s="3077" t="s">
        <v>1063</v>
      </c>
      <c r="G166" s="3078">
        <f t="shared" si="18"/>
        <v>0</v>
      </c>
      <c r="H166" s="3079" t="s">
        <v>6795</v>
      </c>
      <c r="I166" s="3081" t="s">
        <v>6799</v>
      </c>
      <c r="J166" s="3060"/>
      <c r="K166" s="3078">
        <f t="shared" si="22"/>
        <v>0</v>
      </c>
      <c r="L166" s="3059" t="s">
        <v>6795</v>
      </c>
      <c r="M166" s="3081" t="s">
        <v>6799</v>
      </c>
      <c r="N166" s="3060"/>
      <c r="O166" s="3087"/>
      <c r="P166" s="3088"/>
      <c r="Q166" s="3088"/>
      <c r="R166" s="3088"/>
      <c r="S166" s="3089" t="s">
        <v>295</v>
      </c>
      <c r="T166" s="3089" t="s">
        <v>213</v>
      </c>
      <c r="U166" s="3090">
        <v>1521</v>
      </c>
      <c r="V166" s="3090" t="s">
        <v>295</v>
      </c>
      <c r="W166" s="3090" t="s">
        <v>6793</v>
      </c>
      <c r="X166" s="3090" t="s">
        <v>6794</v>
      </c>
      <c r="Y166" s="3091" t="s">
        <v>164</v>
      </c>
    </row>
    <row r="167" spans="1:25" ht="18" hidden="1">
      <c r="A167" s="1304"/>
      <c r="B167" s="643">
        <v>1521</v>
      </c>
      <c r="C167" s="643" t="s">
        <v>1088</v>
      </c>
      <c r="D167" s="3075">
        <v>2</v>
      </c>
      <c r="E167" s="3076" t="str">
        <f t="shared" si="17"/>
        <v>投资性房地产</v>
      </c>
      <c r="F167" s="3077" t="s">
        <v>1089</v>
      </c>
      <c r="G167" s="3078">
        <f t="shared" si="18"/>
        <v>0</v>
      </c>
      <c r="H167" s="3079" t="s">
        <v>6795</v>
      </c>
      <c r="I167" s="3081" t="s">
        <v>6799</v>
      </c>
      <c r="J167" s="3060"/>
      <c r="K167" s="3078">
        <f t="shared" si="22"/>
        <v>0</v>
      </c>
      <c r="L167" s="3059" t="s">
        <v>6795</v>
      </c>
      <c r="M167" s="3081" t="s">
        <v>6799</v>
      </c>
      <c r="N167" s="3060"/>
      <c r="O167" s="3087"/>
      <c r="P167" s="3088"/>
      <c r="Q167" s="3088"/>
      <c r="R167" s="3088"/>
      <c r="S167" s="3089" t="s">
        <v>295</v>
      </c>
      <c r="T167" s="3089" t="s">
        <v>213</v>
      </c>
      <c r="U167" s="3090">
        <v>1521</v>
      </c>
      <c r="V167" s="3090" t="s">
        <v>295</v>
      </c>
      <c r="W167" s="3090" t="s">
        <v>6793</v>
      </c>
      <c r="X167" s="3090" t="s">
        <v>213</v>
      </c>
      <c r="Y167" s="3091" t="s">
        <v>164</v>
      </c>
    </row>
    <row r="168" spans="1:25" ht="18">
      <c r="A168" s="1304"/>
      <c r="B168" s="643">
        <v>1611</v>
      </c>
      <c r="C168" s="643" t="s">
        <v>1098</v>
      </c>
      <c r="D168" s="3075">
        <v>1</v>
      </c>
      <c r="E168" s="3076" t="str">
        <f t="shared" si="17"/>
        <v>固定资产（报表项目）</v>
      </c>
      <c r="F168" s="3077" t="s">
        <v>1099</v>
      </c>
      <c r="G168" s="3078">
        <f t="shared" si="18"/>
        <v>0</v>
      </c>
      <c r="H168" s="3079">
        <f t="shared" ref="H168:H173" ca="1" si="23">INDIRECT("Notes!CheckA"&amp;$C168)</f>
        <v>0</v>
      </c>
      <c r="I168" s="3081">
        <f ca="1">IF(AND(LEN(G168)&gt;0,LEN(H168)&gt;0),ROUND(SUM(G168)-SUM(H168),2),"")</f>
        <v>0</v>
      </c>
      <c r="J168" s="3060" t="str">
        <f ca="1">IF(ISNA(I168),"N/A",IF(I168=0,"√","？"))</f>
        <v>√</v>
      </c>
      <c r="K168" s="3078">
        <f t="shared" si="22"/>
        <v>221616.66</v>
      </c>
      <c r="L168" s="3059">
        <f ca="1">INDIRECT("Notes!CheckB"&amp;$C168)</f>
        <v>0</v>
      </c>
      <c r="M168" s="3081">
        <f ca="1">IF(AND(LEN(K168)&gt;0,LEN(L168)&gt;0),ROUND(SUM(K168)-SUM(L168),2),"")</f>
        <v>221616.66</v>
      </c>
      <c r="N168" s="3060" t="str">
        <f ca="1">IF(ISNA(M168),"N/A",IF(M168=0,"√","？"))</f>
        <v>？</v>
      </c>
      <c r="O168" s="3087"/>
      <c r="P168" s="3088"/>
      <c r="Q168" s="3088"/>
      <c r="R168" s="3088"/>
      <c r="S168" s="3089" t="s">
        <v>295</v>
      </c>
      <c r="T168" s="3089" t="s">
        <v>213</v>
      </c>
      <c r="U168" s="3090">
        <v>1611</v>
      </c>
      <c r="V168" s="3090" t="s">
        <v>295</v>
      </c>
      <c r="W168" s="3090" t="s">
        <v>6793</v>
      </c>
      <c r="X168" s="3090" t="s">
        <v>6794</v>
      </c>
      <c r="Y168" s="3091" t="s">
        <v>164</v>
      </c>
    </row>
    <row r="169" spans="1:25" ht="18">
      <c r="A169" s="1304"/>
      <c r="B169" s="643">
        <v>1601</v>
      </c>
      <c r="C169" s="643" t="s">
        <v>1105</v>
      </c>
      <c r="D169" s="3075">
        <v>1</v>
      </c>
      <c r="E169" s="3076" t="str">
        <f t="shared" si="17"/>
        <v>固定资产</v>
      </c>
      <c r="F169" s="3077" t="s">
        <v>1106</v>
      </c>
      <c r="G169" s="3078">
        <f t="shared" si="18"/>
        <v>0</v>
      </c>
      <c r="H169" s="3079">
        <f t="shared" ca="1" si="23"/>
        <v>0</v>
      </c>
      <c r="I169" s="3081">
        <f ca="1">IF(AND(LEN(G169)&gt;0,LEN(H169)&gt;0),ROUND(SUM(G169)-SUM(H169),2),"")</f>
        <v>0</v>
      </c>
      <c r="J169" s="3060" t="str">
        <f ca="1">IF(ISNA(I169),"N/A",IF(I169=0,"√","？"))</f>
        <v>√</v>
      </c>
      <c r="K169" s="3078">
        <f t="shared" si="22"/>
        <v>221616.66</v>
      </c>
      <c r="L169" s="3059">
        <f ca="1">INDIRECT("Notes!CheckB"&amp;$C169)</f>
        <v>221616.66</v>
      </c>
      <c r="M169" s="3081">
        <f ca="1">IF(AND(LEN(K169)&gt;0,LEN(L169)&gt;0),ROUND(SUM(K169)-SUM(L169),2),"")</f>
        <v>0</v>
      </c>
      <c r="N169" s="3060" t="str">
        <f ca="1">IF(ISNA(M169),"N/A",IF(M169=0,"√","？"))</f>
        <v>√</v>
      </c>
      <c r="O169" s="3087"/>
      <c r="P169" s="3088"/>
      <c r="Q169" s="3088"/>
      <c r="R169" s="3088"/>
      <c r="S169" s="3089" t="s">
        <v>295</v>
      </c>
      <c r="T169" s="3089" t="s">
        <v>213</v>
      </c>
      <c r="U169" s="3090">
        <v>1601</v>
      </c>
      <c r="V169" s="3090" t="s">
        <v>295</v>
      </c>
      <c r="W169" s="3090" t="s">
        <v>6793</v>
      </c>
      <c r="X169" s="3090" t="s">
        <v>6794</v>
      </c>
      <c r="Y169" s="3091" t="s">
        <v>164</v>
      </c>
    </row>
    <row r="170" spans="1:25" ht="24" hidden="1">
      <c r="A170" s="1304"/>
      <c r="B170" s="643">
        <v>1601</v>
      </c>
      <c r="C170" s="643" t="s">
        <v>1116</v>
      </c>
      <c r="D170" s="3075">
        <v>2</v>
      </c>
      <c r="E170" s="3076" t="str">
        <f t="shared" si="17"/>
        <v>固定资产</v>
      </c>
      <c r="F170" s="3077" t="s">
        <v>1117</v>
      </c>
      <c r="G170" s="3078">
        <f t="shared" si="18"/>
        <v>0</v>
      </c>
      <c r="H170" s="3079">
        <f t="shared" ca="1" si="23"/>
        <v>0</v>
      </c>
      <c r="I170" s="3081" t="s">
        <v>6799</v>
      </c>
      <c r="J170" s="3060"/>
      <c r="K170" s="3078">
        <f t="shared" si="22"/>
        <v>221616.66</v>
      </c>
      <c r="L170" s="3059" t="s">
        <v>6795</v>
      </c>
      <c r="M170" s="3081" t="s">
        <v>6799</v>
      </c>
      <c r="N170" s="3060"/>
      <c r="O170" s="3087"/>
      <c r="P170" s="3088"/>
      <c r="Q170" s="3088"/>
      <c r="R170" s="3088"/>
      <c r="S170" s="3089" t="s">
        <v>295</v>
      </c>
      <c r="T170" s="3089" t="s">
        <v>213</v>
      </c>
      <c r="U170" s="3090">
        <v>1601</v>
      </c>
      <c r="V170" s="3090" t="s">
        <v>295</v>
      </c>
      <c r="W170" s="3090" t="s">
        <v>6793</v>
      </c>
      <c r="X170" s="3090" t="s">
        <v>6796</v>
      </c>
      <c r="Y170" s="3091" t="s">
        <v>164</v>
      </c>
    </row>
    <row r="171" spans="1:25" ht="24" hidden="1">
      <c r="A171" s="1304"/>
      <c r="B171" s="643">
        <v>1601</v>
      </c>
      <c r="C171" s="643" t="s">
        <v>1120</v>
      </c>
      <c r="D171" s="3075">
        <v>2</v>
      </c>
      <c r="E171" s="3076" t="str">
        <f t="shared" si="17"/>
        <v>固定资产</v>
      </c>
      <c r="F171" s="3077" t="s">
        <v>1121</v>
      </c>
      <c r="G171" s="3078">
        <f t="shared" si="18"/>
        <v>0</v>
      </c>
      <c r="H171" s="3079">
        <f t="shared" ca="1" si="23"/>
        <v>0</v>
      </c>
      <c r="I171" s="3081" t="s">
        <v>6799</v>
      </c>
      <c r="J171" s="3060"/>
      <c r="K171" s="3078">
        <f t="shared" si="22"/>
        <v>221616.66</v>
      </c>
      <c r="L171" s="3059" t="s">
        <v>6795</v>
      </c>
      <c r="M171" s="3081" t="s">
        <v>6799</v>
      </c>
      <c r="N171" s="3060"/>
      <c r="O171" s="3087"/>
      <c r="P171" s="3088"/>
      <c r="Q171" s="3088"/>
      <c r="R171" s="3088"/>
      <c r="S171" s="3089" t="s">
        <v>295</v>
      </c>
      <c r="T171" s="3089" t="s">
        <v>213</v>
      </c>
      <c r="U171" s="3090">
        <v>1601</v>
      </c>
      <c r="V171" s="3090" t="s">
        <v>295</v>
      </c>
      <c r="W171" s="3090" t="s">
        <v>6793</v>
      </c>
      <c r="X171" s="3090" t="s">
        <v>6794</v>
      </c>
      <c r="Y171" s="3091" t="s">
        <v>164</v>
      </c>
    </row>
    <row r="172" spans="1:25" ht="24" hidden="1">
      <c r="A172" s="1304"/>
      <c r="B172" s="643">
        <v>1601</v>
      </c>
      <c r="C172" s="643" t="s">
        <v>1126</v>
      </c>
      <c r="D172" s="3075">
        <v>2</v>
      </c>
      <c r="E172" s="3076" t="str">
        <f t="shared" si="17"/>
        <v>固定资产</v>
      </c>
      <c r="F172" s="3077" t="s">
        <v>1127</v>
      </c>
      <c r="G172" s="3078">
        <f t="shared" si="18"/>
        <v>0</v>
      </c>
      <c r="H172" s="3079">
        <f t="shared" ca="1" si="23"/>
        <v>0</v>
      </c>
      <c r="I172" s="3081" t="s">
        <v>6799</v>
      </c>
      <c r="J172" s="3060"/>
      <c r="K172" s="3078">
        <f t="shared" si="22"/>
        <v>221616.66</v>
      </c>
      <c r="L172" s="3059" t="s">
        <v>6795</v>
      </c>
      <c r="M172" s="3081" t="s">
        <v>6799</v>
      </c>
      <c r="N172" s="3060"/>
      <c r="O172" s="3087"/>
      <c r="P172" s="3088"/>
      <c r="Q172" s="3088"/>
      <c r="R172" s="3088"/>
      <c r="S172" s="3089" t="s">
        <v>295</v>
      </c>
      <c r="T172" s="3089" t="s">
        <v>213</v>
      </c>
      <c r="U172" s="3090">
        <v>1601</v>
      </c>
      <c r="V172" s="3090" t="s">
        <v>295</v>
      </c>
      <c r="W172" s="3090" t="s">
        <v>6793</v>
      </c>
      <c r="X172" s="3090" t="s">
        <v>6794</v>
      </c>
      <c r="Y172" s="3091" t="s">
        <v>164</v>
      </c>
    </row>
    <row r="173" spans="1:25" ht="24" hidden="1">
      <c r="A173" s="1304"/>
      <c r="B173" s="643">
        <v>1601</v>
      </c>
      <c r="C173" s="643" t="s">
        <v>1131</v>
      </c>
      <c r="D173" s="3075">
        <v>2</v>
      </c>
      <c r="E173" s="3076" t="str">
        <f t="shared" si="17"/>
        <v>固定资产</v>
      </c>
      <c r="F173" s="3077" t="s">
        <v>1132</v>
      </c>
      <c r="G173" s="3078">
        <f t="shared" si="18"/>
        <v>0</v>
      </c>
      <c r="H173" s="3079">
        <f t="shared" ca="1" si="23"/>
        <v>0</v>
      </c>
      <c r="I173" s="3081" t="s">
        <v>6799</v>
      </c>
      <c r="J173" s="3060"/>
      <c r="K173" s="3078">
        <f t="shared" si="22"/>
        <v>221616.66</v>
      </c>
      <c r="L173" s="3059">
        <f ca="1">INDIRECT("Notes!CheckB"&amp;$C173)</f>
        <v>0</v>
      </c>
      <c r="M173" s="3081" t="s">
        <v>6799</v>
      </c>
      <c r="N173" s="3060"/>
      <c r="O173" s="3087"/>
      <c r="P173" s="3088"/>
      <c r="Q173" s="3088"/>
      <c r="R173" s="3088"/>
      <c r="S173" s="3089" t="s">
        <v>295</v>
      </c>
      <c r="T173" s="3089" t="s">
        <v>213</v>
      </c>
      <c r="U173" s="3090">
        <v>1601</v>
      </c>
      <c r="V173" s="3090" t="s">
        <v>295</v>
      </c>
      <c r="W173" s="3090" t="s">
        <v>6793</v>
      </c>
      <c r="X173" s="3090" t="s">
        <v>6796</v>
      </c>
      <c r="Y173" s="3091" t="s">
        <v>164</v>
      </c>
    </row>
    <row r="174" spans="1:25" ht="36" hidden="1">
      <c r="A174" s="1304"/>
      <c r="B174" s="643">
        <v>1601</v>
      </c>
      <c r="C174" s="643" t="s">
        <v>1136</v>
      </c>
      <c r="D174" s="3075">
        <v>2</v>
      </c>
      <c r="E174" s="3076" t="str">
        <f t="shared" si="17"/>
        <v>固定资产</v>
      </c>
      <c r="F174" s="3077" t="s">
        <v>1137</v>
      </c>
      <c r="G174" s="3078">
        <f t="shared" si="18"/>
        <v>0</v>
      </c>
      <c r="H174" s="3079" t="s">
        <v>6795</v>
      </c>
      <c r="I174" s="3081" t="s">
        <v>6799</v>
      </c>
      <c r="J174" s="3060"/>
      <c r="K174" s="3078">
        <f t="shared" si="22"/>
        <v>221616.66</v>
      </c>
      <c r="L174" s="3059" t="s">
        <v>6795</v>
      </c>
      <c r="M174" s="3081" t="s">
        <v>6799</v>
      </c>
      <c r="N174" s="3060"/>
      <c r="O174" s="3087"/>
      <c r="P174" s="3088"/>
      <c r="Q174" s="3088"/>
      <c r="R174" s="3088"/>
      <c r="S174" s="3089" t="s">
        <v>295</v>
      </c>
      <c r="T174" s="3089" t="s">
        <v>213</v>
      </c>
      <c r="U174" s="3090">
        <v>1601</v>
      </c>
      <c r="V174" s="3090" t="s">
        <v>295</v>
      </c>
      <c r="W174" s="3090" t="s">
        <v>6793</v>
      </c>
      <c r="X174" s="3090" t="s">
        <v>213</v>
      </c>
      <c r="Y174" s="3091" t="s">
        <v>164</v>
      </c>
    </row>
    <row r="175" spans="1:25" ht="18" hidden="1">
      <c r="A175" s="1304"/>
      <c r="B175" s="643">
        <v>1601</v>
      </c>
      <c r="C175" s="643" t="s">
        <v>1156</v>
      </c>
      <c r="D175" s="3075">
        <v>2</v>
      </c>
      <c r="E175" s="3076" t="str">
        <f t="shared" si="17"/>
        <v>固定资产</v>
      </c>
      <c r="F175" s="3077" t="s">
        <v>1157</v>
      </c>
      <c r="G175" s="3078">
        <f t="shared" si="18"/>
        <v>0</v>
      </c>
      <c r="H175" s="3079" t="s">
        <v>6795</v>
      </c>
      <c r="I175" s="3081" t="s">
        <v>6799</v>
      </c>
      <c r="J175" s="3060"/>
      <c r="K175" s="3078">
        <f t="shared" si="22"/>
        <v>221616.66</v>
      </c>
      <c r="L175" s="3059" t="s">
        <v>6795</v>
      </c>
      <c r="M175" s="3081" t="s">
        <v>6799</v>
      </c>
      <c r="N175" s="3060"/>
      <c r="O175" s="3087"/>
      <c r="P175" s="3088"/>
      <c r="Q175" s="3088"/>
      <c r="R175" s="3088"/>
      <c r="S175" s="3089" t="s">
        <v>295</v>
      </c>
      <c r="T175" s="3089" t="s">
        <v>213</v>
      </c>
      <c r="U175" s="3090">
        <v>1601</v>
      </c>
      <c r="V175" s="3090" t="s">
        <v>295</v>
      </c>
      <c r="W175" s="3090" t="s">
        <v>6793</v>
      </c>
      <c r="X175" s="3090" t="s">
        <v>213</v>
      </c>
      <c r="Y175" s="3091" t="s">
        <v>164</v>
      </c>
    </row>
    <row r="176" spans="1:25" ht="24" hidden="1">
      <c r="A176" s="1304"/>
      <c r="B176" s="643">
        <v>1601</v>
      </c>
      <c r="C176" s="643" t="s">
        <v>1162</v>
      </c>
      <c r="D176" s="3075">
        <v>2</v>
      </c>
      <c r="E176" s="3076" t="str">
        <f t="shared" si="17"/>
        <v>固定资产</v>
      </c>
      <c r="F176" s="3077" t="s">
        <v>1163</v>
      </c>
      <c r="G176" s="3078">
        <f t="shared" si="18"/>
        <v>0</v>
      </c>
      <c r="H176" s="3079">
        <f t="shared" ref="H176:H181" ca="1" si="24">INDIRECT("Notes!CheckA"&amp;$C176)</f>
        <v>0</v>
      </c>
      <c r="I176" s="3081" t="s">
        <v>6799</v>
      </c>
      <c r="J176" s="3060"/>
      <c r="K176" s="3078">
        <f t="shared" si="22"/>
        <v>221616.66</v>
      </c>
      <c r="L176" s="3059" t="s">
        <v>6795</v>
      </c>
      <c r="M176" s="3081" t="s">
        <v>6799</v>
      </c>
      <c r="N176" s="3060"/>
      <c r="O176" s="3087"/>
      <c r="P176" s="3088"/>
      <c r="Q176" s="3088"/>
      <c r="R176" s="3088"/>
      <c r="S176" s="3089" t="s">
        <v>295</v>
      </c>
      <c r="T176" s="3089" t="s">
        <v>213</v>
      </c>
      <c r="U176" s="3090">
        <v>1601</v>
      </c>
      <c r="V176" s="3090" t="s">
        <v>295</v>
      </c>
      <c r="W176" s="3090" t="s">
        <v>6793</v>
      </c>
      <c r="X176" s="3090" t="s">
        <v>213</v>
      </c>
      <c r="Y176" s="3091" t="s">
        <v>164</v>
      </c>
    </row>
    <row r="177" spans="1:25" ht="18">
      <c r="A177" s="1304"/>
      <c r="B177" s="643">
        <v>1606</v>
      </c>
      <c r="C177" s="643" t="s">
        <v>1165</v>
      </c>
      <c r="D177" s="3075">
        <v>1</v>
      </c>
      <c r="E177" s="3076" t="str">
        <f t="shared" si="17"/>
        <v>固定资产清理</v>
      </c>
      <c r="F177" s="3077" t="s">
        <v>1166</v>
      </c>
      <c r="G177" s="3078">
        <f t="shared" si="18"/>
        <v>0</v>
      </c>
      <c r="H177" s="3079">
        <f t="shared" ca="1" si="24"/>
        <v>0</v>
      </c>
      <c r="I177" s="3081">
        <f ca="1">IF(AND(LEN(G177)&gt;0,LEN(H177)&gt;0),ROUND(SUM(G177)-SUM(H177),2),"")</f>
        <v>0</v>
      </c>
      <c r="J177" s="3060" t="str">
        <f ca="1">IF(ISNA(I177),"N/A",IF(I177=0,"√","？"))</f>
        <v>√</v>
      </c>
      <c r="K177" s="3078">
        <f t="shared" si="22"/>
        <v>0</v>
      </c>
      <c r="L177" s="3059">
        <f ca="1">INDIRECT("Notes!CheckB"&amp;$C177)</f>
        <v>0</v>
      </c>
      <c r="M177" s="3081">
        <f ca="1">IF(AND(LEN(K177)&gt;0,LEN(L177)&gt;0),ROUND(SUM(K177)-SUM(L177),2),"")</f>
        <v>0</v>
      </c>
      <c r="N177" s="3060" t="str">
        <f ca="1">IF(ISNA(M177),"N/A",IF(M177=0,"√","？"))</f>
        <v>√</v>
      </c>
      <c r="O177" s="3087"/>
      <c r="P177" s="3088"/>
      <c r="Q177" s="3088"/>
      <c r="R177" s="3088"/>
      <c r="S177" s="3089" t="s">
        <v>295</v>
      </c>
      <c r="T177" s="3089" t="s">
        <v>213</v>
      </c>
      <c r="U177" s="3090"/>
      <c r="V177" s="3090" t="s">
        <v>295</v>
      </c>
      <c r="W177" s="3090" t="s">
        <v>6793</v>
      </c>
      <c r="X177" s="3090" t="s">
        <v>6794</v>
      </c>
      <c r="Y177" s="3091" t="s">
        <v>164</v>
      </c>
    </row>
    <row r="178" spans="1:25" ht="18" hidden="1">
      <c r="A178" s="1304"/>
      <c r="B178" s="643">
        <v>1606</v>
      </c>
      <c r="C178" s="643" t="s">
        <v>1170</v>
      </c>
      <c r="D178" s="3075">
        <v>2</v>
      </c>
      <c r="E178" s="3076" t="str">
        <f t="shared" si="17"/>
        <v>固定资产清理</v>
      </c>
      <c r="F178" s="3077" t="s">
        <v>6446</v>
      </c>
      <c r="G178" s="3078">
        <f t="shared" si="18"/>
        <v>0</v>
      </c>
      <c r="H178" s="3079">
        <f t="shared" ca="1" si="24"/>
        <v>0</v>
      </c>
      <c r="I178" s="3081" t="s">
        <v>6799</v>
      </c>
      <c r="J178" s="3060"/>
      <c r="K178" s="3078">
        <f t="shared" si="22"/>
        <v>0</v>
      </c>
      <c r="L178" s="3059">
        <f ca="1">INDIRECT("Notes!CheckB"&amp;$C178)</f>
        <v>0</v>
      </c>
      <c r="M178" s="3081" t="s">
        <v>6799</v>
      </c>
      <c r="N178" s="3060"/>
      <c r="O178" s="3087"/>
      <c r="P178" s="3088"/>
      <c r="Q178" s="3088"/>
      <c r="R178" s="3088"/>
      <c r="S178" s="3089" t="s">
        <v>295</v>
      </c>
      <c r="T178" s="3089" t="s">
        <v>213</v>
      </c>
      <c r="U178" s="3090"/>
      <c r="V178" s="3090" t="s">
        <v>295</v>
      </c>
      <c r="W178" s="3090" t="s">
        <v>6793</v>
      </c>
      <c r="X178" s="3090" t="s">
        <v>213</v>
      </c>
      <c r="Y178" s="3091" t="s">
        <v>164</v>
      </c>
    </row>
    <row r="179" spans="1:25" ht="18">
      <c r="A179" s="1304"/>
      <c r="B179" s="643">
        <v>1616</v>
      </c>
      <c r="C179" s="643" t="s">
        <v>1174</v>
      </c>
      <c r="D179" s="3075">
        <v>1</v>
      </c>
      <c r="E179" s="3076" t="str">
        <f t="shared" si="17"/>
        <v>在建工程（报表项目）</v>
      </c>
      <c r="F179" s="3077" t="s">
        <v>1175</v>
      </c>
      <c r="G179" s="3078">
        <f t="shared" si="18"/>
        <v>0</v>
      </c>
      <c r="H179" s="3079">
        <f t="shared" ca="1" si="24"/>
        <v>0</v>
      </c>
      <c r="I179" s="3081">
        <f ca="1">IF(AND(LEN(G179)&gt;0,LEN(H179)&gt;0),ROUND(SUM(G179)-SUM(H179),2),"")</f>
        <v>0</v>
      </c>
      <c r="J179" s="3060" t="str">
        <f ca="1">IF(ISNA(I179),"N/A",IF(I179=0,"√","？"))</f>
        <v>√</v>
      </c>
      <c r="K179" s="3078">
        <f t="shared" si="22"/>
        <v>0</v>
      </c>
      <c r="L179" s="3059">
        <f ca="1">INDIRECT("Notes!CheckB"&amp;$C179)</f>
        <v>0</v>
      </c>
      <c r="M179" s="3081">
        <f ca="1">IF(AND(LEN(K179)&gt;0,LEN(L179)&gt;0),ROUND(SUM(K179)-SUM(L179),2),"")</f>
        <v>0</v>
      </c>
      <c r="N179" s="3060" t="str">
        <f ca="1">IF(ISNA(M179),"N/A",IF(M179=0,"√","？"))</f>
        <v>√</v>
      </c>
      <c r="O179" s="3087"/>
      <c r="P179" s="3088"/>
      <c r="Q179" s="3088"/>
      <c r="R179" s="3088"/>
      <c r="S179" s="3089" t="s">
        <v>295</v>
      </c>
      <c r="T179" s="3089" t="s">
        <v>213</v>
      </c>
      <c r="U179" s="3090"/>
      <c r="V179" s="3090" t="s">
        <v>295</v>
      </c>
      <c r="W179" s="3090" t="s">
        <v>6793</v>
      </c>
      <c r="X179" s="3090" t="s">
        <v>6794</v>
      </c>
      <c r="Y179" s="3091" t="s">
        <v>164</v>
      </c>
    </row>
    <row r="180" spans="1:25" ht="18">
      <c r="A180" s="1304"/>
      <c r="B180" s="643">
        <v>1604</v>
      </c>
      <c r="C180" s="643" t="s">
        <v>1179</v>
      </c>
      <c r="D180" s="3075">
        <v>1</v>
      </c>
      <c r="E180" s="3076" t="str">
        <f t="shared" si="17"/>
        <v>在建工程</v>
      </c>
      <c r="F180" s="3077" t="s">
        <v>1180</v>
      </c>
      <c r="G180" s="3078">
        <f t="shared" si="18"/>
        <v>0</v>
      </c>
      <c r="H180" s="3079">
        <f t="shared" ca="1" si="24"/>
        <v>0</v>
      </c>
      <c r="I180" s="3081">
        <f ca="1">IF(AND(LEN(G180)&gt;0,LEN(H180)&gt;0),ROUND(SUM(G180)-SUM(H180),2),"")</f>
        <v>0</v>
      </c>
      <c r="J180" s="3060" t="str">
        <f ca="1">IF(ISNA(I180),"N/A",IF(I180=0,"√","？"))</f>
        <v>√</v>
      </c>
      <c r="K180" s="3078">
        <f t="shared" si="22"/>
        <v>0</v>
      </c>
      <c r="L180" s="3059">
        <f ca="1">INDIRECT("Notes!CheckB"&amp;$C180)</f>
        <v>0</v>
      </c>
      <c r="M180" s="3081">
        <f ca="1">IF(AND(LEN(K180)&gt;0,LEN(L180)&gt;0),ROUND(SUM(K180)-SUM(L180),2),"")</f>
        <v>0</v>
      </c>
      <c r="N180" s="3060" t="str">
        <f ca="1">IF(ISNA(M180),"N/A",IF(M180=0,"√","？"))</f>
        <v>√</v>
      </c>
      <c r="O180" s="3087"/>
      <c r="P180" s="3088"/>
      <c r="Q180" s="3088"/>
      <c r="R180" s="3088"/>
      <c r="S180" s="3089" t="s">
        <v>295</v>
      </c>
      <c r="T180" s="3089" t="s">
        <v>213</v>
      </c>
      <c r="U180" s="3090"/>
      <c r="V180" s="3090" t="s">
        <v>295</v>
      </c>
      <c r="W180" s="3090" t="s">
        <v>6793</v>
      </c>
      <c r="X180" s="3090" t="s">
        <v>6794</v>
      </c>
      <c r="Y180" s="3091" t="s">
        <v>164</v>
      </c>
    </row>
    <row r="181" spans="1:25" ht="24" hidden="1">
      <c r="A181" s="1304"/>
      <c r="B181" s="643">
        <v>1604</v>
      </c>
      <c r="C181" s="643" t="s">
        <v>1190</v>
      </c>
      <c r="D181" s="3075">
        <v>2</v>
      </c>
      <c r="E181" s="3076" t="str">
        <f t="shared" si="17"/>
        <v>在建工程</v>
      </c>
      <c r="F181" s="3077" t="s">
        <v>1191</v>
      </c>
      <c r="G181" s="3078">
        <f t="shared" si="18"/>
        <v>0</v>
      </c>
      <c r="H181" s="3079">
        <f t="shared" ca="1" si="24"/>
        <v>0</v>
      </c>
      <c r="I181" s="3081" t="s">
        <v>6799</v>
      </c>
      <c r="J181" s="3060"/>
      <c r="K181" s="3078">
        <f t="shared" si="22"/>
        <v>0</v>
      </c>
      <c r="L181" s="3059">
        <f ca="1">INDIRECT("Notes!CheckB"&amp;$C181)</f>
        <v>0</v>
      </c>
      <c r="M181" s="3081" t="s">
        <v>6799</v>
      </c>
      <c r="N181" s="3060"/>
      <c r="O181" s="3087"/>
      <c r="P181" s="3088"/>
      <c r="Q181" s="3088"/>
      <c r="R181" s="3088"/>
      <c r="S181" s="3089" t="s">
        <v>295</v>
      </c>
      <c r="T181" s="3089" t="s">
        <v>213</v>
      </c>
      <c r="U181" s="3090"/>
      <c r="V181" s="3090" t="s">
        <v>295</v>
      </c>
      <c r="W181" s="3090" t="s">
        <v>6793</v>
      </c>
      <c r="X181" s="3090" t="s">
        <v>6794</v>
      </c>
      <c r="Y181" s="3091" t="s">
        <v>164</v>
      </c>
    </row>
    <row r="182" spans="1:25" ht="24" hidden="1">
      <c r="A182" s="1304"/>
      <c r="B182" s="643">
        <v>1604</v>
      </c>
      <c r="C182" s="643" t="s">
        <v>1193</v>
      </c>
      <c r="D182" s="3075">
        <v>2</v>
      </c>
      <c r="E182" s="3076" t="str">
        <f t="shared" si="17"/>
        <v>在建工程</v>
      </c>
      <c r="F182" s="3077" t="s">
        <v>1194</v>
      </c>
      <c r="G182" s="3078">
        <f t="shared" si="18"/>
        <v>0</v>
      </c>
      <c r="H182" s="3079" t="s">
        <v>6795</v>
      </c>
      <c r="I182" s="3081" t="s">
        <v>6799</v>
      </c>
      <c r="J182" s="3060"/>
      <c r="K182" s="3078">
        <f t="shared" si="22"/>
        <v>0</v>
      </c>
      <c r="L182" s="3059" t="s">
        <v>6795</v>
      </c>
      <c r="M182" s="3081" t="s">
        <v>6799</v>
      </c>
      <c r="N182" s="3060"/>
      <c r="O182" s="3087"/>
      <c r="P182" s="3088"/>
      <c r="Q182" s="3088"/>
      <c r="R182" s="3088"/>
      <c r="S182" s="3089" t="s">
        <v>295</v>
      </c>
      <c r="T182" s="3089" t="s">
        <v>213</v>
      </c>
      <c r="U182" s="3090"/>
      <c r="V182" s="3090" t="s">
        <v>295</v>
      </c>
      <c r="W182" s="3090" t="s">
        <v>6793</v>
      </c>
      <c r="X182" s="3090" t="s">
        <v>6794</v>
      </c>
      <c r="Y182" s="3091" t="s">
        <v>164</v>
      </c>
    </row>
    <row r="183" spans="1:25" ht="24" hidden="1">
      <c r="A183" s="1304"/>
      <c r="B183" s="643">
        <v>1604</v>
      </c>
      <c r="C183" s="643" t="s">
        <v>1186</v>
      </c>
      <c r="D183" s="3075">
        <v>2</v>
      </c>
      <c r="E183" s="3076" t="str">
        <f t="shared" si="17"/>
        <v>在建工程</v>
      </c>
      <c r="F183" s="3077" t="s">
        <v>6447</v>
      </c>
      <c r="G183" s="3078">
        <f t="shared" si="18"/>
        <v>0</v>
      </c>
      <c r="H183" s="3079">
        <f t="shared" ref="H183:H190" ca="1" si="25">INDIRECT("Notes!CheckA"&amp;$C183)</f>
        <v>0</v>
      </c>
      <c r="I183" s="3081" t="s">
        <v>6799</v>
      </c>
      <c r="J183" s="3060"/>
      <c r="K183" s="3078">
        <f t="shared" si="22"/>
        <v>0</v>
      </c>
      <c r="L183" s="3059">
        <f ca="1">INDIRECT("Notes!CheckB"&amp;$C183)</f>
        <v>0</v>
      </c>
      <c r="M183" s="3081" t="s">
        <v>6799</v>
      </c>
      <c r="N183" s="3060"/>
      <c r="O183" s="3087"/>
      <c r="P183" s="3088"/>
      <c r="Q183" s="3088"/>
      <c r="R183" s="3088"/>
      <c r="S183" s="3089" t="s">
        <v>295</v>
      </c>
      <c r="T183" s="3089" t="s">
        <v>213</v>
      </c>
      <c r="U183" s="3090"/>
      <c r="V183" s="3090" t="s">
        <v>295</v>
      </c>
      <c r="W183" s="3090" t="s">
        <v>145</v>
      </c>
      <c r="X183" s="3090" t="s">
        <v>6796</v>
      </c>
      <c r="Y183" s="3091" t="s">
        <v>164</v>
      </c>
    </row>
    <row r="184" spans="1:25" ht="24" hidden="1">
      <c r="A184" s="1304"/>
      <c r="B184" s="643">
        <v>1604</v>
      </c>
      <c r="C184" s="643" t="s">
        <v>1196</v>
      </c>
      <c r="D184" s="3075">
        <v>2</v>
      </c>
      <c r="E184" s="3076" t="str">
        <f t="shared" si="17"/>
        <v>在建工程</v>
      </c>
      <c r="F184" s="3077" t="s">
        <v>6448</v>
      </c>
      <c r="G184" s="3078">
        <f t="shared" si="18"/>
        <v>0</v>
      </c>
      <c r="H184" s="3079">
        <f t="shared" ca="1" si="25"/>
        <v>0</v>
      </c>
      <c r="I184" s="3081" t="s">
        <v>6799</v>
      </c>
      <c r="J184" s="3060"/>
      <c r="K184" s="3078">
        <f t="shared" si="22"/>
        <v>0</v>
      </c>
      <c r="L184" s="3059" t="s">
        <v>6795</v>
      </c>
      <c r="M184" s="3081" t="s">
        <v>6799</v>
      </c>
      <c r="N184" s="3060"/>
      <c r="O184" s="3087"/>
      <c r="P184" s="3088"/>
      <c r="Q184" s="3088"/>
      <c r="R184" s="3088"/>
      <c r="S184" s="3089" t="s">
        <v>213</v>
      </c>
      <c r="T184" s="3089" t="s">
        <v>213</v>
      </c>
      <c r="U184" s="3090"/>
      <c r="V184" s="3090" t="s">
        <v>295</v>
      </c>
      <c r="W184" s="3090" t="s">
        <v>6798</v>
      </c>
      <c r="X184" s="3090" t="s">
        <v>6797</v>
      </c>
      <c r="Y184" s="3091" t="s">
        <v>164</v>
      </c>
    </row>
    <row r="185" spans="1:25" ht="18">
      <c r="A185" s="1304"/>
      <c r="B185" s="643">
        <v>1605</v>
      </c>
      <c r="C185" s="643" t="s">
        <v>1198</v>
      </c>
      <c r="D185" s="3075">
        <v>1</v>
      </c>
      <c r="E185" s="3076" t="str">
        <f t="shared" si="17"/>
        <v>工程物资</v>
      </c>
      <c r="F185" s="3077" t="s">
        <v>1199</v>
      </c>
      <c r="G185" s="3078">
        <f t="shared" si="18"/>
        <v>0</v>
      </c>
      <c r="H185" s="3079">
        <f t="shared" ca="1" si="25"/>
        <v>0</v>
      </c>
      <c r="I185" s="3081">
        <f ca="1">IF(AND(LEN(G185)&gt;0,LEN(H185)&gt;0),ROUND(SUM(G185)-SUM(H185),2),"")</f>
        <v>0</v>
      </c>
      <c r="J185" s="3060" t="str">
        <f ca="1">IF(ISNA(I185),"N/A",IF(I185=0,"√","？"))</f>
        <v>√</v>
      </c>
      <c r="K185" s="3078">
        <f t="shared" si="22"/>
        <v>0</v>
      </c>
      <c r="L185" s="3059">
        <f ca="1">INDIRECT("Notes!CheckB"&amp;$C185)</f>
        <v>0</v>
      </c>
      <c r="M185" s="3081">
        <f ca="1">IF(AND(LEN(K185)&gt;0,LEN(L185)&gt;0),ROUND(SUM(K185)-SUM(L185),2),"")</f>
        <v>0</v>
      </c>
      <c r="N185" s="3060" t="str">
        <f ca="1">IF(ISNA(M185),"N/A",IF(M185=0,"√","？"))</f>
        <v>√</v>
      </c>
      <c r="O185" s="3087"/>
      <c r="P185" s="3088"/>
      <c r="Q185" s="3088"/>
      <c r="R185" s="3088"/>
      <c r="S185" s="3089" t="s">
        <v>295</v>
      </c>
      <c r="T185" s="3089" t="s">
        <v>213</v>
      </c>
      <c r="U185" s="3090"/>
      <c r="V185" s="3090" t="s">
        <v>295</v>
      </c>
      <c r="W185" s="3090" t="s">
        <v>6793</v>
      </c>
      <c r="X185" s="3090" t="s">
        <v>6794</v>
      </c>
      <c r="Y185" s="3091" t="s">
        <v>164</v>
      </c>
    </row>
    <row r="186" spans="1:25" ht="24">
      <c r="A186" s="1304"/>
      <c r="B186" s="643">
        <v>1621</v>
      </c>
      <c r="C186" s="643" t="s">
        <v>1205</v>
      </c>
      <c r="D186" s="3075">
        <v>1</v>
      </c>
      <c r="E186" s="3076" t="str">
        <f t="shared" si="17"/>
        <v>生产性生物资产</v>
      </c>
      <c r="F186" s="3077" t="s">
        <v>5356</v>
      </c>
      <c r="G186" s="3078">
        <f t="shared" si="18"/>
        <v>0</v>
      </c>
      <c r="H186" s="3079">
        <f t="shared" ca="1" si="25"/>
        <v>0</v>
      </c>
      <c r="I186" s="3081">
        <f ca="1">IF(AND(LEN(G186)&gt;0,LEN(H186)&gt;0),ROUND(SUM(G186)-SUM(H186),2),"")</f>
        <v>0</v>
      </c>
      <c r="J186" s="3060" t="str">
        <f ca="1">IF(ISNA(I186),"N/A",IF(I186=0,"√","？"))</f>
        <v>√</v>
      </c>
      <c r="K186" s="3078">
        <f t="shared" si="22"/>
        <v>0</v>
      </c>
      <c r="L186" s="3059">
        <f ca="1">INDIRECT("Notes!CheckB"&amp;$C186)</f>
        <v>0</v>
      </c>
      <c r="M186" s="3081">
        <f ca="1">IF(AND(LEN(K186)&gt;0,LEN(L186)&gt;0),ROUND(SUM(K186)-SUM(L186),2),"")</f>
        <v>0</v>
      </c>
      <c r="N186" s="3060" t="str">
        <f ca="1">IF(ISNA(M186),"N/A",IF(M186=0,"√","？"))</f>
        <v>√</v>
      </c>
      <c r="O186" s="3087"/>
      <c r="P186" s="3088"/>
      <c r="Q186" s="3088"/>
      <c r="R186" s="3088"/>
      <c r="S186" s="3089" t="s">
        <v>295</v>
      </c>
      <c r="T186" s="3089" t="s">
        <v>213</v>
      </c>
      <c r="U186" s="3090">
        <v>1621</v>
      </c>
      <c r="V186" s="3090" t="s">
        <v>295</v>
      </c>
      <c r="W186" s="3090" t="s">
        <v>6793</v>
      </c>
      <c r="X186" s="3090" t="s">
        <v>6794</v>
      </c>
      <c r="Y186" s="3091" t="s">
        <v>164</v>
      </c>
    </row>
    <row r="187" spans="1:25" ht="24" hidden="1">
      <c r="A187" s="1304"/>
      <c r="B187" s="643">
        <v>1621</v>
      </c>
      <c r="C187" s="643" t="s">
        <v>1223</v>
      </c>
      <c r="D187" s="3075">
        <v>2</v>
      </c>
      <c r="E187" s="3076" t="str">
        <f t="shared" si="17"/>
        <v>生产性生物资产</v>
      </c>
      <c r="F187" s="3077" t="s">
        <v>1224</v>
      </c>
      <c r="G187" s="3078">
        <f t="shared" si="18"/>
        <v>0</v>
      </c>
      <c r="H187" s="3079">
        <f t="shared" ca="1" si="25"/>
        <v>0</v>
      </c>
      <c r="I187" s="3081" t="s">
        <v>6799</v>
      </c>
      <c r="J187" s="3060"/>
      <c r="K187" s="3078">
        <f t="shared" si="22"/>
        <v>0</v>
      </c>
      <c r="L187" s="3059">
        <f ca="1">INDIRECT("Notes!CheckB"&amp;$C187)</f>
        <v>0</v>
      </c>
      <c r="M187" s="3081" t="s">
        <v>6799</v>
      </c>
      <c r="N187" s="3060"/>
      <c r="O187" s="3087"/>
      <c r="P187" s="3088"/>
      <c r="Q187" s="3088"/>
      <c r="R187" s="3088"/>
      <c r="S187" s="3089" t="s">
        <v>295</v>
      </c>
      <c r="T187" s="3089" t="s">
        <v>213</v>
      </c>
      <c r="U187" s="3090">
        <v>1621</v>
      </c>
      <c r="V187" s="3090" t="s">
        <v>295</v>
      </c>
      <c r="W187" s="3090" t="s">
        <v>6793</v>
      </c>
      <c r="X187" s="3090" t="s">
        <v>6794</v>
      </c>
      <c r="Y187" s="3091" t="s">
        <v>164</v>
      </c>
    </row>
    <row r="188" spans="1:25" ht="18">
      <c r="A188" s="1304"/>
      <c r="B188" s="643">
        <v>1631</v>
      </c>
      <c r="C188" s="643" t="s">
        <v>1233</v>
      </c>
      <c r="D188" s="3075">
        <v>1</v>
      </c>
      <c r="E188" s="3076" t="str">
        <f t="shared" si="17"/>
        <v>油气资产</v>
      </c>
      <c r="F188" s="3077" t="s">
        <v>1234</v>
      </c>
      <c r="G188" s="3078">
        <f t="shared" si="18"/>
        <v>0</v>
      </c>
      <c r="H188" s="3079">
        <f t="shared" ca="1" si="25"/>
        <v>0</v>
      </c>
      <c r="I188" s="3081">
        <f ca="1">IF(AND(LEN(G188)&gt;0,LEN(H188)&gt;0),ROUND(SUM(G188)-SUM(H188),2),"")</f>
        <v>0</v>
      </c>
      <c r="J188" s="3060" t="str">
        <f ca="1">IF(ISNA(I188),"N/A",IF(I188=0,"√","？"))</f>
        <v>√</v>
      </c>
      <c r="K188" s="3078">
        <f t="shared" si="22"/>
        <v>0</v>
      </c>
      <c r="L188" s="3059">
        <f ca="1">INDIRECT("Notes!CheckB"&amp;$C188)</f>
        <v>0</v>
      </c>
      <c r="M188" s="3081">
        <f ca="1">IF(AND(LEN(K188)&gt;0,LEN(L188)&gt;0),ROUND(SUM(K188)-SUM(L188),2),"")</f>
        <v>0</v>
      </c>
      <c r="N188" s="3060" t="str">
        <f ca="1">IF(ISNA(M188),"N/A",IF(M188=0,"√","？"))</f>
        <v>√</v>
      </c>
      <c r="O188" s="3087"/>
      <c r="P188" s="3088"/>
      <c r="Q188" s="3088"/>
      <c r="R188" s="3088"/>
      <c r="S188" s="3089" t="s">
        <v>295</v>
      </c>
      <c r="T188" s="3089" t="s">
        <v>213</v>
      </c>
      <c r="U188" s="3090">
        <v>1631</v>
      </c>
      <c r="V188" s="3090" t="s">
        <v>295</v>
      </c>
      <c r="W188" s="3090" t="s">
        <v>6793</v>
      </c>
      <c r="X188" s="3090" t="s">
        <v>6794</v>
      </c>
      <c r="Y188" s="3091" t="s">
        <v>164</v>
      </c>
    </row>
    <row r="189" spans="1:25" ht="18">
      <c r="A189" s="1304"/>
      <c r="B189" s="643">
        <v>1701</v>
      </c>
      <c r="C189" s="643" t="s">
        <v>1245</v>
      </c>
      <c r="D189" s="3075">
        <v>1</v>
      </c>
      <c r="E189" s="3076" t="str">
        <f t="shared" si="17"/>
        <v>无形资产</v>
      </c>
      <c r="F189" s="3077" t="s">
        <v>1280</v>
      </c>
      <c r="G189" s="3078">
        <f t="shared" si="18"/>
        <v>0</v>
      </c>
      <c r="H189" s="3079">
        <f t="shared" ca="1" si="25"/>
        <v>0</v>
      </c>
      <c r="I189" s="3081">
        <f ca="1">IF(AND(LEN(G189)&gt;0,LEN(H189)&gt;0),ROUND(SUM(G189)-SUM(H189),2),"")</f>
        <v>0</v>
      </c>
      <c r="J189" s="3060" t="str">
        <f ca="1">IF(ISNA(I189),"N/A",IF(I189=0,"√","？"))</f>
        <v>√</v>
      </c>
      <c r="K189" s="3078">
        <f t="shared" si="22"/>
        <v>132000</v>
      </c>
      <c r="L189" s="3059">
        <f ca="1">INDIRECT("Notes!CheckB"&amp;$C189)</f>
        <v>132000</v>
      </c>
      <c r="M189" s="3081">
        <f ca="1">IF(AND(LEN(K189)&gt;0,LEN(L189)&gt;0),ROUND(SUM(K189)-SUM(L189),2),"")</f>
        <v>0</v>
      </c>
      <c r="N189" s="3060" t="str">
        <f ca="1">IF(ISNA(M189),"N/A",IF(M189=0,"√","？"))</f>
        <v>√</v>
      </c>
      <c r="O189" s="3087"/>
      <c r="P189" s="3088"/>
      <c r="Q189" s="3088"/>
      <c r="R189" s="3088"/>
      <c r="S189" s="3089" t="s">
        <v>295</v>
      </c>
      <c r="T189" s="3089" t="s">
        <v>213</v>
      </c>
      <c r="U189" s="3090"/>
      <c r="V189" s="3090" t="s">
        <v>295</v>
      </c>
      <c r="W189" s="3090" t="s">
        <v>6793</v>
      </c>
      <c r="X189" s="3090" t="s">
        <v>6794</v>
      </c>
      <c r="Y189" s="3091" t="s">
        <v>164</v>
      </c>
    </row>
    <row r="190" spans="1:25" ht="24" hidden="1">
      <c r="A190" s="1304"/>
      <c r="B190" s="643">
        <v>1701</v>
      </c>
      <c r="C190" s="643" t="s">
        <v>1264</v>
      </c>
      <c r="D190" s="3075">
        <v>2</v>
      </c>
      <c r="E190" s="3076" t="str">
        <f t="shared" si="17"/>
        <v>无形资产</v>
      </c>
      <c r="F190" s="3077" t="s">
        <v>1265</v>
      </c>
      <c r="G190" s="3078">
        <f t="shared" si="18"/>
        <v>0</v>
      </c>
      <c r="H190" s="3079">
        <f t="shared" ca="1" si="25"/>
        <v>0</v>
      </c>
      <c r="I190" s="3081" t="s">
        <v>6799</v>
      </c>
      <c r="J190" s="3060"/>
      <c r="K190" s="3078">
        <f t="shared" si="22"/>
        <v>132000</v>
      </c>
      <c r="L190" s="3059" t="s">
        <v>6795</v>
      </c>
      <c r="M190" s="3081" t="s">
        <v>6799</v>
      </c>
      <c r="N190" s="3060"/>
      <c r="O190" s="3087"/>
      <c r="P190" s="3088"/>
      <c r="Q190" s="3088"/>
      <c r="R190" s="3088"/>
      <c r="S190" s="3089" t="s">
        <v>295</v>
      </c>
      <c r="T190" s="3089" t="s">
        <v>213</v>
      </c>
      <c r="U190" s="3090"/>
      <c r="V190" s="3090" t="s">
        <v>295</v>
      </c>
      <c r="W190" s="3090" t="s">
        <v>6793</v>
      </c>
      <c r="X190" s="3090" t="s">
        <v>6796</v>
      </c>
      <c r="Y190" s="3091" t="s">
        <v>164</v>
      </c>
    </row>
    <row r="191" spans="1:25" ht="36" hidden="1">
      <c r="A191" s="1304"/>
      <c r="B191" s="643">
        <v>1701</v>
      </c>
      <c r="C191" s="643" t="s">
        <v>1269</v>
      </c>
      <c r="D191" s="3075">
        <v>2</v>
      </c>
      <c r="E191" s="3076" t="str">
        <f t="shared" si="17"/>
        <v>无形资产</v>
      </c>
      <c r="F191" s="3077" t="s">
        <v>1270</v>
      </c>
      <c r="G191" s="3078">
        <f t="shared" si="18"/>
        <v>0</v>
      </c>
      <c r="H191" s="3079" t="s">
        <v>6795</v>
      </c>
      <c r="I191" s="3081" t="s">
        <v>6799</v>
      </c>
      <c r="J191" s="3060"/>
      <c r="K191" s="3078">
        <f t="shared" si="22"/>
        <v>132000</v>
      </c>
      <c r="L191" s="3059" t="s">
        <v>6795</v>
      </c>
      <c r="M191" s="3081" t="s">
        <v>6799</v>
      </c>
      <c r="N191" s="3060"/>
      <c r="O191" s="3087"/>
      <c r="P191" s="3088"/>
      <c r="Q191" s="3088"/>
      <c r="R191" s="3088"/>
      <c r="S191" s="3089" t="s">
        <v>295</v>
      </c>
      <c r="T191" s="3089" t="s">
        <v>213</v>
      </c>
      <c r="U191" s="3090"/>
      <c r="V191" s="3090" t="s">
        <v>295</v>
      </c>
      <c r="W191" s="3090" t="s">
        <v>6793</v>
      </c>
      <c r="X191" s="3090" t="s">
        <v>213</v>
      </c>
      <c r="Y191" s="3091" t="s">
        <v>164</v>
      </c>
    </row>
    <row r="192" spans="1:25" ht="24" hidden="1">
      <c r="A192" s="1304"/>
      <c r="B192" s="643">
        <v>1701</v>
      </c>
      <c r="C192" s="643" t="s">
        <v>6053</v>
      </c>
      <c r="D192" s="3075">
        <v>2</v>
      </c>
      <c r="E192" s="3076" t="str">
        <f t="shared" si="17"/>
        <v>无形资产</v>
      </c>
      <c r="F192" s="3077" t="s">
        <v>6055</v>
      </c>
      <c r="G192" s="3078">
        <f t="shared" si="18"/>
        <v>0</v>
      </c>
      <c r="H192" s="3079">
        <f ca="1">INDIRECT("Notes!CheckA"&amp;$C192)</f>
        <v>0</v>
      </c>
      <c r="I192" s="3081" t="s">
        <v>6799</v>
      </c>
      <c r="J192" s="3060"/>
      <c r="K192" s="3078">
        <f t="shared" si="22"/>
        <v>132000</v>
      </c>
      <c r="L192" s="3059" t="s">
        <v>6795</v>
      </c>
      <c r="M192" s="3081" t="s">
        <v>6799</v>
      </c>
      <c r="N192" s="3060"/>
      <c r="O192" s="3087"/>
      <c r="P192" s="3088"/>
      <c r="Q192" s="3088"/>
      <c r="R192" s="3088"/>
      <c r="S192" s="3089" t="s">
        <v>295</v>
      </c>
      <c r="T192" s="3089" t="s">
        <v>213</v>
      </c>
      <c r="U192" s="3090"/>
      <c r="V192" s="3090" t="s">
        <v>295</v>
      </c>
      <c r="W192" s="3090" t="s">
        <v>6793</v>
      </c>
      <c r="X192" s="3090" t="s">
        <v>213</v>
      </c>
      <c r="Y192" s="3091" t="s">
        <v>164</v>
      </c>
    </row>
    <row r="193" spans="1:25" ht="18" hidden="1">
      <c r="A193" s="1304"/>
      <c r="B193" s="643">
        <v>1701</v>
      </c>
      <c r="C193" s="643" t="s">
        <v>6054</v>
      </c>
      <c r="D193" s="3075">
        <v>2</v>
      </c>
      <c r="E193" s="3076" t="str">
        <f t="shared" si="17"/>
        <v>无形资产</v>
      </c>
      <c r="F193" s="3077" t="s">
        <v>6056</v>
      </c>
      <c r="G193" s="3078">
        <f t="shared" si="18"/>
        <v>0</v>
      </c>
      <c r="H193" s="3079">
        <f ca="1">INDIRECT("Notes!CheckA"&amp;$C193)</f>
        <v>0</v>
      </c>
      <c r="I193" s="3081" t="s">
        <v>6799</v>
      </c>
      <c r="J193" s="3060"/>
      <c r="K193" s="3078">
        <f t="shared" si="22"/>
        <v>132000</v>
      </c>
      <c r="L193" s="3059">
        <f ca="1">INDIRECT("Notes!CheckB"&amp;$C193)</f>
        <v>0</v>
      </c>
      <c r="M193" s="3081" t="s">
        <v>6799</v>
      </c>
      <c r="N193" s="3060"/>
      <c r="O193" s="3087"/>
      <c r="P193" s="3088"/>
      <c r="Q193" s="3088"/>
      <c r="R193" s="3088"/>
      <c r="S193" s="3089" t="s">
        <v>295</v>
      </c>
      <c r="T193" s="3089" t="s">
        <v>213</v>
      </c>
      <c r="U193" s="3090"/>
      <c r="V193" s="3090" t="s">
        <v>295</v>
      </c>
      <c r="W193" s="3090" t="s">
        <v>6793</v>
      </c>
      <c r="X193" s="3090" t="s">
        <v>213</v>
      </c>
      <c r="Y193" s="3091" t="s">
        <v>164</v>
      </c>
    </row>
    <row r="194" spans="1:25" ht="24" hidden="1">
      <c r="A194" s="1304"/>
      <c r="B194" s="643">
        <v>1701</v>
      </c>
      <c r="C194" s="643" t="s">
        <v>1274</v>
      </c>
      <c r="D194" s="3075">
        <v>2</v>
      </c>
      <c r="E194" s="3076" t="str">
        <f t="shared" si="17"/>
        <v>无形资产</v>
      </c>
      <c r="F194" s="3077" t="s">
        <v>1275</v>
      </c>
      <c r="G194" s="3078">
        <f t="shared" si="18"/>
        <v>0</v>
      </c>
      <c r="H194" s="3079" t="s">
        <v>6795</v>
      </c>
      <c r="I194" s="3081" t="s">
        <v>6799</v>
      </c>
      <c r="J194" s="3060"/>
      <c r="K194" s="3078">
        <f t="shared" si="22"/>
        <v>132000</v>
      </c>
      <c r="L194" s="3059" t="s">
        <v>6795</v>
      </c>
      <c r="M194" s="3081" t="s">
        <v>6799</v>
      </c>
      <c r="N194" s="3060"/>
      <c r="O194" s="3087"/>
      <c r="P194" s="3088"/>
      <c r="Q194" s="3088"/>
      <c r="R194" s="3088"/>
      <c r="S194" s="3089" t="s">
        <v>295</v>
      </c>
      <c r="T194" s="3089" t="s">
        <v>213</v>
      </c>
      <c r="U194" s="3090"/>
      <c r="V194" s="3090" t="s">
        <v>295</v>
      </c>
      <c r="W194" s="3090" t="s">
        <v>6793</v>
      </c>
      <c r="X194" s="3090" t="s">
        <v>213</v>
      </c>
      <c r="Y194" s="3091" t="s">
        <v>164</v>
      </c>
    </row>
    <row r="195" spans="1:25" ht="18">
      <c r="A195" s="1304"/>
      <c r="B195" s="643">
        <v>1700</v>
      </c>
      <c r="C195" s="643" t="s">
        <v>6066</v>
      </c>
      <c r="D195" s="3075">
        <v>1</v>
      </c>
      <c r="E195" s="3076" t="str">
        <f t="shared" si="17"/>
        <v>开发支出</v>
      </c>
      <c r="F195" s="3077" t="s">
        <v>1290</v>
      </c>
      <c r="G195" s="3078">
        <f t="shared" si="18"/>
        <v>0</v>
      </c>
      <c r="H195" s="3079">
        <f ca="1">INDIRECT("Notes!CheckA"&amp;$C195)</f>
        <v>13725286.220000001</v>
      </c>
      <c r="I195" s="3081">
        <f ca="1">IF(AND(LEN(G195)&gt;0,LEN(H195)&gt;0),ROUND(SUM(G195)-SUM(H195),2),"")</f>
        <v>-13725286.220000001</v>
      </c>
      <c r="J195" s="3060" t="str">
        <f ca="1">IF(ISNA(I195),"N/A",IF(I195=0,"√","？"))</f>
        <v>？</v>
      </c>
      <c r="K195" s="3078">
        <f t="shared" si="22"/>
        <v>0</v>
      </c>
      <c r="L195" s="3059">
        <f ca="1">INDIRECT("Notes!CheckB"&amp;$C195)</f>
        <v>0</v>
      </c>
      <c r="M195" s="3081">
        <f ca="1">IF(AND(LEN(K195)&gt;0,LEN(L195)&gt;0),ROUND(SUM(K195)-SUM(L195),2),"")</f>
        <v>0</v>
      </c>
      <c r="N195" s="3060" t="str">
        <f ca="1">IF(ISNA(M195),"N/A",IF(M195=0,"√","？"))</f>
        <v>√</v>
      </c>
      <c r="O195" s="3087"/>
      <c r="P195" s="3088"/>
      <c r="Q195" s="3088"/>
      <c r="R195" s="3088"/>
      <c r="S195" s="3089" t="s">
        <v>295</v>
      </c>
      <c r="T195" s="3089" t="s">
        <v>213</v>
      </c>
      <c r="U195" s="3090"/>
      <c r="V195" s="3090" t="s">
        <v>295</v>
      </c>
      <c r="W195" s="3090" t="s">
        <v>6793</v>
      </c>
      <c r="X195" s="3090" t="s">
        <v>6794</v>
      </c>
      <c r="Y195" s="3091" t="s">
        <v>164</v>
      </c>
    </row>
    <row r="196" spans="1:25" ht="18">
      <c r="A196" s="1304"/>
      <c r="B196" s="643">
        <v>1711</v>
      </c>
      <c r="C196" s="643" t="s">
        <v>1294</v>
      </c>
      <c r="D196" s="3075">
        <v>1</v>
      </c>
      <c r="E196" s="3076" t="str">
        <f t="shared" si="17"/>
        <v>商誉</v>
      </c>
      <c r="F196" s="3077" t="s">
        <v>1295</v>
      </c>
      <c r="G196" s="3078">
        <f t="shared" si="18"/>
        <v>0</v>
      </c>
      <c r="H196" s="3079">
        <f ca="1">INDIRECT("Notes!CheckA"&amp;$C196)</f>
        <v>0</v>
      </c>
      <c r="I196" s="3081">
        <f ca="1">IF(AND(LEN(G196)&gt;0,LEN(H196)&gt;0),ROUND(SUM(G196)-SUM(H196),2),"")</f>
        <v>0</v>
      </c>
      <c r="J196" s="3060" t="str">
        <f ca="1">IF(ISNA(I196),"N/A",IF(I196=0,"√","？"))</f>
        <v>√</v>
      </c>
      <c r="K196" s="3078">
        <f t="shared" si="22"/>
        <v>0</v>
      </c>
      <c r="L196" s="3059">
        <f ca="1">INDIRECT("Notes!CheckB"&amp;$C196)</f>
        <v>0</v>
      </c>
      <c r="M196" s="3081">
        <f ca="1">IF(AND(LEN(K196)&gt;0,LEN(L196)&gt;0),ROUND(SUM(K196)-SUM(L196),2),"")</f>
        <v>0</v>
      </c>
      <c r="N196" s="3060" t="str">
        <f ca="1">IF(ISNA(M196),"N/A",IF(M196=0,"√","？"))</f>
        <v>√</v>
      </c>
      <c r="O196" s="3087"/>
      <c r="P196" s="3088"/>
      <c r="Q196" s="3088"/>
      <c r="R196" s="3088"/>
      <c r="S196" s="3089" t="s">
        <v>295</v>
      </c>
      <c r="T196" s="3089" t="s">
        <v>213</v>
      </c>
      <c r="U196" s="3090"/>
      <c r="V196" s="3090" t="s">
        <v>295</v>
      </c>
      <c r="W196" s="3090" t="s">
        <v>6793</v>
      </c>
      <c r="X196" s="3090" t="s">
        <v>6794</v>
      </c>
      <c r="Y196" s="3091" t="s">
        <v>164</v>
      </c>
    </row>
    <row r="197" spans="1:25" ht="18" hidden="1">
      <c r="A197" s="1304"/>
      <c r="B197" s="643">
        <v>1711</v>
      </c>
      <c r="C197" s="643" t="s">
        <v>1300</v>
      </c>
      <c r="D197" s="3075">
        <v>2</v>
      </c>
      <c r="E197" s="3076" t="str">
        <f t="shared" si="17"/>
        <v>商誉</v>
      </c>
      <c r="F197" s="3077" t="s">
        <v>583</v>
      </c>
      <c r="G197" s="3078">
        <f t="shared" si="18"/>
        <v>0</v>
      </c>
      <c r="H197" s="3079">
        <f ca="1">INDIRECT("Notes!CheckA"&amp;$C197)</f>
        <v>0</v>
      </c>
      <c r="I197" s="3081" t="s">
        <v>6799</v>
      </c>
      <c r="J197" s="3060"/>
      <c r="K197" s="3078">
        <f t="shared" si="22"/>
        <v>0</v>
      </c>
      <c r="L197" s="3059">
        <f ca="1">INDIRECT("Notes!CheckB"&amp;$C197)</f>
        <v>0</v>
      </c>
      <c r="M197" s="3081" t="s">
        <v>6799</v>
      </c>
      <c r="N197" s="3060"/>
      <c r="O197" s="3087"/>
      <c r="P197" s="3088"/>
      <c r="Q197" s="3088"/>
      <c r="R197" s="3088"/>
      <c r="S197" s="3089" t="s">
        <v>295</v>
      </c>
      <c r="T197" s="3089" t="s">
        <v>213</v>
      </c>
      <c r="U197" s="3090"/>
      <c r="V197" s="3090" t="s">
        <v>295</v>
      </c>
      <c r="W197" s="3090" t="s">
        <v>6793</v>
      </c>
      <c r="X197" s="3090" t="s">
        <v>6794</v>
      </c>
      <c r="Y197" s="3091" t="s">
        <v>164</v>
      </c>
    </row>
    <row r="198" spans="1:25" ht="18">
      <c r="A198" s="1304"/>
      <c r="B198" s="643">
        <v>1801</v>
      </c>
      <c r="C198" s="643" t="s">
        <v>1304</v>
      </c>
      <c r="D198" s="3075">
        <v>1</v>
      </c>
      <c r="E198" s="3076" t="str">
        <f t="shared" si="17"/>
        <v>长期待摊费用</v>
      </c>
      <c r="F198" s="3077" t="s">
        <v>1305</v>
      </c>
      <c r="G198" s="3078">
        <f t="shared" si="18"/>
        <v>0</v>
      </c>
      <c r="H198" s="3079">
        <f ca="1">INDIRECT("Notes!CheckA"&amp;$C198)</f>
        <v>0</v>
      </c>
      <c r="I198" s="3081">
        <f ca="1">IF(AND(LEN(G198)&gt;0,LEN(H198)&gt;0),ROUND(SUM(G198)-SUM(H198),2),"")</f>
        <v>0</v>
      </c>
      <c r="J198" s="3060" t="str">
        <f ca="1">IF(ISNA(I198),"N/A",IF(I198=0,"√","？"))</f>
        <v>√</v>
      </c>
      <c r="K198" s="3078">
        <f t="shared" si="22"/>
        <v>983014.49</v>
      </c>
      <c r="L198" s="3059">
        <f ca="1">INDIRECT("Notes!CheckB"&amp;$C198)</f>
        <v>983014.49</v>
      </c>
      <c r="M198" s="3081">
        <f ca="1">IF(AND(LEN(K198)&gt;0,LEN(L198)&gt;0),ROUND(SUM(K198)-SUM(L198),2),"")</f>
        <v>0</v>
      </c>
      <c r="N198" s="3060" t="str">
        <f ca="1">IF(ISNA(M198),"N/A",IF(M198=0,"√","？"))</f>
        <v>√</v>
      </c>
      <c r="O198" s="3087"/>
      <c r="P198" s="3088"/>
      <c r="Q198" s="3088"/>
      <c r="R198" s="3088"/>
      <c r="S198" s="3089" t="s">
        <v>295</v>
      </c>
      <c r="T198" s="3089" t="s">
        <v>213</v>
      </c>
      <c r="U198" s="3090"/>
      <c r="V198" s="3090" t="s">
        <v>295</v>
      </c>
      <c r="W198" s="3090" t="s">
        <v>6793</v>
      </c>
      <c r="X198" s="3090" t="s">
        <v>6794</v>
      </c>
      <c r="Y198" s="3091" t="s">
        <v>164</v>
      </c>
    </row>
    <row r="199" spans="1:25" ht="18" hidden="1">
      <c r="A199" s="1304"/>
      <c r="B199" s="643">
        <v>1801</v>
      </c>
      <c r="C199" s="643" t="s">
        <v>1310</v>
      </c>
      <c r="D199" s="3075">
        <v>2</v>
      </c>
      <c r="E199" s="3076" t="str">
        <f t="shared" si="17"/>
        <v>长期待摊费用</v>
      </c>
      <c r="F199" s="3077" t="s">
        <v>1311</v>
      </c>
      <c r="G199" s="3078">
        <f t="shared" si="18"/>
        <v>0</v>
      </c>
      <c r="H199" s="3079" t="s">
        <v>6795</v>
      </c>
      <c r="I199" s="3081" t="s">
        <v>6799</v>
      </c>
      <c r="J199" s="3060"/>
      <c r="K199" s="3078">
        <f t="shared" si="22"/>
        <v>983014.49</v>
      </c>
      <c r="L199" s="3059" t="s">
        <v>6795</v>
      </c>
      <c r="M199" s="3081" t="s">
        <v>6799</v>
      </c>
      <c r="N199" s="3060"/>
      <c r="O199" s="3087"/>
      <c r="P199" s="3088"/>
      <c r="Q199" s="3088"/>
      <c r="R199" s="3088"/>
      <c r="S199" s="3089" t="s">
        <v>295</v>
      </c>
      <c r="T199" s="3089" t="s">
        <v>213</v>
      </c>
      <c r="U199" s="3090"/>
      <c r="V199" s="3090" t="s">
        <v>295</v>
      </c>
      <c r="W199" s="3090" t="s">
        <v>6793</v>
      </c>
      <c r="X199" s="3090" t="s">
        <v>213</v>
      </c>
      <c r="Y199" s="3091" t="s">
        <v>164</v>
      </c>
    </row>
    <row r="200" spans="1:25" ht="24">
      <c r="A200" s="1304"/>
      <c r="B200" s="643">
        <v>1811</v>
      </c>
      <c r="C200" s="643" t="s">
        <v>1315</v>
      </c>
      <c r="D200" s="3075">
        <v>1</v>
      </c>
      <c r="E200" s="3076" t="str">
        <f t="shared" si="17"/>
        <v>递延所得税资产</v>
      </c>
      <c r="F200" s="3077" t="s">
        <v>1316</v>
      </c>
      <c r="G200" s="3078">
        <f t="shared" si="18"/>
        <v>0</v>
      </c>
      <c r="H200" s="3079">
        <f ca="1">INDIRECT("Notes!CheckA"&amp;$C200)</f>
        <v>0</v>
      </c>
      <c r="I200" s="3081">
        <f ca="1">IF(AND(LEN(G200)&gt;0,LEN(H200)&gt;0),ROUND(SUM(G200)-SUM(H200),2),"")</f>
        <v>0</v>
      </c>
      <c r="J200" s="3060" t="str">
        <f ca="1">IF(ISNA(I200),"N/A",IF(I200=0,"√","？"))</f>
        <v>√</v>
      </c>
      <c r="K200" s="3078">
        <f t="shared" si="22"/>
        <v>0</v>
      </c>
      <c r="L200" s="3059">
        <f ca="1">INDIRECT("Notes!CheckB"&amp;$C200)</f>
        <v>0</v>
      </c>
      <c r="M200" s="3081">
        <f ca="1">IF(AND(LEN(K200)&gt;0,LEN(L200)&gt;0),ROUND(SUM(K200)-SUM(L200),2),"")</f>
        <v>0</v>
      </c>
      <c r="N200" s="3060" t="str">
        <f ca="1">IF(ISNA(M200),"N/A",IF(M200=0,"√","？"))</f>
        <v>√</v>
      </c>
      <c r="O200" s="3087"/>
      <c r="P200" s="3088"/>
      <c r="Q200" s="3088"/>
      <c r="R200" s="3088"/>
      <c r="S200" s="3089" t="s">
        <v>295</v>
      </c>
      <c r="T200" s="3089" t="s">
        <v>213</v>
      </c>
      <c r="U200" s="3090"/>
      <c r="V200" s="3090" t="s">
        <v>295</v>
      </c>
      <c r="W200" s="3090" t="s">
        <v>6793</v>
      </c>
      <c r="X200" s="3090" t="s">
        <v>6794</v>
      </c>
      <c r="Y200" s="3091" t="s">
        <v>164</v>
      </c>
    </row>
    <row r="201" spans="1:25" ht="24">
      <c r="A201" s="1304"/>
      <c r="B201" s="643">
        <v>2901</v>
      </c>
      <c r="C201" s="643" t="s">
        <v>1321</v>
      </c>
      <c r="D201" s="3075">
        <v>1</v>
      </c>
      <c r="E201" s="3076" t="str">
        <f t="shared" ref="E201:E264" si="26">IF(ISERROR(VLOOKUP($B201,Sheet_Items,2,0)),"        ----",VLOOKUP($B201,Sheet_Items,2,0))</f>
        <v>递延所得税负债</v>
      </c>
      <c r="F201" s="3077" t="s">
        <v>1322</v>
      </c>
      <c r="G201" s="3078">
        <f t="shared" ref="G201:G264" si="27">IF(ISERROR(VLOOKUP($B201,Sheet_Trialbal,6,0)),"        ----",VLOOKUP($B201,Sheet_Trialbal,6,0))</f>
        <v>0</v>
      </c>
      <c r="H201" s="3079">
        <f ca="1">INDIRECT("Notes!CheckA"&amp;$C201)</f>
        <v>0</v>
      </c>
      <c r="I201" s="3081">
        <f ca="1">IF(AND(LEN(G201)&gt;0,LEN(H201)&gt;0),ROUND(SUM(G201)-SUM(H201),2),"")</f>
        <v>0</v>
      </c>
      <c r="J201" s="3060" t="str">
        <f ca="1">IF(ISNA(I201),"N/A",IF(I201=0,"√","？"))</f>
        <v>√</v>
      </c>
      <c r="K201" s="3078">
        <f t="shared" si="22"/>
        <v>0</v>
      </c>
      <c r="L201" s="3059">
        <f ca="1">INDIRECT("Notes!CheckB"&amp;$C201)</f>
        <v>0</v>
      </c>
      <c r="M201" s="3081">
        <f ca="1">IF(AND(LEN(K201)&gt;0,LEN(L201)&gt;0),ROUND(SUM(K201)-SUM(L201),2),"")</f>
        <v>0</v>
      </c>
      <c r="N201" s="3060" t="str">
        <f ca="1">IF(ISNA(M201),"N/A",IF(M201=0,"√","？"))</f>
        <v>√</v>
      </c>
      <c r="O201" s="3087"/>
      <c r="P201" s="3088"/>
      <c r="Q201" s="3088"/>
      <c r="R201" s="3088"/>
      <c r="S201" s="3089" t="s">
        <v>295</v>
      </c>
      <c r="T201" s="3089" t="s">
        <v>213</v>
      </c>
      <c r="U201" s="3090"/>
      <c r="V201" s="3090" t="s">
        <v>295</v>
      </c>
      <c r="W201" s="3090" t="s">
        <v>6793</v>
      </c>
      <c r="X201" s="3090" t="s">
        <v>6794</v>
      </c>
      <c r="Y201" s="3091" t="s">
        <v>164</v>
      </c>
    </row>
    <row r="202" spans="1:25" ht="24" hidden="1">
      <c r="A202" s="1304"/>
      <c r="B202" s="643"/>
      <c r="C202" s="643" t="s">
        <v>1326</v>
      </c>
      <c r="D202" s="3075">
        <v>3</v>
      </c>
      <c r="E202" s="3076" t="str">
        <f t="shared" si="26"/>
        <v xml:space="preserve">        ----</v>
      </c>
      <c r="F202" s="3077" t="s">
        <v>1327</v>
      </c>
      <c r="G202" s="3078" t="str">
        <f t="shared" si="27"/>
        <v xml:space="preserve">        ----</v>
      </c>
      <c r="H202" s="3079" t="s">
        <v>6795</v>
      </c>
      <c r="I202" s="3081" t="s">
        <v>6799</v>
      </c>
      <c r="J202" s="3060"/>
      <c r="K202" s="3078" t="str">
        <f t="shared" si="22"/>
        <v xml:space="preserve">        ----</v>
      </c>
      <c r="L202" s="3059" t="s">
        <v>6795</v>
      </c>
      <c r="M202" s="3081" t="s">
        <v>6799</v>
      </c>
      <c r="N202" s="3060"/>
      <c r="O202" s="3087"/>
      <c r="P202" s="3088"/>
      <c r="Q202" s="3088"/>
      <c r="R202" s="3088"/>
      <c r="S202" s="3089" t="s">
        <v>295</v>
      </c>
      <c r="T202" s="3089" t="s">
        <v>213</v>
      </c>
      <c r="U202" s="3090"/>
      <c r="V202" s="3090" t="s">
        <v>295</v>
      </c>
      <c r="W202" s="3090" t="s">
        <v>6793</v>
      </c>
      <c r="X202" s="3090" t="s">
        <v>6794</v>
      </c>
      <c r="Y202" s="3091" t="s">
        <v>164</v>
      </c>
    </row>
    <row r="203" spans="1:25" ht="24" hidden="1">
      <c r="A203" s="1304"/>
      <c r="B203" s="643"/>
      <c r="C203" s="643" t="s">
        <v>1331</v>
      </c>
      <c r="D203" s="3075">
        <v>3</v>
      </c>
      <c r="E203" s="3076" t="str">
        <f t="shared" si="26"/>
        <v xml:space="preserve">        ----</v>
      </c>
      <c r="F203" s="3077" t="s">
        <v>1332</v>
      </c>
      <c r="G203" s="3078" t="str">
        <f t="shared" si="27"/>
        <v xml:space="preserve">        ----</v>
      </c>
      <c r="H203" s="3079" t="s">
        <v>6795</v>
      </c>
      <c r="I203" s="3081" t="s">
        <v>6799</v>
      </c>
      <c r="J203" s="3060"/>
      <c r="K203" s="3078" t="str">
        <f t="shared" si="22"/>
        <v xml:space="preserve">        ----</v>
      </c>
      <c r="L203" s="3059" t="s">
        <v>6795</v>
      </c>
      <c r="M203" s="3081" t="s">
        <v>6799</v>
      </c>
      <c r="N203" s="3060"/>
      <c r="O203" s="3087"/>
      <c r="P203" s="3088"/>
      <c r="Q203" s="3088"/>
      <c r="R203" s="3088"/>
      <c r="S203" s="3089" t="s">
        <v>295</v>
      </c>
      <c r="T203" s="3089" t="s">
        <v>213</v>
      </c>
      <c r="U203" s="3090"/>
      <c r="V203" s="3090" t="s">
        <v>295</v>
      </c>
      <c r="W203" s="3090" t="s">
        <v>6793</v>
      </c>
      <c r="X203" s="3090" t="s">
        <v>6794</v>
      </c>
      <c r="Y203" s="3091" t="s">
        <v>164</v>
      </c>
    </row>
    <row r="204" spans="1:25" ht="36" hidden="1">
      <c r="A204" s="1304"/>
      <c r="B204" s="643"/>
      <c r="C204" s="643" t="s">
        <v>1336</v>
      </c>
      <c r="D204" s="3075">
        <v>3</v>
      </c>
      <c r="E204" s="3076" t="str">
        <f t="shared" si="26"/>
        <v xml:space="preserve">        ----</v>
      </c>
      <c r="F204" s="3077" t="s">
        <v>1337</v>
      </c>
      <c r="G204" s="3078" t="str">
        <f t="shared" si="27"/>
        <v xml:space="preserve">        ----</v>
      </c>
      <c r="H204" s="3079">
        <f t="shared" ref="H204:H220" ca="1" si="28">INDIRECT("Notes!CheckA"&amp;$C204)</f>
        <v>0</v>
      </c>
      <c r="I204" s="3081" t="s">
        <v>6799</v>
      </c>
      <c r="J204" s="3060"/>
      <c r="K204" s="3078" t="str">
        <f t="shared" si="22"/>
        <v xml:space="preserve">        ----</v>
      </c>
      <c r="L204" s="3059">
        <f ca="1">INDIRECT("Notes!CheckB"&amp;$C204)</f>
        <v>0</v>
      </c>
      <c r="M204" s="3081" t="s">
        <v>6799</v>
      </c>
      <c r="N204" s="3060"/>
      <c r="O204" s="3087"/>
      <c r="P204" s="3088"/>
      <c r="Q204" s="3088"/>
      <c r="R204" s="3088"/>
      <c r="S204" s="3089" t="s">
        <v>295</v>
      </c>
      <c r="T204" s="3089" t="s">
        <v>213</v>
      </c>
      <c r="U204" s="3090"/>
      <c r="V204" s="3090" t="s">
        <v>295</v>
      </c>
      <c r="W204" s="3090" t="s">
        <v>6793</v>
      </c>
      <c r="X204" s="3090" t="s">
        <v>6794</v>
      </c>
      <c r="Y204" s="3091" t="s">
        <v>164</v>
      </c>
    </row>
    <row r="205" spans="1:25" ht="24">
      <c r="A205" s="1304"/>
      <c r="B205" s="643">
        <v>1996</v>
      </c>
      <c r="C205" s="643" t="s">
        <v>1341</v>
      </c>
      <c r="D205" s="3075">
        <v>1</v>
      </c>
      <c r="E205" s="3076" t="str">
        <f t="shared" si="26"/>
        <v>其他非流动资产</v>
      </c>
      <c r="F205" s="3077" t="s">
        <v>1342</v>
      </c>
      <c r="G205" s="3078">
        <f t="shared" si="27"/>
        <v>0</v>
      </c>
      <c r="H205" s="3079">
        <f t="shared" ca="1" si="28"/>
        <v>0</v>
      </c>
      <c r="I205" s="3081">
        <f ca="1">IF(AND(LEN(G205)&gt;0,LEN(H205)&gt;0),ROUND(SUM(G205)-SUM(H205),2),"")</f>
        <v>0</v>
      </c>
      <c r="J205" s="3060" t="str">
        <f ca="1">IF(ISNA(I205),"N/A",IF(I205=0,"√","？"))</f>
        <v>√</v>
      </c>
      <c r="K205" s="3078">
        <f t="shared" si="22"/>
        <v>0</v>
      </c>
      <c r="L205" s="3059">
        <f ca="1">INDIRECT("Notes!CheckB"&amp;$C205)</f>
        <v>0</v>
      </c>
      <c r="M205" s="3081">
        <f ca="1">IF(AND(LEN(K205)&gt;0,LEN(L205)&gt;0),ROUND(SUM(K205)-SUM(L205),2),"")</f>
        <v>0</v>
      </c>
      <c r="N205" s="3060" t="str">
        <f ca="1">IF(ISNA(M205),"N/A",IF(M205=0,"√","？"))</f>
        <v>√</v>
      </c>
      <c r="O205" s="3087"/>
      <c r="P205" s="3088"/>
      <c r="Q205" s="3088"/>
      <c r="R205" s="3088"/>
      <c r="S205" s="3089" t="s">
        <v>295</v>
      </c>
      <c r="T205" s="3089" t="s">
        <v>213</v>
      </c>
      <c r="U205" s="3090"/>
      <c r="V205" s="3090" t="s">
        <v>295</v>
      </c>
      <c r="W205" s="3090" t="s">
        <v>6793</v>
      </c>
      <c r="X205" s="3090" t="s">
        <v>6794</v>
      </c>
      <c r="Y205" s="3091" t="s">
        <v>164</v>
      </c>
    </row>
    <row r="206" spans="1:25" ht="18">
      <c r="A206" s="1304"/>
      <c r="B206" s="643">
        <v>2001</v>
      </c>
      <c r="C206" s="643" t="s">
        <v>1357</v>
      </c>
      <c r="D206" s="3075">
        <v>1</v>
      </c>
      <c r="E206" s="3076" t="str">
        <f t="shared" si="26"/>
        <v>短期借款</v>
      </c>
      <c r="F206" s="3077" t="s">
        <v>1358</v>
      </c>
      <c r="G206" s="3078">
        <f t="shared" si="27"/>
        <v>0</v>
      </c>
      <c r="H206" s="3079">
        <f t="shared" ca="1" si="28"/>
        <v>0</v>
      </c>
      <c r="I206" s="3081">
        <f ca="1">IF(AND(LEN(G206)&gt;0,LEN(H206)&gt;0),ROUND(SUM(G206)-SUM(H206),2),"")</f>
        <v>0</v>
      </c>
      <c r="J206" s="3060" t="str">
        <f ca="1">IF(ISNA(I206),"N/A",IF(I206=0,"√","？"))</f>
        <v>√</v>
      </c>
      <c r="K206" s="3078">
        <f t="shared" si="22"/>
        <v>0</v>
      </c>
      <c r="L206" s="3059">
        <f ca="1">INDIRECT("Notes!CheckB"&amp;$C206)</f>
        <v>0</v>
      </c>
      <c r="M206" s="3081">
        <f ca="1">IF(AND(LEN(K206)&gt;0,LEN(L206)&gt;0),ROUND(SUM(K206)-SUM(L206),2),"")</f>
        <v>0</v>
      </c>
      <c r="N206" s="3060" t="str">
        <f ca="1">IF(ISNA(M206),"N/A",IF(M206=0,"√","？"))</f>
        <v>√</v>
      </c>
      <c r="O206" s="3087"/>
      <c r="P206" s="3088"/>
      <c r="Q206" s="3088"/>
      <c r="R206" s="3088"/>
      <c r="S206" s="3089" t="s">
        <v>295</v>
      </c>
      <c r="T206" s="3089" t="s">
        <v>213</v>
      </c>
      <c r="U206" s="3090"/>
      <c r="V206" s="3090" t="s">
        <v>295</v>
      </c>
      <c r="W206" s="3090" t="s">
        <v>6793</v>
      </c>
      <c r="X206" s="3090" t="s">
        <v>6794</v>
      </c>
      <c r="Y206" s="3091" t="s">
        <v>164</v>
      </c>
    </row>
    <row r="207" spans="1:25" ht="24" hidden="1">
      <c r="A207" s="1304"/>
      <c r="B207" s="643">
        <v>2001</v>
      </c>
      <c r="C207" s="643" t="s">
        <v>1369</v>
      </c>
      <c r="D207" s="3075">
        <v>2</v>
      </c>
      <c r="E207" s="3076" t="str">
        <f t="shared" si="26"/>
        <v>短期借款</v>
      </c>
      <c r="F207" s="3077" t="s">
        <v>1370</v>
      </c>
      <c r="G207" s="3078">
        <f t="shared" si="27"/>
        <v>0</v>
      </c>
      <c r="H207" s="3079">
        <f t="shared" ca="1" si="28"/>
        <v>0</v>
      </c>
      <c r="I207" s="3081" t="s">
        <v>6799</v>
      </c>
      <c r="J207" s="3060"/>
      <c r="K207" s="3078">
        <f t="shared" si="22"/>
        <v>0</v>
      </c>
      <c r="L207" s="3059" t="s">
        <v>6795</v>
      </c>
      <c r="M207" s="3081" t="s">
        <v>6799</v>
      </c>
      <c r="N207" s="3060"/>
      <c r="O207" s="3087"/>
      <c r="P207" s="3088"/>
      <c r="Q207" s="3088"/>
      <c r="R207" s="3088"/>
      <c r="S207" s="3089" t="s">
        <v>295</v>
      </c>
      <c r="T207" s="3089" t="s">
        <v>213</v>
      </c>
      <c r="U207" s="3090"/>
      <c r="V207" s="3090" t="s">
        <v>295</v>
      </c>
      <c r="W207" s="3090" t="s">
        <v>6793</v>
      </c>
      <c r="X207" s="3090" t="s">
        <v>213</v>
      </c>
      <c r="Y207" s="3091" t="s">
        <v>164</v>
      </c>
    </row>
    <row r="208" spans="1:25" ht="24" hidden="1">
      <c r="A208" s="1304"/>
      <c r="B208" s="643">
        <v>2001</v>
      </c>
      <c r="C208" s="643" t="s">
        <v>1375</v>
      </c>
      <c r="D208" s="3075">
        <v>2</v>
      </c>
      <c r="E208" s="3076" t="str">
        <f t="shared" si="26"/>
        <v>短期借款</v>
      </c>
      <c r="F208" s="3077" t="s">
        <v>1376</v>
      </c>
      <c r="G208" s="3078">
        <f t="shared" si="27"/>
        <v>0</v>
      </c>
      <c r="H208" s="3079">
        <f t="shared" ca="1" si="28"/>
        <v>0</v>
      </c>
      <c r="I208" s="3081" t="s">
        <v>6799</v>
      </c>
      <c r="J208" s="3060"/>
      <c r="K208" s="3078">
        <f t="shared" si="22"/>
        <v>0</v>
      </c>
      <c r="L208" s="3059" t="s">
        <v>6795</v>
      </c>
      <c r="M208" s="3081" t="s">
        <v>6799</v>
      </c>
      <c r="N208" s="3060"/>
      <c r="O208" s="3087"/>
      <c r="P208" s="3088"/>
      <c r="Q208" s="3088"/>
      <c r="R208" s="3088"/>
      <c r="S208" s="3089" t="s">
        <v>295</v>
      </c>
      <c r="T208" s="3089" t="s">
        <v>213</v>
      </c>
      <c r="U208" s="3090"/>
      <c r="V208" s="3090" t="s">
        <v>295</v>
      </c>
      <c r="W208" s="3090" t="s">
        <v>6793</v>
      </c>
      <c r="X208" s="3090" t="s">
        <v>213</v>
      </c>
      <c r="Y208" s="3091" t="s">
        <v>164</v>
      </c>
    </row>
    <row r="209" spans="1:25" ht="24" hidden="1">
      <c r="A209" s="1304"/>
      <c r="B209" s="643">
        <v>2001</v>
      </c>
      <c r="C209" s="643" t="s">
        <v>1380</v>
      </c>
      <c r="D209" s="3075">
        <v>2</v>
      </c>
      <c r="E209" s="3076" t="str">
        <f t="shared" si="26"/>
        <v>短期借款</v>
      </c>
      <c r="F209" s="3077" t="s">
        <v>1381</v>
      </c>
      <c r="G209" s="3078">
        <f t="shared" si="27"/>
        <v>0</v>
      </c>
      <c r="H209" s="3079">
        <f t="shared" ca="1" si="28"/>
        <v>0</v>
      </c>
      <c r="I209" s="3081" t="s">
        <v>6799</v>
      </c>
      <c r="J209" s="3060"/>
      <c r="K209" s="3078">
        <f t="shared" si="22"/>
        <v>0</v>
      </c>
      <c r="L209" s="3059" t="s">
        <v>6795</v>
      </c>
      <c r="M209" s="3081" t="s">
        <v>6799</v>
      </c>
      <c r="N209" s="3060"/>
      <c r="O209" s="3087"/>
      <c r="P209" s="3088"/>
      <c r="Q209" s="3088"/>
      <c r="R209" s="3088"/>
      <c r="S209" s="3089" t="s">
        <v>295</v>
      </c>
      <c r="T209" s="3089" t="s">
        <v>213</v>
      </c>
      <c r="U209" s="3090"/>
      <c r="V209" s="3090" t="s">
        <v>295</v>
      </c>
      <c r="W209" s="3090" t="s">
        <v>6793</v>
      </c>
      <c r="X209" s="3090" t="s">
        <v>213</v>
      </c>
      <c r="Y209" s="3091" t="s">
        <v>164</v>
      </c>
    </row>
    <row r="210" spans="1:25" ht="24" hidden="1">
      <c r="A210" s="1304"/>
      <c r="B210" s="643">
        <v>2001</v>
      </c>
      <c r="C210" s="643" t="s">
        <v>1363</v>
      </c>
      <c r="D210" s="3075">
        <v>2</v>
      </c>
      <c r="E210" s="3076" t="str">
        <f t="shared" si="26"/>
        <v>短期借款</v>
      </c>
      <c r="F210" s="3077" t="s">
        <v>1364</v>
      </c>
      <c r="G210" s="3078">
        <f t="shared" si="27"/>
        <v>0</v>
      </c>
      <c r="H210" s="3079">
        <f t="shared" ca="1" si="28"/>
        <v>0</v>
      </c>
      <c r="I210" s="3081" t="s">
        <v>6799</v>
      </c>
      <c r="J210" s="3060"/>
      <c r="K210" s="3078">
        <f t="shared" si="22"/>
        <v>0</v>
      </c>
      <c r="L210" s="3059" t="s">
        <v>6795</v>
      </c>
      <c r="M210" s="3081" t="s">
        <v>6799</v>
      </c>
      <c r="N210" s="3060"/>
      <c r="O210" s="3087"/>
      <c r="P210" s="3088"/>
      <c r="Q210" s="3088"/>
      <c r="R210" s="3088"/>
      <c r="S210" s="3089" t="s">
        <v>295</v>
      </c>
      <c r="T210" s="3089" t="s">
        <v>213</v>
      </c>
      <c r="U210" s="3090"/>
      <c r="V210" s="3090" t="s">
        <v>295</v>
      </c>
      <c r="W210" s="3090" t="s">
        <v>6793</v>
      </c>
      <c r="X210" s="3090" t="s">
        <v>6794</v>
      </c>
      <c r="Y210" s="3091" t="s">
        <v>164</v>
      </c>
    </row>
    <row r="211" spans="1:25" ht="18" hidden="1">
      <c r="A211" s="1304"/>
      <c r="B211" s="643">
        <v>2001</v>
      </c>
      <c r="C211" s="643" t="s">
        <v>1385</v>
      </c>
      <c r="D211" s="3075">
        <v>2</v>
      </c>
      <c r="E211" s="3076" t="str">
        <f t="shared" si="26"/>
        <v>短期借款</v>
      </c>
      <c r="F211" s="3077" t="s">
        <v>1386</v>
      </c>
      <c r="G211" s="3078">
        <f t="shared" si="27"/>
        <v>0</v>
      </c>
      <c r="H211" s="3079">
        <f t="shared" ca="1" si="28"/>
        <v>0</v>
      </c>
      <c r="I211" s="3081" t="s">
        <v>6799</v>
      </c>
      <c r="J211" s="3060"/>
      <c r="K211" s="3078">
        <f t="shared" si="22"/>
        <v>0</v>
      </c>
      <c r="L211" s="3059">
        <f t="shared" ref="L211:L218" ca="1" si="29">INDIRECT("Notes!CheckB"&amp;$C211)</f>
        <v>0</v>
      </c>
      <c r="M211" s="3081" t="s">
        <v>6799</v>
      </c>
      <c r="N211" s="3060"/>
      <c r="O211" s="3087"/>
      <c r="P211" s="3088"/>
      <c r="Q211" s="3088"/>
      <c r="R211" s="3088"/>
      <c r="S211" s="3089" t="s">
        <v>295</v>
      </c>
      <c r="T211" s="3089" t="s">
        <v>213</v>
      </c>
      <c r="U211" s="3090"/>
      <c r="V211" s="3090" t="s">
        <v>295</v>
      </c>
      <c r="W211" s="3090" t="s">
        <v>6793</v>
      </c>
      <c r="X211" s="3090" t="s">
        <v>213</v>
      </c>
      <c r="Y211" s="3091" t="s">
        <v>164</v>
      </c>
    </row>
    <row r="212" spans="1:25" ht="18">
      <c r="A212" s="1304"/>
      <c r="B212" s="643">
        <v>2102</v>
      </c>
      <c r="C212" s="643" t="s">
        <v>1395</v>
      </c>
      <c r="D212" s="3075">
        <v>1</v>
      </c>
      <c r="E212" s="3076" t="str">
        <f t="shared" si="26"/>
        <v>交易性金融负债</v>
      </c>
      <c r="F212" s="3077" t="s">
        <v>1396</v>
      </c>
      <c r="G212" s="3078">
        <f t="shared" si="27"/>
        <v>0</v>
      </c>
      <c r="H212" s="3079">
        <f t="shared" ca="1" si="28"/>
        <v>0</v>
      </c>
      <c r="I212" s="3081">
        <f ca="1">IF(AND(LEN(G212)&gt;0,LEN(H212)&gt;0),ROUND(SUM(G212)-SUM(H212),2),"")</f>
        <v>0</v>
      </c>
      <c r="J212" s="3060" t="str">
        <f ca="1">IF(ISNA(I212),"N/A",IF(I212=0,"√","？"))</f>
        <v>√</v>
      </c>
      <c r="K212" s="3078">
        <f t="shared" si="22"/>
        <v>0</v>
      </c>
      <c r="L212" s="3059">
        <f t="shared" ca="1" si="29"/>
        <v>0</v>
      </c>
      <c r="M212" s="3081">
        <f ca="1">IF(AND(LEN(K212)&gt;0,LEN(L212)&gt;0),ROUND(SUM(K212)-SUM(L212),2),"")</f>
        <v>0</v>
      </c>
      <c r="N212" s="3060" t="str">
        <f ca="1">IF(ISNA(M212),"N/A",IF(M212=0,"√","？"))</f>
        <v>√</v>
      </c>
      <c r="O212" s="3087"/>
      <c r="P212" s="3088"/>
      <c r="Q212" s="3088"/>
      <c r="R212" s="3088"/>
      <c r="S212" s="3089" t="s">
        <v>295</v>
      </c>
      <c r="T212" s="3089" t="s">
        <v>213</v>
      </c>
      <c r="U212" s="3090"/>
      <c r="V212" s="3090" t="s">
        <v>295</v>
      </c>
      <c r="W212" s="3090" t="s">
        <v>145</v>
      </c>
      <c r="X212" s="3090" t="s">
        <v>6796</v>
      </c>
      <c r="Y212" s="3091" t="s">
        <v>119</v>
      </c>
    </row>
    <row r="213" spans="1:25" ht="48" hidden="1">
      <c r="A213" s="1304"/>
      <c r="B213" s="643">
        <v>2102</v>
      </c>
      <c r="C213" s="643" t="s">
        <v>1400</v>
      </c>
      <c r="D213" s="3075">
        <v>2</v>
      </c>
      <c r="E213" s="3076" t="str">
        <f t="shared" si="26"/>
        <v>交易性金融负债</v>
      </c>
      <c r="F213" s="3077" t="s">
        <v>1401</v>
      </c>
      <c r="G213" s="3078">
        <f t="shared" si="27"/>
        <v>0</v>
      </c>
      <c r="H213" s="3079">
        <f t="shared" ca="1" si="28"/>
        <v>0</v>
      </c>
      <c r="I213" s="3081" t="s">
        <v>6799</v>
      </c>
      <c r="J213" s="3060"/>
      <c r="K213" s="3078">
        <f t="shared" si="22"/>
        <v>0</v>
      </c>
      <c r="L213" s="3059">
        <f t="shared" ca="1" si="29"/>
        <v>0</v>
      </c>
      <c r="M213" s="3081" t="s">
        <v>6799</v>
      </c>
      <c r="N213" s="3060"/>
      <c r="O213" s="3087"/>
      <c r="P213" s="3088"/>
      <c r="Q213" s="3088"/>
      <c r="R213" s="3088"/>
      <c r="S213" s="3089" t="s">
        <v>295</v>
      </c>
      <c r="T213" s="3089" t="s">
        <v>213</v>
      </c>
      <c r="U213" s="3090"/>
      <c r="V213" s="3090" t="s">
        <v>295</v>
      </c>
      <c r="W213" s="3090" t="s">
        <v>145</v>
      </c>
      <c r="X213" s="3090" t="s">
        <v>6796</v>
      </c>
      <c r="Y213" s="3091" t="s">
        <v>119</v>
      </c>
    </row>
    <row r="214" spans="1:25" ht="36">
      <c r="A214" s="1304"/>
      <c r="B214" s="643">
        <v>2101</v>
      </c>
      <c r="C214" s="643" t="s">
        <v>1390</v>
      </c>
      <c r="D214" s="3075">
        <v>1</v>
      </c>
      <c r="E214" s="3076" t="str">
        <f t="shared" si="26"/>
        <v>以公允价值计量且其变动计入当期损益的金融负债</v>
      </c>
      <c r="F214" s="3077" t="s">
        <v>1391</v>
      </c>
      <c r="G214" s="3078">
        <f t="shared" si="27"/>
        <v>0</v>
      </c>
      <c r="H214" s="3079">
        <f t="shared" ca="1" si="28"/>
        <v>0</v>
      </c>
      <c r="I214" s="3081">
        <f ca="1">IF(AND(LEN(G214)&gt;0,LEN(H214)&gt;0),ROUND(SUM(G214)-SUM(H214),2),"")</f>
        <v>0</v>
      </c>
      <c r="J214" s="3060" t="str">
        <f ca="1">IF(ISNA(I214),"N/A",IF(I214=0,"√","？"))</f>
        <v>√</v>
      </c>
      <c r="K214" s="3078">
        <f t="shared" si="22"/>
        <v>0</v>
      </c>
      <c r="L214" s="3059">
        <f t="shared" ca="1" si="29"/>
        <v>0</v>
      </c>
      <c r="M214" s="3081">
        <f ca="1">IF(AND(LEN(K214)&gt;0,LEN(L214)&gt;0),ROUND(SUM(K214)-SUM(L214),2),"")</f>
        <v>0</v>
      </c>
      <c r="N214" s="3060" t="str">
        <f ca="1">IF(ISNA(M214),"N/A",IF(M214=0,"√","？"))</f>
        <v>√</v>
      </c>
      <c r="O214" s="3087"/>
      <c r="P214" s="3088"/>
      <c r="Q214" s="3088"/>
      <c r="R214" s="3088"/>
      <c r="S214" s="3089" t="s">
        <v>295</v>
      </c>
      <c r="T214" s="3089" t="s">
        <v>213</v>
      </c>
      <c r="U214" s="3090"/>
      <c r="V214" s="3090" t="s">
        <v>295</v>
      </c>
      <c r="W214" s="3090" t="s">
        <v>6793</v>
      </c>
      <c r="X214" s="3090" t="s">
        <v>6794</v>
      </c>
      <c r="Y214" s="3091" t="s">
        <v>164</v>
      </c>
    </row>
    <row r="215" spans="1:25" ht="18">
      <c r="A215" s="1304"/>
      <c r="B215" s="643">
        <v>2115</v>
      </c>
      <c r="C215" s="643" t="s">
        <v>1405</v>
      </c>
      <c r="D215" s="3075">
        <v>1</v>
      </c>
      <c r="E215" s="3076" t="str">
        <f t="shared" si="26"/>
        <v>衍生金融负债</v>
      </c>
      <c r="F215" s="3077" t="s">
        <v>1406</v>
      </c>
      <c r="G215" s="3078">
        <f t="shared" si="27"/>
        <v>0</v>
      </c>
      <c r="H215" s="3079">
        <f t="shared" ca="1" si="28"/>
        <v>0</v>
      </c>
      <c r="I215" s="3081">
        <f ca="1">IF(AND(LEN(G215)&gt;0,LEN(H215)&gt;0),ROUND(SUM(G215)-SUM(H215),2),"")</f>
        <v>0</v>
      </c>
      <c r="J215" s="3060" t="str">
        <f ca="1">IF(ISNA(I215),"N/A",IF(I215=0,"√","？"))</f>
        <v>√</v>
      </c>
      <c r="K215" s="3078">
        <f t="shared" si="22"/>
        <v>0</v>
      </c>
      <c r="L215" s="3059">
        <f t="shared" ca="1" si="29"/>
        <v>0</v>
      </c>
      <c r="M215" s="3081">
        <f ca="1">IF(AND(LEN(K215)&gt;0,LEN(L215)&gt;0),ROUND(SUM(K215)-SUM(L215),2),"")</f>
        <v>0</v>
      </c>
      <c r="N215" s="3060" t="str">
        <f ca="1">IF(ISNA(M215),"N/A",IF(M215=0,"√","？"))</f>
        <v>√</v>
      </c>
      <c r="O215" s="3087"/>
      <c r="P215" s="3088"/>
      <c r="Q215" s="3088"/>
      <c r="R215" s="3088"/>
      <c r="S215" s="3089" t="s">
        <v>295</v>
      </c>
      <c r="T215" s="3089" t="s">
        <v>213</v>
      </c>
      <c r="U215" s="3090"/>
      <c r="V215" s="3090" t="s">
        <v>295</v>
      </c>
      <c r="W215" s="3090" t="s">
        <v>6793</v>
      </c>
      <c r="X215" s="3090" t="s">
        <v>6794</v>
      </c>
      <c r="Y215" s="3091" t="s">
        <v>164</v>
      </c>
    </row>
    <row r="216" spans="1:25" ht="18">
      <c r="A216" s="1304"/>
      <c r="B216" s="643">
        <v>2201</v>
      </c>
      <c r="C216" s="643" t="s">
        <v>1410</v>
      </c>
      <c r="D216" s="3075">
        <v>1</v>
      </c>
      <c r="E216" s="3076" t="str">
        <f t="shared" si="26"/>
        <v>应付票据</v>
      </c>
      <c r="F216" s="3077" t="s">
        <v>1411</v>
      </c>
      <c r="G216" s="3078">
        <f t="shared" si="27"/>
        <v>0</v>
      </c>
      <c r="H216" s="3079">
        <f t="shared" ca="1" si="28"/>
        <v>0</v>
      </c>
      <c r="I216" s="3081">
        <f ca="1">IF(AND(LEN(G216)&gt;0,LEN(H216)&gt;0),ROUND(SUM(G216)-SUM(H216),2),"")</f>
        <v>0</v>
      </c>
      <c r="J216" s="3060" t="str">
        <f ca="1">IF(ISNA(I216),"N/A",IF(I216=0,"√","？"))</f>
        <v>√</v>
      </c>
      <c r="K216" s="3078">
        <f t="shared" si="22"/>
        <v>0</v>
      </c>
      <c r="L216" s="3059">
        <f t="shared" ca="1" si="29"/>
        <v>0</v>
      </c>
      <c r="M216" s="3081">
        <f ca="1">IF(AND(LEN(K216)&gt;0,LEN(L216)&gt;0),ROUND(SUM(K216)-SUM(L216),2),"")</f>
        <v>0</v>
      </c>
      <c r="N216" s="3060" t="str">
        <f ca="1">IF(ISNA(M216),"N/A",IF(M216=0,"√","？"))</f>
        <v>√</v>
      </c>
      <c r="O216" s="3087"/>
      <c r="P216" s="3088"/>
      <c r="Q216" s="3088"/>
      <c r="R216" s="3088"/>
      <c r="S216" s="3089" t="s">
        <v>295</v>
      </c>
      <c r="T216" s="3089" t="s">
        <v>213</v>
      </c>
      <c r="U216" s="3090"/>
      <c r="V216" s="3090" t="s">
        <v>295</v>
      </c>
      <c r="W216" s="3090" t="s">
        <v>6793</v>
      </c>
      <c r="X216" s="3090" t="s">
        <v>6794</v>
      </c>
      <c r="Y216" s="3091" t="s">
        <v>164</v>
      </c>
    </row>
    <row r="217" spans="1:25" ht="18">
      <c r="A217" s="1304"/>
      <c r="B217" s="643">
        <v>2202</v>
      </c>
      <c r="C217" s="643" t="s">
        <v>1416</v>
      </c>
      <c r="D217" s="3075">
        <v>1</v>
      </c>
      <c r="E217" s="3076" t="str">
        <f t="shared" si="26"/>
        <v>应付账款</v>
      </c>
      <c r="F217" s="3077" t="s">
        <v>1417</v>
      </c>
      <c r="G217" s="3078">
        <f t="shared" si="27"/>
        <v>0</v>
      </c>
      <c r="H217" s="3079">
        <f t="shared" ca="1" si="28"/>
        <v>0</v>
      </c>
      <c r="I217" s="3081">
        <f ca="1">IF(AND(LEN(G217)&gt;0,LEN(H217)&gt;0),ROUND(SUM(G217)-SUM(H217),2),"")</f>
        <v>0</v>
      </c>
      <c r="J217" s="3060" t="str">
        <f ca="1">IF(ISNA(I217),"N/A",IF(I217=0,"√","？"))</f>
        <v>√</v>
      </c>
      <c r="K217" s="3078">
        <f t="shared" si="22"/>
        <v>0</v>
      </c>
      <c r="L217" s="3059">
        <f t="shared" ca="1" si="29"/>
        <v>0</v>
      </c>
      <c r="M217" s="3081">
        <f ca="1">IF(AND(LEN(K217)&gt;0,LEN(L217)&gt;0),ROUND(SUM(K217)-SUM(L217),2),"")</f>
        <v>0</v>
      </c>
      <c r="N217" s="3060" t="str">
        <f ca="1">IF(ISNA(M217),"N/A",IF(M217=0,"√","？"))</f>
        <v>√</v>
      </c>
      <c r="O217" s="3087"/>
      <c r="P217" s="3088"/>
      <c r="Q217" s="3088"/>
      <c r="R217" s="3088"/>
      <c r="S217" s="3089" t="s">
        <v>295</v>
      </c>
      <c r="T217" s="3089" t="s">
        <v>213</v>
      </c>
      <c r="U217" s="3090"/>
      <c r="V217" s="3090" t="s">
        <v>295</v>
      </c>
      <c r="W217" s="3090" t="s">
        <v>6793</v>
      </c>
      <c r="X217" s="3090" t="s">
        <v>6794</v>
      </c>
      <c r="Y217" s="3091" t="s">
        <v>164</v>
      </c>
    </row>
    <row r="218" spans="1:25" ht="18">
      <c r="A218" s="1304"/>
      <c r="B218" s="643">
        <v>2202</v>
      </c>
      <c r="C218" s="643" t="s">
        <v>1427</v>
      </c>
      <c r="D218" s="3075">
        <v>1</v>
      </c>
      <c r="E218" s="3076" t="str">
        <f t="shared" si="26"/>
        <v>应付账款</v>
      </c>
      <c r="F218" s="3077" t="s">
        <v>1428</v>
      </c>
      <c r="G218" s="3078">
        <f t="shared" si="27"/>
        <v>0</v>
      </c>
      <c r="H218" s="3079">
        <f t="shared" ca="1" si="28"/>
        <v>0</v>
      </c>
      <c r="I218" s="3081">
        <f ca="1">IF(AND(LEN(G218)&gt;0,LEN(H218)&gt;0),ROUND(SUM(G218)-SUM(H218),2),"")</f>
        <v>0</v>
      </c>
      <c r="J218" s="3060" t="str">
        <f ca="1">IF(ISNA(I218),"N/A",IF(I218=0,"√","？"))</f>
        <v>√</v>
      </c>
      <c r="K218" s="3078">
        <f t="shared" si="22"/>
        <v>0</v>
      </c>
      <c r="L218" s="3059">
        <f t="shared" ca="1" si="29"/>
        <v>0</v>
      </c>
      <c r="M218" s="3081">
        <f ca="1">IF(AND(LEN(K218)&gt;0,LEN(L218)&gt;0),ROUND(SUM(K218)-SUM(L218),2),"")</f>
        <v>0</v>
      </c>
      <c r="N218" s="3060" t="str">
        <f ca="1">IF(ISNA(M218),"N/A",IF(M218=0,"√","？"))</f>
        <v>√</v>
      </c>
      <c r="O218" s="3087"/>
      <c r="P218" s="3088"/>
      <c r="Q218" s="3088"/>
      <c r="R218" s="3088"/>
      <c r="S218" s="3089" t="s">
        <v>295</v>
      </c>
      <c r="T218" s="3089" t="s">
        <v>213</v>
      </c>
      <c r="U218" s="3090"/>
      <c r="V218" s="3090" t="s">
        <v>295</v>
      </c>
      <c r="W218" s="3090" t="s">
        <v>6793</v>
      </c>
      <c r="X218" s="3090" t="s">
        <v>213</v>
      </c>
      <c r="Y218" s="3091" t="s">
        <v>164</v>
      </c>
    </row>
    <row r="219" spans="1:25" ht="24" hidden="1">
      <c r="A219" s="1304"/>
      <c r="B219" s="643">
        <v>2202</v>
      </c>
      <c r="C219" s="643" t="s">
        <v>1421</v>
      </c>
      <c r="D219" s="3075">
        <v>2</v>
      </c>
      <c r="E219" s="3076" t="str">
        <f t="shared" si="26"/>
        <v>应付账款</v>
      </c>
      <c r="F219" s="3077" t="s">
        <v>1422</v>
      </c>
      <c r="G219" s="3078">
        <f t="shared" si="27"/>
        <v>0</v>
      </c>
      <c r="H219" s="3079">
        <f t="shared" ca="1" si="28"/>
        <v>0</v>
      </c>
      <c r="I219" s="3081" t="s">
        <v>6799</v>
      </c>
      <c r="J219" s="3060"/>
      <c r="K219" s="3078">
        <f t="shared" si="22"/>
        <v>0</v>
      </c>
      <c r="L219" s="3059" t="s">
        <v>6795</v>
      </c>
      <c r="M219" s="3081" t="s">
        <v>6799</v>
      </c>
      <c r="N219" s="3060"/>
      <c r="O219" s="3087"/>
      <c r="P219" s="3088"/>
      <c r="Q219" s="3088"/>
      <c r="R219" s="3088"/>
      <c r="S219" s="3089" t="s">
        <v>295</v>
      </c>
      <c r="T219" s="3089" t="s">
        <v>213</v>
      </c>
      <c r="U219" s="3090"/>
      <c r="V219" s="3090" t="s">
        <v>295</v>
      </c>
      <c r="W219" s="3090" t="s">
        <v>6793</v>
      </c>
      <c r="X219" s="3090" t="s">
        <v>6794</v>
      </c>
      <c r="Y219" s="3091" t="s">
        <v>164</v>
      </c>
    </row>
    <row r="220" spans="1:25" ht="18" hidden="1">
      <c r="A220" s="1304"/>
      <c r="B220" s="643">
        <v>2202</v>
      </c>
      <c r="C220" s="643" t="s">
        <v>1437</v>
      </c>
      <c r="D220" s="3075">
        <v>2</v>
      </c>
      <c r="E220" s="3076" t="str">
        <f t="shared" si="26"/>
        <v>应付账款</v>
      </c>
      <c r="F220" s="3077" t="s">
        <v>1438</v>
      </c>
      <c r="G220" s="3078">
        <f t="shared" si="27"/>
        <v>0</v>
      </c>
      <c r="H220" s="3079">
        <f t="shared" ca="1" si="28"/>
        <v>0</v>
      </c>
      <c r="I220" s="3081" t="s">
        <v>6799</v>
      </c>
      <c r="J220" s="3060"/>
      <c r="K220" s="3078">
        <f t="shared" si="22"/>
        <v>0</v>
      </c>
      <c r="L220" s="3059" t="s">
        <v>6795</v>
      </c>
      <c r="M220" s="3081" t="s">
        <v>6799</v>
      </c>
      <c r="N220" s="3060"/>
      <c r="O220" s="3087"/>
      <c r="P220" s="3088"/>
      <c r="Q220" s="3088"/>
      <c r="R220" s="3088"/>
      <c r="S220" s="3089" t="s">
        <v>295</v>
      </c>
      <c r="T220" s="3089" t="s">
        <v>213</v>
      </c>
      <c r="U220" s="3090"/>
      <c r="V220" s="3090" t="s">
        <v>295</v>
      </c>
      <c r="W220" s="3090" t="s">
        <v>6793</v>
      </c>
      <c r="X220" s="3090" t="s">
        <v>213</v>
      </c>
      <c r="Y220" s="3091" t="s">
        <v>164</v>
      </c>
    </row>
    <row r="221" spans="1:25" ht="24" hidden="1">
      <c r="A221" s="1304"/>
      <c r="B221" s="643">
        <v>2202</v>
      </c>
      <c r="C221" s="643" t="s">
        <v>1432</v>
      </c>
      <c r="D221" s="3075">
        <v>2</v>
      </c>
      <c r="E221" s="3076" t="str">
        <f t="shared" si="26"/>
        <v>应付账款</v>
      </c>
      <c r="F221" s="3077" t="s">
        <v>1433</v>
      </c>
      <c r="G221" s="3078">
        <f t="shared" si="27"/>
        <v>0</v>
      </c>
      <c r="H221" s="3079" t="s">
        <v>6795</v>
      </c>
      <c r="I221" s="3081" t="s">
        <v>6799</v>
      </c>
      <c r="J221" s="3060"/>
      <c r="K221" s="3078">
        <f t="shared" si="22"/>
        <v>0</v>
      </c>
      <c r="L221" s="3059" t="s">
        <v>6795</v>
      </c>
      <c r="M221" s="3081" t="s">
        <v>6799</v>
      </c>
      <c r="N221" s="3060"/>
      <c r="O221" s="3087"/>
      <c r="P221" s="3088"/>
      <c r="Q221" s="3088"/>
      <c r="R221" s="3088"/>
      <c r="S221" s="3089" t="s">
        <v>295</v>
      </c>
      <c r="T221" s="3089" t="s">
        <v>213</v>
      </c>
      <c r="U221" s="3090"/>
      <c r="V221" s="3090" t="s">
        <v>295</v>
      </c>
      <c r="W221" s="3090" t="s">
        <v>6793</v>
      </c>
      <c r="X221" s="3090" t="s">
        <v>213</v>
      </c>
      <c r="Y221" s="3091" t="s">
        <v>164</v>
      </c>
    </row>
    <row r="222" spans="1:25" ht="24" hidden="1">
      <c r="A222" s="1304"/>
      <c r="B222" s="643">
        <v>2202</v>
      </c>
      <c r="C222" s="643" t="s">
        <v>1443</v>
      </c>
      <c r="D222" s="3075">
        <v>2</v>
      </c>
      <c r="E222" s="3076" t="str">
        <f t="shared" si="26"/>
        <v>应付账款</v>
      </c>
      <c r="F222" s="3077" t="s">
        <v>1444</v>
      </c>
      <c r="G222" s="3078">
        <f t="shared" si="27"/>
        <v>0</v>
      </c>
      <c r="H222" s="3079">
        <f t="shared" ref="H222:H228" ca="1" si="30">INDIRECT("Notes!CheckA"&amp;$C222)</f>
        <v>0</v>
      </c>
      <c r="I222" s="3081" t="s">
        <v>6799</v>
      </c>
      <c r="J222" s="3060"/>
      <c r="K222" s="3078">
        <f t="shared" si="22"/>
        <v>0</v>
      </c>
      <c r="L222" s="3059" t="s">
        <v>6795</v>
      </c>
      <c r="M222" s="3081" t="s">
        <v>6799</v>
      </c>
      <c r="N222" s="3060"/>
      <c r="O222" s="3087"/>
      <c r="P222" s="3088"/>
      <c r="Q222" s="3088"/>
      <c r="R222" s="3088"/>
      <c r="S222" s="3089" t="s">
        <v>295</v>
      </c>
      <c r="T222" s="3089" t="s">
        <v>213</v>
      </c>
      <c r="U222" s="3090"/>
      <c r="V222" s="3090" t="s">
        <v>295</v>
      </c>
      <c r="W222" s="3090" t="s">
        <v>6793</v>
      </c>
      <c r="X222" s="3090" t="s">
        <v>213</v>
      </c>
      <c r="Y222" s="3091" t="s">
        <v>164</v>
      </c>
    </row>
    <row r="223" spans="1:25" ht="18" hidden="1">
      <c r="A223" s="1304"/>
      <c r="B223" s="643">
        <v>2202</v>
      </c>
      <c r="C223" s="643" t="s">
        <v>1448</v>
      </c>
      <c r="D223" s="3075">
        <v>2</v>
      </c>
      <c r="E223" s="3076" t="str">
        <f t="shared" si="26"/>
        <v>应付账款</v>
      </c>
      <c r="F223" s="3077" t="s">
        <v>1449</v>
      </c>
      <c r="G223" s="3078">
        <f t="shared" si="27"/>
        <v>0</v>
      </c>
      <c r="H223" s="3079">
        <f t="shared" ca="1" si="30"/>
        <v>0</v>
      </c>
      <c r="I223" s="3081" t="s">
        <v>6799</v>
      </c>
      <c r="J223" s="3060"/>
      <c r="K223" s="3078">
        <f t="shared" ref="K223:K286" si="31">IF(ISERROR(VLOOKUP($B223,Sheet_Trialbal,10,0)),"        ----",VLOOKUP($B223,Sheet_Trialbal,10,0))</f>
        <v>0</v>
      </c>
      <c r="L223" s="3059" t="s">
        <v>6795</v>
      </c>
      <c r="M223" s="3081" t="s">
        <v>6799</v>
      </c>
      <c r="N223" s="3060"/>
      <c r="O223" s="3087"/>
      <c r="P223" s="3088"/>
      <c r="Q223" s="3088"/>
      <c r="R223" s="3088"/>
      <c r="S223" s="3089" t="s">
        <v>295</v>
      </c>
      <c r="T223" s="3089" t="s">
        <v>213</v>
      </c>
      <c r="U223" s="3090"/>
      <c r="V223" s="3090" t="s">
        <v>295</v>
      </c>
      <c r="W223" s="3090" t="s">
        <v>6793</v>
      </c>
      <c r="X223" s="3090" t="s">
        <v>213</v>
      </c>
      <c r="Y223" s="3091" t="s">
        <v>164</v>
      </c>
    </row>
    <row r="224" spans="1:25" ht="18">
      <c r="A224" s="1304"/>
      <c r="B224" s="643">
        <v>2205</v>
      </c>
      <c r="C224" s="643" t="s">
        <v>1458</v>
      </c>
      <c r="D224" s="3075">
        <v>1</v>
      </c>
      <c r="E224" s="3076" t="str">
        <f t="shared" si="26"/>
        <v>预收款项</v>
      </c>
      <c r="F224" s="3077" t="s">
        <v>1459</v>
      </c>
      <c r="G224" s="3078">
        <f t="shared" si="27"/>
        <v>0</v>
      </c>
      <c r="H224" s="3079">
        <f t="shared" ca="1" si="30"/>
        <v>0</v>
      </c>
      <c r="I224" s="3081">
        <f ca="1">IF(AND(LEN(G224)&gt;0,LEN(H224)&gt;0),ROUND(SUM(G224)-SUM(H224),2),"")</f>
        <v>0</v>
      </c>
      <c r="J224" s="3060" t="str">
        <f ca="1">IF(ISNA(I224),"N/A",IF(I224=0,"√","？"))</f>
        <v>√</v>
      </c>
      <c r="K224" s="3078">
        <f t="shared" si="31"/>
        <v>0</v>
      </c>
      <c r="L224" s="3059">
        <f ca="1">INDIRECT("Notes!CheckB"&amp;$C224)</f>
        <v>0</v>
      </c>
      <c r="M224" s="3081">
        <f ca="1">IF(AND(LEN(K224)&gt;0,LEN(L224)&gt;0),ROUND(SUM(K224)-SUM(L224),2),"")</f>
        <v>0</v>
      </c>
      <c r="N224" s="3060" t="str">
        <f ca="1">IF(ISNA(M224),"N/A",IF(M224=0,"√","？"))</f>
        <v>√</v>
      </c>
      <c r="O224" s="3087"/>
      <c r="P224" s="3088"/>
      <c r="Q224" s="3088"/>
      <c r="R224" s="3088"/>
      <c r="S224" s="3089" t="s">
        <v>295</v>
      </c>
      <c r="T224" s="3089" t="s">
        <v>213</v>
      </c>
      <c r="U224" s="3090"/>
      <c r="V224" s="3090" t="s">
        <v>295</v>
      </c>
      <c r="W224" s="3090" t="s">
        <v>6793</v>
      </c>
      <c r="X224" s="3090" t="s">
        <v>6794</v>
      </c>
      <c r="Y224" s="3091" t="s">
        <v>164</v>
      </c>
    </row>
    <row r="225" spans="1:25" ht="18">
      <c r="A225" s="1304"/>
      <c r="B225" s="643">
        <v>2205</v>
      </c>
      <c r="C225" s="643" t="s">
        <v>1490</v>
      </c>
      <c r="D225" s="3075">
        <v>1</v>
      </c>
      <c r="E225" s="3076" t="str">
        <f t="shared" si="26"/>
        <v>预收款项</v>
      </c>
      <c r="F225" s="3077" t="s">
        <v>1491</v>
      </c>
      <c r="G225" s="3078">
        <f t="shared" si="27"/>
        <v>0</v>
      </c>
      <c r="H225" s="3079">
        <f t="shared" ca="1" si="30"/>
        <v>0</v>
      </c>
      <c r="I225" s="3081">
        <f ca="1">IF(AND(LEN(G225)&gt;0,LEN(H225)&gt;0),ROUND(SUM(G225)-SUM(H225),2),"")</f>
        <v>0</v>
      </c>
      <c r="J225" s="3060" t="str">
        <f ca="1">IF(ISNA(I225),"N/A",IF(I225=0,"√","？"))</f>
        <v>√</v>
      </c>
      <c r="K225" s="3078">
        <f t="shared" si="31"/>
        <v>0</v>
      </c>
      <c r="L225" s="3059">
        <f ca="1">INDIRECT("Notes!CheckB"&amp;$C225)</f>
        <v>0</v>
      </c>
      <c r="M225" s="3081">
        <f ca="1">IF(AND(LEN(K225)&gt;0,LEN(L225)&gt;0),ROUND(SUM(K225)-SUM(L225),2),"")</f>
        <v>0</v>
      </c>
      <c r="N225" s="3060" t="str">
        <f ca="1">IF(ISNA(M225),"N/A",IF(M225=0,"√","？"))</f>
        <v>√</v>
      </c>
      <c r="O225" s="3087"/>
      <c r="P225" s="3088"/>
      <c r="Q225" s="3088"/>
      <c r="R225" s="3088"/>
      <c r="S225" s="3089" t="s">
        <v>295</v>
      </c>
      <c r="T225" s="3089" t="s">
        <v>213</v>
      </c>
      <c r="U225" s="3090"/>
      <c r="V225" s="3090" t="s">
        <v>295</v>
      </c>
      <c r="W225" s="3090" t="s">
        <v>6793</v>
      </c>
      <c r="X225" s="3090" t="s">
        <v>213</v>
      </c>
      <c r="Y225" s="3091" t="s">
        <v>164</v>
      </c>
    </row>
    <row r="226" spans="1:25" ht="24" hidden="1">
      <c r="A226" s="1304"/>
      <c r="B226" s="643">
        <v>2205</v>
      </c>
      <c r="C226" s="643" t="s">
        <v>1463</v>
      </c>
      <c r="D226" s="3075">
        <v>2</v>
      </c>
      <c r="E226" s="3076" t="str">
        <f t="shared" si="26"/>
        <v>预收款项</v>
      </c>
      <c r="F226" s="3077" t="s">
        <v>1464</v>
      </c>
      <c r="G226" s="3078">
        <f t="shared" si="27"/>
        <v>0</v>
      </c>
      <c r="H226" s="3079">
        <f t="shared" ca="1" si="30"/>
        <v>0</v>
      </c>
      <c r="I226" s="3081" t="s">
        <v>6799</v>
      </c>
      <c r="J226" s="3060"/>
      <c r="K226" s="3078">
        <f t="shared" si="31"/>
        <v>0</v>
      </c>
      <c r="L226" s="3059" t="s">
        <v>6795</v>
      </c>
      <c r="M226" s="3081" t="s">
        <v>6799</v>
      </c>
      <c r="N226" s="3060"/>
      <c r="O226" s="3087"/>
      <c r="P226" s="3088"/>
      <c r="Q226" s="3088"/>
      <c r="R226" s="3088"/>
      <c r="S226" s="3089" t="s">
        <v>295</v>
      </c>
      <c r="T226" s="3089" t="s">
        <v>213</v>
      </c>
      <c r="U226" s="3090"/>
      <c r="V226" s="3090" t="s">
        <v>295</v>
      </c>
      <c r="W226" s="3090" t="s">
        <v>6793</v>
      </c>
      <c r="X226" s="3090" t="s">
        <v>6794</v>
      </c>
      <c r="Y226" s="3091" t="s">
        <v>164</v>
      </c>
    </row>
    <row r="227" spans="1:25" ht="24" hidden="1">
      <c r="A227" s="1304"/>
      <c r="B227" s="643">
        <v>2205</v>
      </c>
      <c r="C227" s="643" t="s">
        <v>1469</v>
      </c>
      <c r="D227" s="3075">
        <v>2</v>
      </c>
      <c r="E227" s="3076" t="str">
        <f t="shared" si="26"/>
        <v>预收款项</v>
      </c>
      <c r="F227" s="3077" t="s">
        <v>1470</v>
      </c>
      <c r="G227" s="3078">
        <f t="shared" si="27"/>
        <v>0</v>
      </c>
      <c r="H227" s="3079">
        <f t="shared" ca="1" si="30"/>
        <v>0</v>
      </c>
      <c r="I227" s="3081" t="s">
        <v>6799</v>
      </c>
      <c r="J227" s="3060"/>
      <c r="K227" s="3078">
        <f t="shared" si="31"/>
        <v>0</v>
      </c>
      <c r="L227" s="3059" t="s">
        <v>6795</v>
      </c>
      <c r="M227" s="3081" t="s">
        <v>6799</v>
      </c>
      <c r="N227" s="3060"/>
      <c r="O227" s="3087"/>
      <c r="P227" s="3088"/>
      <c r="Q227" s="3088"/>
      <c r="R227" s="3088"/>
      <c r="S227" s="3089" t="s">
        <v>295</v>
      </c>
      <c r="T227" s="3089" t="s">
        <v>213</v>
      </c>
      <c r="U227" s="3090"/>
      <c r="V227" s="3090" t="s">
        <v>295</v>
      </c>
      <c r="W227" s="3090" t="s">
        <v>6793</v>
      </c>
      <c r="X227" s="3090" t="s">
        <v>6796</v>
      </c>
      <c r="Y227" s="3091" t="s">
        <v>164</v>
      </c>
    </row>
    <row r="228" spans="1:25" ht="24" hidden="1">
      <c r="A228" s="1304"/>
      <c r="B228" s="643">
        <v>2205</v>
      </c>
      <c r="C228" s="643" t="s">
        <v>1485</v>
      </c>
      <c r="D228" s="3075">
        <v>2</v>
      </c>
      <c r="E228" s="3076" t="str">
        <f t="shared" si="26"/>
        <v>预收款项</v>
      </c>
      <c r="F228" s="3077" t="s">
        <v>1486</v>
      </c>
      <c r="G228" s="3078">
        <f t="shared" si="27"/>
        <v>0</v>
      </c>
      <c r="H228" s="3079">
        <f t="shared" ca="1" si="30"/>
        <v>0</v>
      </c>
      <c r="I228" s="3081" t="s">
        <v>6799</v>
      </c>
      <c r="J228" s="3060"/>
      <c r="K228" s="3078">
        <f t="shared" si="31"/>
        <v>0</v>
      </c>
      <c r="L228" s="3059">
        <f ca="1">INDIRECT("Notes!CheckB"&amp;$C228)</f>
        <v>0</v>
      </c>
      <c r="M228" s="3081" t="s">
        <v>6799</v>
      </c>
      <c r="N228" s="3060"/>
      <c r="O228" s="3087"/>
      <c r="P228" s="3088"/>
      <c r="Q228" s="3088"/>
      <c r="R228" s="3088"/>
      <c r="S228" s="3089" t="s">
        <v>295</v>
      </c>
      <c r="T228" s="3089" t="s">
        <v>213</v>
      </c>
      <c r="U228" s="3090"/>
      <c r="V228" s="3090" t="s">
        <v>295</v>
      </c>
      <c r="W228" s="3090" t="s">
        <v>6793</v>
      </c>
      <c r="X228" s="3090" t="s">
        <v>213</v>
      </c>
      <c r="Y228" s="3091" t="s">
        <v>164</v>
      </c>
    </row>
    <row r="229" spans="1:25" ht="24" hidden="1">
      <c r="A229" s="1304"/>
      <c r="B229" s="643">
        <v>2205</v>
      </c>
      <c r="C229" s="643" t="s">
        <v>1474</v>
      </c>
      <c r="D229" s="3075">
        <v>2</v>
      </c>
      <c r="E229" s="3076" t="str">
        <f t="shared" si="26"/>
        <v>预收款项</v>
      </c>
      <c r="F229" s="3077" t="s">
        <v>1475</v>
      </c>
      <c r="G229" s="3078">
        <f t="shared" si="27"/>
        <v>0</v>
      </c>
      <c r="H229" s="3079" t="s">
        <v>6795</v>
      </c>
      <c r="I229" s="3081" t="s">
        <v>6799</v>
      </c>
      <c r="J229" s="3060"/>
      <c r="K229" s="3078">
        <f t="shared" si="31"/>
        <v>0</v>
      </c>
      <c r="L229" s="3059" t="s">
        <v>6795</v>
      </c>
      <c r="M229" s="3081" t="s">
        <v>6799</v>
      </c>
      <c r="N229" s="3060"/>
      <c r="O229" s="3087"/>
      <c r="P229" s="3088"/>
      <c r="Q229" s="3088"/>
      <c r="R229" s="3088"/>
      <c r="S229" s="3089" t="s">
        <v>295</v>
      </c>
      <c r="T229" s="3089" t="s">
        <v>213</v>
      </c>
      <c r="U229" s="3090"/>
      <c r="V229" s="3090" t="s">
        <v>295</v>
      </c>
      <c r="W229" s="3090" t="s">
        <v>6793</v>
      </c>
      <c r="X229" s="3090" t="s">
        <v>213</v>
      </c>
      <c r="Y229" s="3091" t="s">
        <v>164</v>
      </c>
    </row>
    <row r="230" spans="1:25" ht="18" hidden="1">
      <c r="A230" s="1304"/>
      <c r="B230" s="643">
        <v>2205</v>
      </c>
      <c r="C230" s="643" t="s">
        <v>1495</v>
      </c>
      <c r="D230" s="3075">
        <v>2</v>
      </c>
      <c r="E230" s="3076" t="str">
        <f t="shared" si="26"/>
        <v>预收款项</v>
      </c>
      <c r="F230" s="3077" t="s">
        <v>1496</v>
      </c>
      <c r="G230" s="3078">
        <f t="shared" si="27"/>
        <v>0</v>
      </c>
      <c r="H230" s="3079">
        <f t="shared" ref="H230:H239" ca="1" si="32">INDIRECT("Notes!CheckA"&amp;$C230)</f>
        <v>0</v>
      </c>
      <c r="I230" s="3081" t="s">
        <v>6799</v>
      </c>
      <c r="J230" s="3060"/>
      <c r="K230" s="3078">
        <f t="shared" si="31"/>
        <v>0</v>
      </c>
      <c r="L230" s="3059" t="s">
        <v>6795</v>
      </c>
      <c r="M230" s="3081" t="s">
        <v>6799</v>
      </c>
      <c r="N230" s="3060"/>
      <c r="O230" s="3087"/>
      <c r="P230" s="3088"/>
      <c r="Q230" s="3088"/>
      <c r="R230" s="3088"/>
      <c r="S230" s="3089" t="s">
        <v>295</v>
      </c>
      <c r="T230" s="3089" t="s">
        <v>213</v>
      </c>
      <c r="U230" s="3090"/>
      <c r="V230" s="3090" t="s">
        <v>295</v>
      </c>
      <c r="W230" s="3090" t="s">
        <v>6793</v>
      </c>
      <c r="X230" s="3090" t="s">
        <v>213</v>
      </c>
      <c r="Y230" s="3091" t="s">
        <v>164</v>
      </c>
    </row>
    <row r="231" spans="1:25" ht="18">
      <c r="A231" s="1304"/>
      <c r="B231" s="643">
        <v>2211</v>
      </c>
      <c r="C231" s="643" t="s">
        <v>1500</v>
      </c>
      <c r="D231" s="3075">
        <v>1</v>
      </c>
      <c r="E231" s="3076" t="str">
        <f t="shared" si="26"/>
        <v>应付职工薪酬</v>
      </c>
      <c r="F231" s="3077" t="s">
        <v>1501</v>
      </c>
      <c r="G231" s="3078">
        <f t="shared" si="27"/>
        <v>0</v>
      </c>
      <c r="H231" s="3079">
        <f t="shared" ca="1" si="32"/>
        <v>3527659.05</v>
      </c>
      <c r="I231" s="3081">
        <f ca="1">IF(AND(LEN(G231)&gt;0,LEN(H231)&gt;0),ROUND(SUM(G231)-SUM(H231),2),"")</f>
        <v>-3527659.05</v>
      </c>
      <c r="J231" s="3060" t="str">
        <f ca="1">IF(ISNA(I231),"N/A",IF(I231=0,"√","？"))</f>
        <v>？</v>
      </c>
      <c r="K231" s="3078">
        <f t="shared" si="31"/>
        <v>2712561.36</v>
      </c>
      <c r="L231" s="3059">
        <f t="shared" ref="L231:L239" ca="1" si="33">INDIRECT("Notes!CheckB"&amp;$C231)</f>
        <v>2712561.36</v>
      </c>
      <c r="M231" s="3081">
        <f ca="1">IF(AND(LEN(K231)&gt;0,LEN(L231)&gt;0),ROUND(SUM(K231)-SUM(L231),2),"")</f>
        <v>0</v>
      </c>
      <c r="N231" s="3060" t="str">
        <f ca="1">IF(ISNA(M231),"N/A",IF(M231=0,"√","？"))</f>
        <v>√</v>
      </c>
      <c r="O231" s="3087"/>
      <c r="P231" s="3088"/>
      <c r="Q231" s="3088"/>
      <c r="R231" s="3088"/>
      <c r="S231" s="3089" t="s">
        <v>295</v>
      </c>
      <c r="T231" s="3089" t="s">
        <v>213</v>
      </c>
      <c r="U231" s="3090"/>
      <c r="V231" s="3090" t="s">
        <v>295</v>
      </c>
      <c r="W231" s="3090" t="s">
        <v>6793</v>
      </c>
      <c r="X231" s="3090" t="s">
        <v>6794</v>
      </c>
      <c r="Y231" s="3091" t="s">
        <v>164</v>
      </c>
    </row>
    <row r="232" spans="1:25" ht="18" hidden="1">
      <c r="A232" s="1304"/>
      <c r="B232" s="643">
        <v>2211</v>
      </c>
      <c r="C232" s="643" t="s">
        <v>1505</v>
      </c>
      <c r="D232" s="3075">
        <v>2</v>
      </c>
      <c r="E232" s="3076" t="str">
        <f t="shared" si="26"/>
        <v>应付职工薪酬</v>
      </c>
      <c r="F232" s="3077" t="s">
        <v>1506</v>
      </c>
      <c r="G232" s="3078">
        <f t="shared" si="27"/>
        <v>0</v>
      </c>
      <c r="H232" s="3079">
        <f t="shared" ca="1" si="32"/>
        <v>2190782.63</v>
      </c>
      <c r="I232" s="3081" t="s">
        <v>6799</v>
      </c>
      <c r="J232" s="3060"/>
      <c r="K232" s="3078">
        <f t="shared" si="31"/>
        <v>2712561.36</v>
      </c>
      <c r="L232" s="3059">
        <f t="shared" ca="1" si="33"/>
        <v>2284886.84</v>
      </c>
      <c r="M232" s="3081" t="s">
        <v>6799</v>
      </c>
      <c r="N232" s="3060"/>
      <c r="O232" s="3087"/>
      <c r="P232" s="3088"/>
      <c r="Q232" s="3088"/>
      <c r="R232" s="3088"/>
      <c r="S232" s="3089" t="s">
        <v>295</v>
      </c>
      <c r="T232" s="3089" t="s">
        <v>213</v>
      </c>
      <c r="U232" s="3090"/>
      <c r="V232" s="3090" t="s">
        <v>295</v>
      </c>
      <c r="W232" s="3090" t="s">
        <v>6793</v>
      </c>
      <c r="X232" s="3090" t="s">
        <v>6794</v>
      </c>
      <c r="Y232" s="3091" t="s">
        <v>164</v>
      </c>
    </row>
    <row r="233" spans="1:25" ht="18" hidden="1">
      <c r="A233" s="1304"/>
      <c r="B233" s="643">
        <v>2211</v>
      </c>
      <c r="C233" s="643" t="s">
        <v>1510</v>
      </c>
      <c r="D233" s="3075">
        <v>2</v>
      </c>
      <c r="E233" s="3076" t="str">
        <f t="shared" si="26"/>
        <v>应付职工薪酬</v>
      </c>
      <c r="F233" s="3077" t="s">
        <v>1511</v>
      </c>
      <c r="G233" s="3078">
        <f t="shared" si="27"/>
        <v>0</v>
      </c>
      <c r="H233" s="3079">
        <f t="shared" ca="1" si="32"/>
        <v>125057.02</v>
      </c>
      <c r="I233" s="3081" t="s">
        <v>6799</v>
      </c>
      <c r="J233" s="3060"/>
      <c r="K233" s="3078">
        <f t="shared" si="31"/>
        <v>2712561.36</v>
      </c>
      <c r="L233" s="3059">
        <f t="shared" ca="1" si="33"/>
        <v>108231.8</v>
      </c>
      <c r="M233" s="3081" t="s">
        <v>6799</v>
      </c>
      <c r="N233" s="3060"/>
      <c r="O233" s="3087"/>
      <c r="P233" s="3088"/>
      <c r="Q233" s="3088"/>
      <c r="R233" s="3088"/>
      <c r="S233" s="3089" t="s">
        <v>295</v>
      </c>
      <c r="T233" s="3089" t="s">
        <v>213</v>
      </c>
      <c r="U233" s="3090"/>
      <c r="V233" s="3090" t="s">
        <v>295</v>
      </c>
      <c r="W233" s="3090" t="s">
        <v>6793</v>
      </c>
      <c r="X233" s="3090" t="s">
        <v>6794</v>
      </c>
      <c r="Y233" s="3091" t="s">
        <v>164</v>
      </c>
    </row>
    <row r="234" spans="1:25" ht="18" hidden="1">
      <c r="A234" s="1304"/>
      <c r="B234" s="643">
        <v>2211</v>
      </c>
      <c r="C234" s="643" t="s">
        <v>1515</v>
      </c>
      <c r="D234" s="3075">
        <v>2</v>
      </c>
      <c r="E234" s="3076" t="str">
        <f t="shared" si="26"/>
        <v>应付职工薪酬</v>
      </c>
      <c r="F234" s="3077" t="s">
        <v>1516</v>
      </c>
      <c r="G234" s="3078">
        <f t="shared" si="27"/>
        <v>0</v>
      </c>
      <c r="H234" s="3079">
        <f t="shared" ca="1" si="32"/>
        <v>0</v>
      </c>
      <c r="I234" s="3081" t="s">
        <v>6799</v>
      </c>
      <c r="J234" s="3060"/>
      <c r="K234" s="3078">
        <f t="shared" si="31"/>
        <v>2712561.36</v>
      </c>
      <c r="L234" s="3059">
        <f t="shared" ca="1" si="33"/>
        <v>0</v>
      </c>
      <c r="M234" s="3081" t="s">
        <v>6799</v>
      </c>
      <c r="N234" s="3060"/>
      <c r="O234" s="3087"/>
      <c r="P234" s="3088"/>
      <c r="Q234" s="3088"/>
      <c r="R234" s="3088"/>
      <c r="S234" s="3089" t="s">
        <v>295</v>
      </c>
      <c r="T234" s="3089" t="s">
        <v>213</v>
      </c>
      <c r="U234" s="3090"/>
      <c r="V234" s="3090" t="s">
        <v>295</v>
      </c>
      <c r="W234" s="3090" t="s">
        <v>6793</v>
      </c>
      <c r="X234" s="3090" t="s">
        <v>213</v>
      </c>
      <c r="Y234" s="3091" t="s">
        <v>164</v>
      </c>
    </row>
    <row r="235" spans="1:25" ht="18" hidden="1">
      <c r="A235" s="1304"/>
      <c r="B235" s="643">
        <v>2211</v>
      </c>
      <c r="C235" s="643" t="s">
        <v>1520</v>
      </c>
      <c r="D235" s="3075">
        <v>2</v>
      </c>
      <c r="E235" s="3076" t="str">
        <f t="shared" si="26"/>
        <v>应付职工薪酬</v>
      </c>
      <c r="F235" s="3077" t="s">
        <v>1521</v>
      </c>
      <c r="G235" s="3078">
        <f t="shared" si="27"/>
        <v>0</v>
      </c>
      <c r="H235" s="3079">
        <f t="shared" ca="1" si="32"/>
        <v>0</v>
      </c>
      <c r="I235" s="3081" t="s">
        <v>6799</v>
      </c>
      <c r="J235" s="3060"/>
      <c r="K235" s="3078">
        <f t="shared" si="31"/>
        <v>2712561.36</v>
      </c>
      <c r="L235" s="3059">
        <f t="shared" ca="1" si="33"/>
        <v>0</v>
      </c>
      <c r="M235" s="3081" t="s">
        <v>6799</v>
      </c>
      <c r="N235" s="3060"/>
      <c r="O235" s="3087"/>
      <c r="P235" s="3088"/>
      <c r="Q235" s="3088"/>
      <c r="R235" s="3088"/>
      <c r="S235" s="3089" t="s">
        <v>295</v>
      </c>
      <c r="T235" s="3089" t="s">
        <v>213</v>
      </c>
      <c r="U235" s="3090"/>
      <c r="V235" s="3090" t="s">
        <v>295</v>
      </c>
      <c r="W235" s="3090" t="s">
        <v>6793</v>
      </c>
      <c r="X235" s="3090" t="s">
        <v>213</v>
      </c>
      <c r="Y235" s="3091" t="s">
        <v>164</v>
      </c>
    </row>
    <row r="236" spans="1:25" ht="18">
      <c r="A236" s="1304"/>
      <c r="B236" s="643">
        <v>2221</v>
      </c>
      <c r="C236" s="643" t="s">
        <v>1528</v>
      </c>
      <c r="D236" s="3075">
        <v>1</v>
      </c>
      <c r="E236" s="3076" t="str">
        <f t="shared" si="26"/>
        <v>应交税费</v>
      </c>
      <c r="F236" s="3077" t="s">
        <v>1529</v>
      </c>
      <c r="G236" s="3078">
        <f t="shared" si="27"/>
        <v>0</v>
      </c>
      <c r="H236" s="3079">
        <f t="shared" ca="1" si="32"/>
        <v>0</v>
      </c>
      <c r="I236" s="3081">
        <f ca="1">IF(AND(LEN(G236)&gt;0,LEN(H236)&gt;0),ROUND(SUM(G236)-SUM(H236),2),"")</f>
        <v>0</v>
      </c>
      <c r="J236" s="3060" t="str">
        <f ca="1">IF(ISNA(I236),"N/A",IF(I236=0,"√","？"))</f>
        <v>√</v>
      </c>
      <c r="K236" s="3078">
        <f t="shared" si="31"/>
        <v>44562.07</v>
      </c>
      <c r="L236" s="3059">
        <f t="shared" ca="1" si="33"/>
        <v>0</v>
      </c>
      <c r="M236" s="3081">
        <f ca="1">IF(AND(LEN(K236)&gt;0,LEN(L236)&gt;0),ROUND(SUM(K236)-SUM(L236),2),"")</f>
        <v>44562.07</v>
      </c>
      <c r="N236" s="3060" t="str">
        <f ca="1">IF(ISNA(M236),"N/A",IF(M236=0,"√","？"))</f>
        <v>？</v>
      </c>
      <c r="O236" s="3087"/>
      <c r="P236" s="3088"/>
      <c r="Q236" s="3088"/>
      <c r="R236" s="3088"/>
      <c r="S236" s="3089" t="s">
        <v>295</v>
      </c>
      <c r="T236" s="3089" t="s">
        <v>213</v>
      </c>
      <c r="U236" s="3090"/>
      <c r="V236" s="3090" t="s">
        <v>295</v>
      </c>
      <c r="W236" s="3090" t="s">
        <v>6793</v>
      </c>
      <c r="X236" s="3090" t="s">
        <v>6794</v>
      </c>
      <c r="Y236" s="3091" t="s">
        <v>164</v>
      </c>
    </row>
    <row r="237" spans="1:25" ht="18" hidden="1">
      <c r="A237" s="1304"/>
      <c r="B237" s="643">
        <v>2221</v>
      </c>
      <c r="C237" s="643" t="s">
        <v>1533</v>
      </c>
      <c r="D237" s="3075">
        <v>2</v>
      </c>
      <c r="E237" s="3076" t="str">
        <f t="shared" si="26"/>
        <v>应交税费</v>
      </c>
      <c r="F237" s="3077" t="s">
        <v>1534</v>
      </c>
      <c r="G237" s="3078">
        <f t="shared" si="27"/>
        <v>0</v>
      </c>
      <c r="H237" s="3079">
        <f t="shared" ca="1" si="32"/>
        <v>0</v>
      </c>
      <c r="I237" s="3081" t="s">
        <v>6799</v>
      </c>
      <c r="J237" s="3060"/>
      <c r="K237" s="3078">
        <f t="shared" si="31"/>
        <v>44562.07</v>
      </c>
      <c r="L237" s="3059">
        <f t="shared" ca="1" si="33"/>
        <v>0</v>
      </c>
      <c r="M237" s="3081" t="s">
        <v>6799</v>
      </c>
      <c r="N237" s="3060"/>
      <c r="O237" s="3087"/>
      <c r="P237" s="3088"/>
      <c r="Q237" s="3088"/>
      <c r="R237" s="3088"/>
      <c r="S237" s="3089" t="s">
        <v>295</v>
      </c>
      <c r="T237" s="3089" t="s">
        <v>213</v>
      </c>
      <c r="U237" s="3090"/>
      <c r="V237" s="3090" t="s">
        <v>295</v>
      </c>
      <c r="W237" s="3090" t="s">
        <v>6793</v>
      </c>
      <c r="X237" s="3090" t="s">
        <v>213</v>
      </c>
      <c r="Y237" s="3091" t="s">
        <v>164</v>
      </c>
    </row>
    <row r="238" spans="1:25" ht="24">
      <c r="A238" s="1304"/>
      <c r="B238" s="643">
        <v>2246</v>
      </c>
      <c r="C238" s="643" t="s">
        <v>1594</v>
      </c>
      <c r="D238" s="3075">
        <v>1</v>
      </c>
      <c r="E238" s="3076" t="str">
        <f t="shared" si="26"/>
        <v>其他应付款（报表项目）</v>
      </c>
      <c r="F238" s="3077" t="s">
        <v>1595</v>
      </c>
      <c r="G238" s="3078">
        <f t="shared" si="27"/>
        <v>0</v>
      </c>
      <c r="H238" s="3079">
        <f t="shared" ca="1" si="32"/>
        <v>0</v>
      </c>
      <c r="I238" s="3081">
        <f ca="1">IF(AND(LEN(G238)&gt;0,LEN(H238)&gt;0),ROUND(SUM(G238)-SUM(H238),2),"")</f>
        <v>0</v>
      </c>
      <c r="J238" s="3060" t="str">
        <f ca="1">IF(ISNA(I238),"N/A",IF(I238=0,"√","？"))</f>
        <v>√</v>
      </c>
      <c r="K238" s="3078">
        <f t="shared" si="31"/>
        <v>396457994.25</v>
      </c>
      <c r="L238" s="3059">
        <f t="shared" ca="1" si="33"/>
        <v>0</v>
      </c>
      <c r="M238" s="3081">
        <f ca="1">IF(AND(LEN(K238)&gt;0,LEN(L238)&gt;0),ROUND(SUM(K238)-SUM(L238),2),"")</f>
        <v>396457994.25</v>
      </c>
      <c r="N238" s="3060" t="str">
        <f ca="1">IF(ISNA(M238),"N/A",IF(M238=0,"√","？"))</f>
        <v>？</v>
      </c>
      <c r="O238" s="3087"/>
      <c r="P238" s="3088"/>
      <c r="Q238" s="3088"/>
      <c r="R238" s="3088"/>
      <c r="S238" s="3089" t="s">
        <v>295</v>
      </c>
      <c r="T238" s="3089" t="s">
        <v>213</v>
      </c>
      <c r="U238" s="3090"/>
      <c r="V238" s="3090" t="s">
        <v>295</v>
      </c>
      <c r="W238" s="3090" t="s">
        <v>6793</v>
      </c>
      <c r="X238" s="3090" t="s">
        <v>6794</v>
      </c>
      <c r="Y238" s="3091" t="s">
        <v>164</v>
      </c>
    </row>
    <row r="239" spans="1:25" ht="18">
      <c r="A239" s="1304"/>
      <c r="B239" s="643">
        <v>2231</v>
      </c>
      <c r="C239" s="643" t="s">
        <v>1538</v>
      </c>
      <c r="D239" s="3075">
        <v>1</v>
      </c>
      <c r="E239" s="3076" t="str">
        <f t="shared" si="26"/>
        <v>应付利息</v>
      </c>
      <c r="F239" s="3077" t="s">
        <v>1539</v>
      </c>
      <c r="G239" s="3078">
        <f t="shared" si="27"/>
        <v>0</v>
      </c>
      <c r="H239" s="3079">
        <f t="shared" ca="1" si="32"/>
        <v>0</v>
      </c>
      <c r="I239" s="3081">
        <f ca="1">IF(AND(LEN(G239)&gt;0,LEN(H239)&gt;0),ROUND(SUM(G239)-SUM(H239),2),"")</f>
        <v>0</v>
      </c>
      <c r="J239" s="3060" t="str">
        <f ca="1">IF(ISNA(I239),"N/A",IF(I239=0,"√","？"))</f>
        <v>√</v>
      </c>
      <c r="K239" s="3078">
        <f t="shared" si="31"/>
        <v>0</v>
      </c>
      <c r="L239" s="3059">
        <f t="shared" ca="1" si="33"/>
        <v>0</v>
      </c>
      <c r="M239" s="3081">
        <f ca="1">IF(AND(LEN(K239)&gt;0,LEN(L239)&gt;0),ROUND(SUM(K239)-SUM(L239),2),"")</f>
        <v>0</v>
      </c>
      <c r="N239" s="3060" t="str">
        <f ca="1">IF(ISNA(M239),"N/A",IF(M239=0,"√","？"))</f>
        <v>√</v>
      </c>
      <c r="O239" s="3087"/>
      <c r="P239" s="3088"/>
      <c r="Q239" s="3088"/>
      <c r="R239" s="3088"/>
      <c r="S239" s="3089" t="s">
        <v>295</v>
      </c>
      <c r="T239" s="3089" t="s">
        <v>213</v>
      </c>
      <c r="U239" s="3090"/>
      <c r="V239" s="3090" t="s">
        <v>295</v>
      </c>
      <c r="W239" s="3090" t="s">
        <v>6793</v>
      </c>
      <c r="X239" s="3090" t="s">
        <v>6794</v>
      </c>
      <c r="Y239" s="3091" t="s">
        <v>164</v>
      </c>
    </row>
    <row r="240" spans="1:25" ht="24" hidden="1">
      <c r="A240" s="1304"/>
      <c r="B240" s="643">
        <v>2231</v>
      </c>
      <c r="C240" s="643" t="s">
        <v>1543</v>
      </c>
      <c r="D240" s="3075">
        <v>2</v>
      </c>
      <c r="E240" s="3076" t="str">
        <f t="shared" si="26"/>
        <v>应付利息</v>
      </c>
      <c r="F240" s="3077" t="s">
        <v>1544</v>
      </c>
      <c r="G240" s="3078">
        <f t="shared" si="27"/>
        <v>0</v>
      </c>
      <c r="H240" s="3079" t="s">
        <v>6795</v>
      </c>
      <c r="I240" s="3081" t="s">
        <v>6799</v>
      </c>
      <c r="J240" s="3060"/>
      <c r="K240" s="3078">
        <f t="shared" si="31"/>
        <v>0</v>
      </c>
      <c r="L240" s="3059" t="s">
        <v>6795</v>
      </c>
      <c r="M240" s="3081" t="s">
        <v>6799</v>
      </c>
      <c r="N240" s="3060"/>
      <c r="O240" s="3087"/>
      <c r="P240" s="3088"/>
      <c r="Q240" s="3088"/>
      <c r="R240" s="3088"/>
      <c r="S240" s="3089" t="s">
        <v>295</v>
      </c>
      <c r="T240" s="3089" t="s">
        <v>213</v>
      </c>
      <c r="U240" s="3090"/>
      <c r="V240" s="3090" t="s">
        <v>295</v>
      </c>
      <c r="W240" s="3090" t="s">
        <v>6793</v>
      </c>
      <c r="X240" s="3090" t="s">
        <v>6794</v>
      </c>
      <c r="Y240" s="3091" t="s">
        <v>164</v>
      </c>
    </row>
    <row r="241" spans="1:25" ht="18">
      <c r="A241" s="1304"/>
      <c r="B241" s="643">
        <v>2232</v>
      </c>
      <c r="C241" s="643" t="s">
        <v>1549</v>
      </c>
      <c r="D241" s="3075">
        <v>1</v>
      </c>
      <c r="E241" s="3076" t="str">
        <f t="shared" si="26"/>
        <v>应付股利</v>
      </c>
      <c r="F241" s="3077" t="s">
        <v>1550</v>
      </c>
      <c r="G241" s="3078">
        <f t="shared" si="27"/>
        <v>0</v>
      </c>
      <c r="H241" s="3079">
        <f t="shared" ref="H241:H247" ca="1" si="34">INDIRECT("Notes!CheckA"&amp;$C241)</f>
        <v>0</v>
      </c>
      <c r="I241" s="3081">
        <f ca="1">IF(AND(LEN(G241)&gt;0,LEN(H241)&gt;0),ROUND(SUM(G241)-SUM(H241),2),"")</f>
        <v>0</v>
      </c>
      <c r="J241" s="3060" t="str">
        <f ca="1">IF(ISNA(I241),"N/A",IF(I241=0,"√","？"))</f>
        <v>√</v>
      </c>
      <c r="K241" s="3078">
        <f t="shared" si="31"/>
        <v>0</v>
      </c>
      <c r="L241" s="3059">
        <f ca="1">INDIRECT("Notes!CheckB"&amp;$C241)</f>
        <v>0</v>
      </c>
      <c r="M241" s="3081">
        <f ca="1">IF(AND(LEN(K241)&gt;0,LEN(L241)&gt;0),ROUND(SUM(K241)-SUM(L241),2),"")</f>
        <v>0</v>
      </c>
      <c r="N241" s="3060" t="str">
        <f ca="1">IF(ISNA(M241),"N/A",IF(M241=0,"√","？"))</f>
        <v>√</v>
      </c>
      <c r="O241" s="3087"/>
      <c r="P241" s="3088"/>
      <c r="Q241" s="3088"/>
      <c r="R241" s="3088"/>
      <c r="S241" s="3089" t="s">
        <v>295</v>
      </c>
      <c r="T241" s="3089" t="s">
        <v>213</v>
      </c>
      <c r="U241" s="3090"/>
      <c r="V241" s="3090" t="s">
        <v>295</v>
      </c>
      <c r="W241" s="3090" t="s">
        <v>6793</v>
      </c>
      <c r="X241" s="3090" t="s">
        <v>6794</v>
      </c>
      <c r="Y241" s="3091" t="s">
        <v>164</v>
      </c>
    </row>
    <row r="242" spans="1:25" ht="24" hidden="1">
      <c r="A242" s="1304"/>
      <c r="B242" s="643">
        <v>2232</v>
      </c>
      <c r="C242" s="643" t="s">
        <v>1554</v>
      </c>
      <c r="D242" s="3075">
        <v>2</v>
      </c>
      <c r="E242" s="3076" t="str">
        <f t="shared" si="26"/>
        <v>应付股利</v>
      </c>
      <c r="F242" s="3077" t="s">
        <v>1555</v>
      </c>
      <c r="G242" s="3078">
        <f t="shared" si="27"/>
        <v>0</v>
      </c>
      <c r="H242" s="3079">
        <f t="shared" ca="1" si="34"/>
        <v>0</v>
      </c>
      <c r="I242" s="3081" t="s">
        <v>6799</v>
      </c>
      <c r="J242" s="3060"/>
      <c r="K242" s="3078">
        <f t="shared" si="31"/>
        <v>0</v>
      </c>
      <c r="L242" s="3059" t="s">
        <v>6795</v>
      </c>
      <c r="M242" s="3081" t="s">
        <v>6799</v>
      </c>
      <c r="N242" s="3060"/>
      <c r="O242" s="3087"/>
      <c r="P242" s="3088"/>
      <c r="Q242" s="3088"/>
      <c r="R242" s="3088"/>
      <c r="S242" s="3089" t="s">
        <v>295</v>
      </c>
      <c r="T242" s="3089" t="s">
        <v>213</v>
      </c>
      <c r="U242" s="3090"/>
      <c r="V242" s="3090" t="s">
        <v>295</v>
      </c>
      <c r="W242" s="3090" t="s">
        <v>6793</v>
      </c>
      <c r="X242" s="3090" t="s">
        <v>6794</v>
      </c>
      <c r="Y242" s="3091" t="s">
        <v>164</v>
      </c>
    </row>
    <row r="243" spans="1:25" ht="24">
      <c r="A243" s="1304"/>
      <c r="B243" s="643">
        <v>2241</v>
      </c>
      <c r="C243" s="643" t="s">
        <v>1559</v>
      </c>
      <c r="D243" s="3075">
        <v>1</v>
      </c>
      <c r="E243" s="3076" t="str">
        <f t="shared" si="26"/>
        <v>其他应付款</v>
      </c>
      <c r="F243" s="3077" t="s">
        <v>1560</v>
      </c>
      <c r="G243" s="3078">
        <f t="shared" si="27"/>
        <v>0</v>
      </c>
      <c r="H243" s="3079">
        <f t="shared" ca="1" si="34"/>
        <v>0</v>
      </c>
      <c r="I243" s="3081">
        <f ca="1">IF(AND(LEN(G243)&gt;0,LEN(H243)&gt;0),ROUND(SUM(G243)-SUM(H243),2),"")</f>
        <v>0</v>
      </c>
      <c r="J243" s="3060" t="str">
        <f ca="1">IF(ISNA(I243),"N/A",IF(I243=0,"√","？"))</f>
        <v>√</v>
      </c>
      <c r="K243" s="3078">
        <f t="shared" si="31"/>
        <v>396457994.25</v>
      </c>
      <c r="L243" s="3059">
        <f ca="1">INDIRECT("Notes!CheckB"&amp;$C243)</f>
        <v>0</v>
      </c>
      <c r="M243" s="3081">
        <f ca="1">IF(AND(LEN(K243)&gt;0,LEN(L243)&gt;0),ROUND(SUM(K243)-SUM(L243),2),"")</f>
        <v>396457994.25</v>
      </c>
      <c r="N243" s="3060" t="str">
        <f ca="1">IF(ISNA(M243),"N/A",IF(M243=0,"√","？"))</f>
        <v>？</v>
      </c>
      <c r="O243" s="3087"/>
      <c r="P243" s="3088"/>
      <c r="Q243" s="3088"/>
      <c r="R243" s="3088"/>
      <c r="S243" s="3089" t="s">
        <v>295</v>
      </c>
      <c r="T243" s="3089" t="s">
        <v>213</v>
      </c>
      <c r="U243" s="3090"/>
      <c r="V243" s="3090" t="s">
        <v>295</v>
      </c>
      <c r="W243" s="3090" t="s">
        <v>6793</v>
      </c>
      <c r="X243" s="3090" t="s">
        <v>6794</v>
      </c>
      <c r="Y243" s="3091" t="s">
        <v>164</v>
      </c>
    </row>
    <row r="244" spans="1:25" ht="18">
      <c r="A244" s="1304"/>
      <c r="B244" s="643">
        <v>2241</v>
      </c>
      <c r="C244" s="643" t="s">
        <v>1569</v>
      </c>
      <c r="D244" s="3075">
        <v>1</v>
      </c>
      <c r="E244" s="3076" t="str">
        <f t="shared" si="26"/>
        <v>其他应付款</v>
      </c>
      <c r="F244" s="3077" t="s">
        <v>1570</v>
      </c>
      <c r="G244" s="3078">
        <f t="shared" si="27"/>
        <v>0</v>
      </c>
      <c r="H244" s="3079">
        <f t="shared" ca="1" si="34"/>
        <v>0</v>
      </c>
      <c r="I244" s="3081">
        <f ca="1">IF(AND(LEN(G244)&gt;0,LEN(H244)&gt;0),ROUND(SUM(G244)-SUM(H244),2),"")</f>
        <v>0</v>
      </c>
      <c r="J244" s="3060" t="str">
        <f ca="1">IF(ISNA(I244),"N/A",IF(I244=0,"√","？"))</f>
        <v>√</v>
      </c>
      <c r="K244" s="3078">
        <f t="shared" si="31"/>
        <v>396457994.25</v>
      </c>
      <c r="L244" s="3059">
        <f ca="1">INDIRECT("Notes!CheckB"&amp;$C244)</f>
        <v>0</v>
      </c>
      <c r="M244" s="3081">
        <f ca="1">IF(AND(LEN(K244)&gt;0,LEN(L244)&gt;0),ROUND(SUM(K244)-SUM(L244),2),"")</f>
        <v>396457994.25</v>
      </c>
      <c r="N244" s="3060" t="str">
        <f ca="1">IF(ISNA(M244),"N/A",IF(M244=0,"√","？"))</f>
        <v>？</v>
      </c>
      <c r="O244" s="3087"/>
      <c r="P244" s="3088"/>
      <c r="Q244" s="3088"/>
      <c r="R244" s="3088"/>
      <c r="S244" s="3089" t="s">
        <v>295</v>
      </c>
      <c r="T244" s="3089" t="s">
        <v>213</v>
      </c>
      <c r="U244" s="3090"/>
      <c r="V244" s="3090" t="s">
        <v>295</v>
      </c>
      <c r="W244" s="3090" t="s">
        <v>6793</v>
      </c>
      <c r="X244" s="3090" t="s">
        <v>213</v>
      </c>
      <c r="Y244" s="3091" t="s">
        <v>164</v>
      </c>
    </row>
    <row r="245" spans="1:25" ht="24" hidden="1">
      <c r="A245" s="1304"/>
      <c r="B245" s="643">
        <v>2241</v>
      </c>
      <c r="C245" s="643" t="s">
        <v>1564</v>
      </c>
      <c r="D245" s="3075">
        <v>2</v>
      </c>
      <c r="E245" s="3076" t="str">
        <f t="shared" si="26"/>
        <v>其他应付款</v>
      </c>
      <c r="F245" s="3077" t="s">
        <v>1565</v>
      </c>
      <c r="G245" s="3078">
        <f t="shared" si="27"/>
        <v>0</v>
      </c>
      <c r="H245" s="3079">
        <f t="shared" ca="1" si="34"/>
        <v>0</v>
      </c>
      <c r="I245" s="3081" t="s">
        <v>6799</v>
      </c>
      <c r="J245" s="3060"/>
      <c r="K245" s="3078">
        <f t="shared" si="31"/>
        <v>396457994.25</v>
      </c>
      <c r="L245" s="3059" t="s">
        <v>6795</v>
      </c>
      <c r="M245" s="3081" t="s">
        <v>6799</v>
      </c>
      <c r="N245" s="3060"/>
      <c r="O245" s="3087"/>
      <c r="P245" s="3088"/>
      <c r="Q245" s="3088"/>
      <c r="R245" s="3088"/>
      <c r="S245" s="3089" t="s">
        <v>295</v>
      </c>
      <c r="T245" s="3089" t="s">
        <v>213</v>
      </c>
      <c r="U245" s="3090"/>
      <c r="V245" s="3090" t="s">
        <v>295</v>
      </c>
      <c r="W245" s="3090" t="s">
        <v>6793</v>
      </c>
      <c r="X245" s="3090" t="s">
        <v>6794</v>
      </c>
      <c r="Y245" s="3091" t="s">
        <v>164</v>
      </c>
    </row>
    <row r="246" spans="1:25" ht="24" hidden="1">
      <c r="A246" s="1304"/>
      <c r="B246" s="643">
        <v>2241</v>
      </c>
      <c r="C246" s="643" t="s">
        <v>1579</v>
      </c>
      <c r="D246" s="3075">
        <v>2</v>
      </c>
      <c r="E246" s="3076" t="str">
        <f t="shared" si="26"/>
        <v>其他应付款</v>
      </c>
      <c r="F246" s="3077" t="s">
        <v>1580</v>
      </c>
      <c r="G246" s="3078">
        <f t="shared" si="27"/>
        <v>0</v>
      </c>
      <c r="H246" s="3079">
        <f t="shared" ca="1" si="34"/>
        <v>0</v>
      </c>
      <c r="I246" s="3081" t="s">
        <v>6799</v>
      </c>
      <c r="J246" s="3060"/>
      <c r="K246" s="3078">
        <f t="shared" si="31"/>
        <v>396457994.25</v>
      </c>
      <c r="L246" s="3059" t="s">
        <v>6795</v>
      </c>
      <c r="M246" s="3081" t="s">
        <v>6799</v>
      </c>
      <c r="N246" s="3060"/>
      <c r="O246" s="3087"/>
      <c r="P246" s="3088"/>
      <c r="Q246" s="3088"/>
      <c r="R246" s="3088"/>
      <c r="S246" s="3089" t="s">
        <v>295</v>
      </c>
      <c r="T246" s="3089" t="s">
        <v>213</v>
      </c>
      <c r="U246" s="3090"/>
      <c r="V246" s="3090" t="s">
        <v>295</v>
      </c>
      <c r="W246" s="3090" t="s">
        <v>6793</v>
      </c>
      <c r="X246" s="3090" t="s">
        <v>213</v>
      </c>
      <c r="Y246" s="3091" t="s">
        <v>164</v>
      </c>
    </row>
    <row r="247" spans="1:25" ht="18" hidden="1">
      <c r="A247" s="1304"/>
      <c r="B247" s="643">
        <v>2241</v>
      </c>
      <c r="C247" s="643" t="s">
        <v>1584</v>
      </c>
      <c r="D247" s="3075">
        <v>2</v>
      </c>
      <c r="E247" s="3076" t="str">
        <f t="shared" si="26"/>
        <v>其他应付款</v>
      </c>
      <c r="F247" s="3077" t="s">
        <v>1585</v>
      </c>
      <c r="G247" s="3078">
        <f t="shared" si="27"/>
        <v>0</v>
      </c>
      <c r="H247" s="3079">
        <f t="shared" ca="1" si="34"/>
        <v>0</v>
      </c>
      <c r="I247" s="3081" t="s">
        <v>6799</v>
      </c>
      <c r="J247" s="3060"/>
      <c r="K247" s="3078">
        <f t="shared" si="31"/>
        <v>396457994.25</v>
      </c>
      <c r="L247" s="3059" t="s">
        <v>6795</v>
      </c>
      <c r="M247" s="3081" t="s">
        <v>6799</v>
      </c>
      <c r="N247" s="3060"/>
      <c r="O247" s="3087"/>
      <c r="P247" s="3088"/>
      <c r="Q247" s="3088"/>
      <c r="R247" s="3088"/>
      <c r="S247" s="3089" t="s">
        <v>295</v>
      </c>
      <c r="T247" s="3089" t="s">
        <v>213</v>
      </c>
      <c r="U247" s="3090"/>
      <c r="V247" s="3090" t="s">
        <v>295</v>
      </c>
      <c r="W247" s="3090" t="s">
        <v>6793</v>
      </c>
      <c r="X247" s="3090" t="s">
        <v>213</v>
      </c>
      <c r="Y247" s="3091" t="s">
        <v>164</v>
      </c>
    </row>
    <row r="248" spans="1:25" ht="24" hidden="1">
      <c r="A248" s="1304"/>
      <c r="B248" s="643">
        <v>2241</v>
      </c>
      <c r="C248" s="643" t="s">
        <v>1574</v>
      </c>
      <c r="D248" s="3075">
        <v>2</v>
      </c>
      <c r="E248" s="3076" t="str">
        <f t="shared" si="26"/>
        <v>其他应付款</v>
      </c>
      <c r="F248" s="3077" t="s">
        <v>1575</v>
      </c>
      <c r="G248" s="3078">
        <f t="shared" si="27"/>
        <v>0</v>
      </c>
      <c r="H248" s="3079" t="s">
        <v>6795</v>
      </c>
      <c r="I248" s="3081" t="s">
        <v>6799</v>
      </c>
      <c r="J248" s="3060"/>
      <c r="K248" s="3078">
        <f t="shared" si="31"/>
        <v>396457994.25</v>
      </c>
      <c r="L248" s="3059" t="s">
        <v>6795</v>
      </c>
      <c r="M248" s="3081" t="s">
        <v>6799</v>
      </c>
      <c r="N248" s="3060"/>
      <c r="O248" s="3087"/>
      <c r="P248" s="3088"/>
      <c r="Q248" s="3088"/>
      <c r="R248" s="3088"/>
      <c r="S248" s="3089" t="s">
        <v>295</v>
      </c>
      <c r="T248" s="3089" t="s">
        <v>213</v>
      </c>
      <c r="U248" s="3090"/>
      <c r="V248" s="3090" t="s">
        <v>295</v>
      </c>
      <c r="W248" s="3090" t="s">
        <v>6793</v>
      </c>
      <c r="X248" s="3090" t="s">
        <v>213</v>
      </c>
      <c r="Y248" s="3091" t="s">
        <v>164</v>
      </c>
    </row>
    <row r="249" spans="1:25" ht="18" hidden="1">
      <c r="A249" s="1304"/>
      <c r="B249" s="643">
        <v>2241</v>
      </c>
      <c r="C249" s="643" t="s">
        <v>1589</v>
      </c>
      <c r="D249" s="3075">
        <v>2</v>
      </c>
      <c r="E249" s="3076" t="str">
        <f t="shared" si="26"/>
        <v>其他应付款</v>
      </c>
      <c r="F249" s="3077" t="s">
        <v>1590</v>
      </c>
      <c r="G249" s="3078">
        <f t="shared" si="27"/>
        <v>0</v>
      </c>
      <c r="H249" s="3079">
        <f t="shared" ref="H249:H272" ca="1" si="35">INDIRECT("Notes!CheckA"&amp;$C249)</f>
        <v>0</v>
      </c>
      <c r="I249" s="3081" t="s">
        <v>6799</v>
      </c>
      <c r="J249" s="3060"/>
      <c r="K249" s="3078">
        <f t="shared" si="31"/>
        <v>396457994.25</v>
      </c>
      <c r="L249" s="3059" t="s">
        <v>6795</v>
      </c>
      <c r="M249" s="3081" t="s">
        <v>6799</v>
      </c>
      <c r="N249" s="3060"/>
      <c r="O249" s="3087"/>
      <c r="P249" s="3088"/>
      <c r="Q249" s="3088"/>
      <c r="R249" s="3088"/>
      <c r="S249" s="3089" t="s">
        <v>295</v>
      </c>
      <c r="T249" s="3089" t="s">
        <v>213</v>
      </c>
      <c r="U249" s="3090"/>
      <c r="V249" s="3090" t="s">
        <v>295</v>
      </c>
      <c r="W249" s="3090" t="s">
        <v>6793</v>
      </c>
      <c r="X249" s="3090" t="s">
        <v>213</v>
      </c>
      <c r="Y249" s="3091" t="s">
        <v>164</v>
      </c>
    </row>
    <row r="250" spans="1:25" ht="18">
      <c r="A250" s="1304"/>
      <c r="B250" s="643">
        <v>2315</v>
      </c>
      <c r="C250" s="643" t="s">
        <v>1599</v>
      </c>
      <c r="D250" s="3075">
        <v>1</v>
      </c>
      <c r="E250" s="3076" t="str">
        <f t="shared" si="26"/>
        <v>持有待售负债</v>
      </c>
      <c r="F250" s="3077" t="s">
        <v>6450</v>
      </c>
      <c r="G250" s="3078">
        <f t="shared" si="27"/>
        <v>0</v>
      </c>
      <c r="H250" s="3079">
        <f t="shared" ca="1" si="35"/>
        <v>0</v>
      </c>
      <c r="I250" s="3081">
        <f ca="1">IF(AND(LEN(G250)&gt;0,LEN(H250)&gt;0),ROUND(SUM(G250)-SUM(H250),2),"")</f>
        <v>0</v>
      </c>
      <c r="J250" s="3060" t="str">
        <f ca="1">IF(ISNA(I250),"N/A",IF(I250=0,"√","？"))</f>
        <v>√</v>
      </c>
      <c r="K250" s="3078">
        <f t="shared" si="31"/>
        <v>0</v>
      </c>
      <c r="L250" s="3059">
        <f t="shared" ref="L250:L257" ca="1" si="36">INDIRECT("Notes!CheckB"&amp;$C250)</f>
        <v>0</v>
      </c>
      <c r="M250" s="3081">
        <f ca="1">IF(AND(LEN(K250)&gt;0,LEN(L250)&gt;0),ROUND(SUM(K250)-SUM(L250),2),"")</f>
        <v>0</v>
      </c>
      <c r="N250" s="3060" t="str">
        <f ca="1">IF(ISNA(M250),"N/A",IF(M250=0,"√","？"))</f>
        <v>√</v>
      </c>
      <c r="O250" s="3087"/>
      <c r="P250" s="3088"/>
      <c r="Q250" s="3088"/>
      <c r="R250" s="3088"/>
      <c r="S250" s="3089" t="s">
        <v>295</v>
      </c>
      <c r="T250" s="3089" t="s">
        <v>213</v>
      </c>
      <c r="U250" s="3090"/>
      <c r="V250" s="3090" t="s">
        <v>295</v>
      </c>
      <c r="W250" s="3090" t="s">
        <v>6793</v>
      </c>
      <c r="X250" s="3090" t="s">
        <v>6794</v>
      </c>
      <c r="Y250" s="3091" t="s">
        <v>164</v>
      </c>
    </row>
    <row r="251" spans="1:25" ht="24">
      <c r="A251" s="1304"/>
      <c r="B251" s="643">
        <v>2395</v>
      </c>
      <c r="C251" s="643" t="s">
        <v>1603</v>
      </c>
      <c r="D251" s="3075">
        <v>1</v>
      </c>
      <c r="E251" s="3076" t="str">
        <f t="shared" si="26"/>
        <v>一年内到期的非流动负债</v>
      </c>
      <c r="F251" s="3077" t="s">
        <v>1604</v>
      </c>
      <c r="G251" s="3078">
        <f t="shared" si="27"/>
        <v>0</v>
      </c>
      <c r="H251" s="3079">
        <f t="shared" ca="1" si="35"/>
        <v>0</v>
      </c>
      <c r="I251" s="3081">
        <f ca="1">IF(AND(LEN(G251)&gt;0,LEN(H251)&gt;0),ROUND(SUM(G251)-SUM(H251),2),"")</f>
        <v>0</v>
      </c>
      <c r="J251" s="3060" t="str">
        <f ca="1">IF(ISNA(I251),"N/A",IF(I251=0,"√","？"))</f>
        <v>√</v>
      </c>
      <c r="K251" s="3078">
        <f t="shared" si="31"/>
        <v>0</v>
      </c>
      <c r="L251" s="3059">
        <f t="shared" ca="1" si="36"/>
        <v>0</v>
      </c>
      <c r="M251" s="3081">
        <f ca="1">IF(AND(LEN(K251)&gt;0,LEN(L251)&gt;0),ROUND(SUM(K251)-SUM(L251),2),"")</f>
        <v>0</v>
      </c>
      <c r="N251" s="3060" t="str">
        <f ca="1">IF(ISNA(M251),"N/A",IF(M251=0,"√","？"))</f>
        <v>√</v>
      </c>
      <c r="O251" s="3087"/>
      <c r="P251" s="3088"/>
      <c r="Q251" s="3088"/>
      <c r="R251" s="3088"/>
      <c r="S251" s="3089" t="s">
        <v>295</v>
      </c>
      <c r="T251" s="3089" t="s">
        <v>213</v>
      </c>
      <c r="U251" s="3090"/>
      <c r="V251" s="3090" t="s">
        <v>295</v>
      </c>
      <c r="W251" s="3090" t="s">
        <v>6793</v>
      </c>
      <c r="X251" s="3090" t="s">
        <v>6794</v>
      </c>
      <c r="Y251" s="3091" t="s">
        <v>164</v>
      </c>
    </row>
    <row r="252" spans="1:25" ht="24" hidden="1">
      <c r="A252" s="1304"/>
      <c r="B252" s="643">
        <v>2395</v>
      </c>
      <c r="C252" s="643" t="s">
        <v>1608</v>
      </c>
      <c r="D252" s="3075">
        <v>2</v>
      </c>
      <c r="E252" s="3076" t="str">
        <f t="shared" si="26"/>
        <v>一年内到期的非流动负债</v>
      </c>
      <c r="F252" s="3077" t="s">
        <v>6451</v>
      </c>
      <c r="G252" s="3078">
        <f t="shared" si="27"/>
        <v>0</v>
      </c>
      <c r="H252" s="3079">
        <f t="shared" ca="1" si="35"/>
        <v>0</v>
      </c>
      <c r="I252" s="3081" t="s">
        <v>6799</v>
      </c>
      <c r="J252" s="3060"/>
      <c r="K252" s="3078">
        <f t="shared" si="31"/>
        <v>0</v>
      </c>
      <c r="L252" s="3059">
        <f t="shared" ca="1" si="36"/>
        <v>0</v>
      </c>
      <c r="M252" s="3081" t="s">
        <v>6799</v>
      </c>
      <c r="N252" s="3060"/>
      <c r="O252" s="3087"/>
      <c r="P252" s="3088"/>
      <c r="Q252" s="3088"/>
      <c r="R252" s="3088"/>
      <c r="S252" s="3089" t="s">
        <v>295</v>
      </c>
      <c r="T252" s="3089" t="s">
        <v>213</v>
      </c>
      <c r="U252" s="3090"/>
      <c r="V252" s="3090" t="s">
        <v>295</v>
      </c>
      <c r="W252" s="3090" t="s">
        <v>145</v>
      </c>
      <c r="X252" s="3090" t="s">
        <v>213</v>
      </c>
      <c r="Y252" s="3091" t="s">
        <v>164</v>
      </c>
    </row>
    <row r="253" spans="1:25" ht="24" hidden="1">
      <c r="A253" s="1304"/>
      <c r="B253" s="643">
        <v>2395</v>
      </c>
      <c r="C253" s="643" t="s">
        <v>1612</v>
      </c>
      <c r="D253" s="3075">
        <v>2</v>
      </c>
      <c r="E253" s="3076" t="str">
        <f t="shared" si="26"/>
        <v>一年内到期的非流动负债</v>
      </c>
      <c r="F253" s="3077" t="s">
        <v>6452</v>
      </c>
      <c r="G253" s="3078">
        <f t="shared" si="27"/>
        <v>0</v>
      </c>
      <c r="H253" s="3079">
        <f t="shared" ca="1" si="35"/>
        <v>0</v>
      </c>
      <c r="I253" s="3081" t="s">
        <v>6799</v>
      </c>
      <c r="J253" s="3060"/>
      <c r="K253" s="3078">
        <f t="shared" si="31"/>
        <v>0</v>
      </c>
      <c r="L253" s="3059">
        <f t="shared" ca="1" si="36"/>
        <v>0</v>
      </c>
      <c r="M253" s="3081" t="s">
        <v>6799</v>
      </c>
      <c r="N253" s="3060"/>
      <c r="O253" s="3087"/>
      <c r="P253" s="3088"/>
      <c r="Q253" s="3088"/>
      <c r="R253" s="3088"/>
      <c r="S253" s="3089" t="s">
        <v>295</v>
      </c>
      <c r="T253" s="3089" t="s">
        <v>213</v>
      </c>
      <c r="U253" s="3090"/>
      <c r="V253" s="3090" t="s">
        <v>295</v>
      </c>
      <c r="W253" s="3090" t="s">
        <v>145</v>
      </c>
      <c r="X253" s="3090" t="s">
        <v>213</v>
      </c>
      <c r="Y253" s="3091" t="s">
        <v>164</v>
      </c>
    </row>
    <row r="254" spans="1:25" ht="24" hidden="1">
      <c r="A254" s="1304"/>
      <c r="B254" s="643">
        <v>2395</v>
      </c>
      <c r="C254" s="643" t="s">
        <v>1617</v>
      </c>
      <c r="D254" s="3075">
        <v>2</v>
      </c>
      <c r="E254" s="3076" t="str">
        <f t="shared" si="26"/>
        <v>一年内到期的非流动负债</v>
      </c>
      <c r="F254" s="3077" t="s">
        <v>6453</v>
      </c>
      <c r="G254" s="3078">
        <f t="shared" si="27"/>
        <v>0</v>
      </c>
      <c r="H254" s="3079">
        <f t="shared" ca="1" si="35"/>
        <v>0</v>
      </c>
      <c r="I254" s="3081" t="s">
        <v>6799</v>
      </c>
      <c r="J254" s="3060"/>
      <c r="K254" s="3078">
        <f t="shared" si="31"/>
        <v>0</v>
      </c>
      <c r="L254" s="3059">
        <f t="shared" ca="1" si="36"/>
        <v>0</v>
      </c>
      <c r="M254" s="3081" t="s">
        <v>6799</v>
      </c>
      <c r="N254" s="3060"/>
      <c r="O254" s="3087"/>
      <c r="P254" s="3088"/>
      <c r="Q254" s="3088"/>
      <c r="R254" s="3088"/>
      <c r="S254" s="3089" t="s">
        <v>295</v>
      </c>
      <c r="T254" s="3089" t="s">
        <v>213</v>
      </c>
      <c r="U254" s="3090"/>
      <c r="V254" s="3090" t="s">
        <v>295</v>
      </c>
      <c r="W254" s="3090" t="s">
        <v>145</v>
      </c>
      <c r="X254" s="3090" t="s">
        <v>213</v>
      </c>
      <c r="Y254" s="3091" t="s">
        <v>164</v>
      </c>
    </row>
    <row r="255" spans="1:25" ht="18">
      <c r="A255" s="1304"/>
      <c r="B255" s="643">
        <v>2396</v>
      </c>
      <c r="C255" s="643" t="s">
        <v>1621</v>
      </c>
      <c r="D255" s="3075">
        <v>1</v>
      </c>
      <c r="E255" s="3076" t="str">
        <f t="shared" si="26"/>
        <v>其他流动负债</v>
      </c>
      <c r="F255" s="3077" t="s">
        <v>1622</v>
      </c>
      <c r="G255" s="3078">
        <f t="shared" si="27"/>
        <v>0</v>
      </c>
      <c r="H255" s="3079">
        <f t="shared" ca="1" si="35"/>
        <v>0</v>
      </c>
      <c r="I255" s="3081">
        <f ca="1">IF(AND(LEN(G255)&gt;0,LEN(H255)&gt;0),ROUND(SUM(G255)-SUM(H255),2),"")</f>
        <v>0</v>
      </c>
      <c r="J255" s="3060" t="str">
        <f ca="1">IF(ISNA(I255),"N/A",IF(I255=0,"√","？"))</f>
        <v>√</v>
      </c>
      <c r="K255" s="3078">
        <f t="shared" si="31"/>
        <v>0</v>
      </c>
      <c r="L255" s="3059">
        <f t="shared" ca="1" si="36"/>
        <v>0</v>
      </c>
      <c r="M255" s="3081">
        <f ca="1">IF(AND(LEN(K255)&gt;0,LEN(L255)&gt;0),ROUND(SUM(K255)-SUM(L255),2),"")</f>
        <v>0</v>
      </c>
      <c r="N255" s="3060" t="str">
        <f ca="1">IF(ISNA(M255),"N/A",IF(M255=0,"√","？"))</f>
        <v>√</v>
      </c>
      <c r="O255" s="3087"/>
      <c r="P255" s="3088"/>
      <c r="Q255" s="3088"/>
      <c r="R255" s="3088"/>
      <c r="S255" s="3089" t="s">
        <v>295</v>
      </c>
      <c r="T255" s="3089" t="s">
        <v>213</v>
      </c>
      <c r="U255" s="3090"/>
      <c r="V255" s="3090" t="s">
        <v>295</v>
      </c>
      <c r="W255" s="3090" t="s">
        <v>6793</v>
      </c>
      <c r="X255" s="3090" t="s">
        <v>6794</v>
      </c>
      <c r="Y255" s="3091" t="s">
        <v>164</v>
      </c>
    </row>
    <row r="256" spans="1:25" ht="24" hidden="1">
      <c r="A256" s="1304"/>
      <c r="B256" s="643">
        <v>2396</v>
      </c>
      <c r="C256" s="643" t="s">
        <v>1626</v>
      </c>
      <c r="D256" s="3075">
        <v>2</v>
      </c>
      <c r="E256" s="3076" t="str">
        <f t="shared" si="26"/>
        <v>其他流动负债</v>
      </c>
      <c r="F256" s="3077" t="s">
        <v>6454</v>
      </c>
      <c r="G256" s="3078">
        <f t="shared" si="27"/>
        <v>0</v>
      </c>
      <c r="H256" s="3079">
        <f t="shared" ca="1" si="35"/>
        <v>0</v>
      </c>
      <c r="I256" s="3081" t="s">
        <v>6799</v>
      </c>
      <c r="J256" s="3060"/>
      <c r="K256" s="3078">
        <f t="shared" si="31"/>
        <v>0</v>
      </c>
      <c r="L256" s="3059">
        <f t="shared" ca="1" si="36"/>
        <v>0</v>
      </c>
      <c r="M256" s="3081" t="s">
        <v>6799</v>
      </c>
      <c r="N256" s="3060"/>
      <c r="O256" s="3087"/>
      <c r="P256" s="3088"/>
      <c r="Q256" s="3088"/>
      <c r="R256" s="3088"/>
      <c r="S256" s="3089" t="s">
        <v>295</v>
      </c>
      <c r="T256" s="3089" t="s">
        <v>213</v>
      </c>
      <c r="U256" s="3090"/>
      <c r="V256" s="3090" t="s">
        <v>295</v>
      </c>
      <c r="W256" s="3090" t="s">
        <v>6793</v>
      </c>
      <c r="X256" s="3090" t="s">
        <v>6794</v>
      </c>
      <c r="Y256" s="3091" t="s">
        <v>164</v>
      </c>
    </row>
    <row r="257" spans="1:25" ht="18">
      <c r="A257" s="1304"/>
      <c r="B257" s="643">
        <v>2501</v>
      </c>
      <c r="C257" s="643" t="s">
        <v>1637</v>
      </c>
      <c r="D257" s="3075">
        <v>1</v>
      </c>
      <c r="E257" s="3076" t="str">
        <f t="shared" si="26"/>
        <v>长期借款</v>
      </c>
      <c r="F257" s="3077" t="s">
        <v>1638</v>
      </c>
      <c r="G257" s="3078">
        <f t="shared" si="27"/>
        <v>0</v>
      </c>
      <c r="H257" s="3079">
        <f t="shared" ca="1" si="35"/>
        <v>0</v>
      </c>
      <c r="I257" s="3081">
        <f ca="1">IF(AND(LEN(G257)&gt;0,LEN(H257)&gt;0),ROUND(SUM(G257)-SUM(H257),2),"")</f>
        <v>0</v>
      </c>
      <c r="J257" s="3060" t="str">
        <f ca="1">IF(ISNA(I257),"N/A",IF(I257=0,"√","？"))</f>
        <v>√</v>
      </c>
      <c r="K257" s="3078">
        <f t="shared" si="31"/>
        <v>0</v>
      </c>
      <c r="L257" s="3059">
        <f t="shared" ca="1" si="36"/>
        <v>0</v>
      </c>
      <c r="M257" s="3081">
        <f ca="1">IF(AND(LEN(K257)&gt;0,LEN(L257)&gt;0),ROUND(SUM(K257)-SUM(L257),2),"")</f>
        <v>0</v>
      </c>
      <c r="N257" s="3060" t="str">
        <f ca="1">IF(ISNA(M257),"N/A",IF(M257=0,"√","？"))</f>
        <v>√</v>
      </c>
      <c r="O257" s="3087"/>
      <c r="P257" s="3088"/>
      <c r="Q257" s="3088"/>
      <c r="R257" s="3088"/>
      <c r="S257" s="3089" t="s">
        <v>295</v>
      </c>
      <c r="T257" s="3089" t="s">
        <v>213</v>
      </c>
      <c r="U257" s="3090"/>
      <c r="V257" s="3090" t="s">
        <v>295</v>
      </c>
      <c r="W257" s="3090" t="s">
        <v>6793</v>
      </c>
      <c r="X257" s="3090" t="s">
        <v>6794</v>
      </c>
      <c r="Y257" s="3091" t="s">
        <v>164</v>
      </c>
    </row>
    <row r="258" spans="1:25" ht="24" hidden="1">
      <c r="A258" s="1304"/>
      <c r="B258" s="643">
        <v>2501</v>
      </c>
      <c r="C258" s="643" t="s">
        <v>1642</v>
      </c>
      <c r="D258" s="3075">
        <v>2</v>
      </c>
      <c r="E258" s="3076" t="str">
        <f t="shared" si="26"/>
        <v>长期借款</v>
      </c>
      <c r="F258" s="3077" t="s">
        <v>1643</v>
      </c>
      <c r="G258" s="3078">
        <f t="shared" si="27"/>
        <v>0</v>
      </c>
      <c r="H258" s="3079">
        <f t="shared" ca="1" si="35"/>
        <v>0</v>
      </c>
      <c r="I258" s="3081" t="s">
        <v>6799</v>
      </c>
      <c r="J258" s="3060"/>
      <c r="K258" s="3078">
        <f t="shared" si="31"/>
        <v>0</v>
      </c>
      <c r="L258" s="3059" t="s">
        <v>6795</v>
      </c>
      <c r="M258" s="3081" t="s">
        <v>6799</v>
      </c>
      <c r="N258" s="3060"/>
      <c r="O258" s="3087"/>
      <c r="P258" s="3088"/>
      <c r="Q258" s="3088"/>
      <c r="R258" s="3088"/>
      <c r="S258" s="3089" t="s">
        <v>295</v>
      </c>
      <c r="T258" s="3089" t="s">
        <v>213</v>
      </c>
      <c r="U258" s="3090"/>
      <c r="V258" s="3090" t="s">
        <v>295</v>
      </c>
      <c r="W258" s="3090" t="s">
        <v>6793</v>
      </c>
      <c r="X258" s="3090" t="s">
        <v>213</v>
      </c>
      <c r="Y258" s="3091" t="s">
        <v>164</v>
      </c>
    </row>
    <row r="259" spans="1:25" ht="24" hidden="1">
      <c r="A259" s="1304"/>
      <c r="B259" s="643">
        <v>2501</v>
      </c>
      <c r="C259" s="643" t="s">
        <v>1647</v>
      </c>
      <c r="D259" s="3075">
        <v>2</v>
      </c>
      <c r="E259" s="3076" t="str">
        <f t="shared" si="26"/>
        <v>长期借款</v>
      </c>
      <c r="F259" s="3077" t="s">
        <v>1648</v>
      </c>
      <c r="G259" s="3078">
        <f t="shared" si="27"/>
        <v>0</v>
      </c>
      <c r="H259" s="3079">
        <f t="shared" ca="1" si="35"/>
        <v>0</v>
      </c>
      <c r="I259" s="3081" t="s">
        <v>6799</v>
      </c>
      <c r="J259" s="3060"/>
      <c r="K259" s="3078">
        <f t="shared" si="31"/>
        <v>0</v>
      </c>
      <c r="L259" s="3059" t="s">
        <v>6795</v>
      </c>
      <c r="M259" s="3081" t="s">
        <v>6799</v>
      </c>
      <c r="N259" s="3060"/>
      <c r="O259" s="3087"/>
      <c r="P259" s="3088"/>
      <c r="Q259" s="3088"/>
      <c r="R259" s="3088"/>
      <c r="S259" s="3089" t="s">
        <v>295</v>
      </c>
      <c r="T259" s="3089" t="s">
        <v>213</v>
      </c>
      <c r="U259" s="3090"/>
      <c r="V259" s="3090" t="s">
        <v>295</v>
      </c>
      <c r="W259" s="3090" t="s">
        <v>6793</v>
      </c>
      <c r="X259" s="3090" t="s">
        <v>213</v>
      </c>
      <c r="Y259" s="3091" t="s">
        <v>164</v>
      </c>
    </row>
    <row r="260" spans="1:25" ht="24" hidden="1">
      <c r="A260" s="1304"/>
      <c r="B260" s="643">
        <v>2501</v>
      </c>
      <c r="C260" s="643" t="s">
        <v>1652</v>
      </c>
      <c r="D260" s="3075">
        <v>2</v>
      </c>
      <c r="E260" s="3076" t="str">
        <f t="shared" si="26"/>
        <v>长期借款</v>
      </c>
      <c r="F260" s="3077" t="s">
        <v>1653</v>
      </c>
      <c r="G260" s="3078">
        <f t="shared" si="27"/>
        <v>0</v>
      </c>
      <c r="H260" s="3079">
        <f t="shared" ca="1" si="35"/>
        <v>0</v>
      </c>
      <c r="I260" s="3081" t="s">
        <v>6799</v>
      </c>
      <c r="J260" s="3060"/>
      <c r="K260" s="3078">
        <f t="shared" si="31"/>
        <v>0</v>
      </c>
      <c r="L260" s="3059" t="s">
        <v>6795</v>
      </c>
      <c r="M260" s="3081" t="s">
        <v>6799</v>
      </c>
      <c r="N260" s="3060"/>
      <c r="O260" s="3087"/>
      <c r="P260" s="3088"/>
      <c r="Q260" s="3088"/>
      <c r="R260" s="3088"/>
      <c r="S260" s="3089" t="s">
        <v>295</v>
      </c>
      <c r="T260" s="3089" t="s">
        <v>213</v>
      </c>
      <c r="U260" s="3090"/>
      <c r="V260" s="3090" t="s">
        <v>295</v>
      </c>
      <c r="W260" s="3090" t="s">
        <v>6793</v>
      </c>
      <c r="X260" s="3090" t="s">
        <v>213</v>
      </c>
      <c r="Y260" s="3091" t="s">
        <v>164</v>
      </c>
    </row>
    <row r="261" spans="1:25" ht="18" hidden="1">
      <c r="A261" s="1304"/>
      <c r="B261" s="643">
        <v>2501</v>
      </c>
      <c r="C261" s="643" t="s">
        <v>1657</v>
      </c>
      <c r="D261" s="3075">
        <v>2</v>
      </c>
      <c r="E261" s="3076" t="str">
        <f t="shared" si="26"/>
        <v>长期借款</v>
      </c>
      <c r="F261" s="3077" t="s">
        <v>1658</v>
      </c>
      <c r="G261" s="3078">
        <f t="shared" si="27"/>
        <v>0</v>
      </c>
      <c r="H261" s="3079">
        <f t="shared" ca="1" si="35"/>
        <v>0</v>
      </c>
      <c r="I261" s="3081" t="s">
        <v>6799</v>
      </c>
      <c r="J261" s="3060"/>
      <c r="K261" s="3078">
        <f t="shared" si="31"/>
        <v>0</v>
      </c>
      <c r="L261" s="3059">
        <f ca="1">INDIRECT("Notes!CheckB"&amp;$C261)</f>
        <v>0</v>
      </c>
      <c r="M261" s="3081" t="s">
        <v>6799</v>
      </c>
      <c r="N261" s="3060"/>
      <c r="O261" s="3087"/>
      <c r="P261" s="3088"/>
      <c r="Q261" s="3088"/>
      <c r="R261" s="3088"/>
      <c r="S261" s="3089" t="s">
        <v>295</v>
      </c>
      <c r="T261" s="3089" t="s">
        <v>213</v>
      </c>
      <c r="U261" s="3090"/>
      <c r="V261" s="3090" t="s">
        <v>295</v>
      </c>
      <c r="W261" s="3090" t="s">
        <v>6793</v>
      </c>
      <c r="X261" s="3090" t="s">
        <v>213</v>
      </c>
      <c r="Y261" s="3091" t="s">
        <v>164</v>
      </c>
    </row>
    <row r="262" spans="1:25" ht="18">
      <c r="A262" s="1304"/>
      <c r="B262" s="643">
        <v>2502</v>
      </c>
      <c r="C262" s="643" t="s">
        <v>1662</v>
      </c>
      <c r="D262" s="3075">
        <v>1</v>
      </c>
      <c r="E262" s="3076" t="str">
        <f t="shared" si="26"/>
        <v>应付债券</v>
      </c>
      <c r="F262" s="3077" t="s">
        <v>1663</v>
      </c>
      <c r="G262" s="3078">
        <f t="shared" si="27"/>
        <v>0</v>
      </c>
      <c r="H262" s="3079">
        <f t="shared" ca="1" si="35"/>
        <v>0</v>
      </c>
      <c r="I262" s="3081">
        <f ca="1">IF(AND(LEN(G262)&gt;0,LEN(H262)&gt;0),ROUND(SUM(G262)-SUM(H262),2),"")</f>
        <v>0</v>
      </c>
      <c r="J262" s="3060" t="str">
        <f ca="1">IF(ISNA(I262),"N/A",IF(I262=0,"√","？"))</f>
        <v>√</v>
      </c>
      <c r="K262" s="3078">
        <f t="shared" si="31"/>
        <v>0</v>
      </c>
      <c r="L262" s="3059">
        <f ca="1">INDIRECT("Notes!CheckB"&amp;$C262)</f>
        <v>0</v>
      </c>
      <c r="M262" s="3081">
        <f ca="1">IF(AND(LEN(K262)&gt;0,LEN(L262)&gt;0),ROUND(SUM(K262)-SUM(L262),2),"")</f>
        <v>0</v>
      </c>
      <c r="N262" s="3060" t="str">
        <f ca="1">IF(ISNA(M262),"N/A",IF(M262=0,"√","？"))</f>
        <v>√</v>
      </c>
      <c r="O262" s="3087"/>
      <c r="P262" s="3088"/>
      <c r="Q262" s="3088"/>
      <c r="R262" s="3088"/>
      <c r="S262" s="3089" t="s">
        <v>295</v>
      </c>
      <c r="T262" s="3089" t="s">
        <v>213</v>
      </c>
      <c r="U262" s="3090"/>
      <c r="V262" s="3090" t="s">
        <v>295</v>
      </c>
      <c r="W262" s="3090" t="s">
        <v>6793</v>
      </c>
      <c r="X262" s="3090" t="s">
        <v>6794</v>
      </c>
      <c r="Y262" s="3091" t="s">
        <v>164</v>
      </c>
    </row>
    <row r="263" spans="1:25" ht="48" hidden="1">
      <c r="A263" s="1304"/>
      <c r="B263" s="643">
        <v>2502</v>
      </c>
      <c r="C263" s="643" t="s">
        <v>1667</v>
      </c>
      <c r="D263" s="3075">
        <v>2</v>
      </c>
      <c r="E263" s="3076" t="str">
        <f t="shared" si="26"/>
        <v>应付债券</v>
      </c>
      <c r="F263" s="3077" t="s">
        <v>6455</v>
      </c>
      <c r="G263" s="3078">
        <f t="shared" si="27"/>
        <v>0</v>
      </c>
      <c r="H263" s="3079">
        <f t="shared" ca="1" si="35"/>
        <v>0</v>
      </c>
      <c r="I263" s="3081" t="s">
        <v>6799</v>
      </c>
      <c r="J263" s="3060"/>
      <c r="K263" s="3078">
        <f t="shared" si="31"/>
        <v>0</v>
      </c>
      <c r="L263" s="3059">
        <f ca="1">INDIRECT("Notes!CheckB"&amp;$C263)</f>
        <v>0</v>
      </c>
      <c r="M263" s="3081" t="s">
        <v>6799</v>
      </c>
      <c r="N263" s="3060"/>
      <c r="O263" s="3087"/>
      <c r="P263" s="3088"/>
      <c r="Q263" s="3088"/>
      <c r="R263" s="3088"/>
      <c r="S263" s="3089" t="s">
        <v>295</v>
      </c>
      <c r="T263" s="3089" t="s">
        <v>213</v>
      </c>
      <c r="U263" s="3090"/>
      <c r="V263" s="3090" t="s">
        <v>295</v>
      </c>
      <c r="W263" s="3090" t="s">
        <v>6793</v>
      </c>
      <c r="X263" s="3090" t="s">
        <v>6794</v>
      </c>
      <c r="Y263" s="3091" t="s">
        <v>164</v>
      </c>
    </row>
    <row r="264" spans="1:25" ht="60" hidden="1">
      <c r="A264" s="1304"/>
      <c r="B264" s="643">
        <v>2502</v>
      </c>
      <c r="C264" s="643" t="s">
        <v>1671</v>
      </c>
      <c r="D264" s="3075">
        <v>2</v>
      </c>
      <c r="E264" s="3076" t="str">
        <f t="shared" si="26"/>
        <v>应付债券</v>
      </c>
      <c r="F264" s="3077" t="s">
        <v>1672</v>
      </c>
      <c r="G264" s="3078">
        <f t="shared" si="27"/>
        <v>0</v>
      </c>
      <c r="H264" s="3079">
        <f t="shared" ca="1" si="35"/>
        <v>0</v>
      </c>
      <c r="I264" s="3081" t="s">
        <v>6799</v>
      </c>
      <c r="J264" s="3060"/>
      <c r="K264" s="3078">
        <f t="shared" si="31"/>
        <v>0</v>
      </c>
      <c r="L264" s="3059" t="s">
        <v>6795</v>
      </c>
      <c r="M264" s="3081" t="s">
        <v>6799</v>
      </c>
      <c r="N264" s="3060"/>
      <c r="O264" s="3087"/>
      <c r="P264" s="3088"/>
      <c r="Q264" s="3088"/>
      <c r="R264" s="3088"/>
      <c r="S264" s="3089" t="s">
        <v>295</v>
      </c>
      <c r="T264" s="3089" t="s">
        <v>213</v>
      </c>
      <c r="U264" s="3090"/>
      <c r="V264" s="3090" t="s">
        <v>295</v>
      </c>
      <c r="W264" s="3090" t="s">
        <v>6793</v>
      </c>
      <c r="X264" s="3090" t="s">
        <v>6796</v>
      </c>
      <c r="Y264" s="3091" t="s">
        <v>164</v>
      </c>
    </row>
    <row r="265" spans="1:25" ht="60" hidden="1">
      <c r="A265" s="1304"/>
      <c r="B265" s="643">
        <v>2502</v>
      </c>
      <c r="C265" s="643" t="s">
        <v>1677</v>
      </c>
      <c r="D265" s="3075">
        <v>2</v>
      </c>
      <c r="E265" s="3076" t="str">
        <f t="shared" ref="E265:E328" si="37">IF(ISERROR(VLOOKUP($B265,Sheet_Items,2,0)),"        ----",VLOOKUP($B265,Sheet_Items,2,0))</f>
        <v>应付债券</v>
      </c>
      <c r="F265" s="3077" t="s">
        <v>1678</v>
      </c>
      <c r="G265" s="3078">
        <f t="shared" ref="G265:G328" si="38">IF(ISERROR(VLOOKUP($B265,Sheet_Trialbal,6,0)),"        ----",VLOOKUP($B265,Sheet_Trialbal,6,0))</f>
        <v>0</v>
      </c>
      <c r="H265" s="3079">
        <f t="shared" ca="1" si="35"/>
        <v>0</v>
      </c>
      <c r="I265" s="3081" t="s">
        <v>6799</v>
      </c>
      <c r="J265" s="3060"/>
      <c r="K265" s="3078">
        <f t="shared" si="31"/>
        <v>0</v>
      </c>
      <c r="L265" s="3059">
        <f ca="1">INDIRECT("Notes!CheckB"&amp;$C265)</f>
        <v>0</v>
      </c>
      <c r="M265" s="3081" t="s">
        <v>6799</v>
      </c>
      <c r="N265" s="3060"/>
      <c r="O265" s="3087"/>
      <c r="P265" s="3088"/>
      <c r="Q265" s="3088"/>
      <c r="R265" s="3088"/>
      <c r="S265" s="3089" t="s">
        <v>295</v>
      </c>
      <c r="T265" s="3089" t="s">
        <v>213</v>
      </c>
      <c r="U265" s="3090"/>
      <c r="V265" s="3090" t="s">
        <v>295</v>
      </c>
      <c r="W265" s="3090" t="s">
        <v>6793</v>
      </c>
      <c r="X265" s="3090" t="s">
        <v>6794</v>
      </c>
      <c r="Y265" s="3091" t="s">
        <v>164</v>
      </c>
    </row>
    <row r="266" spans="1:25" ht="18" hidden="1">
      <c r="A266" s="1304"/>
      <c r="B266" s="643">
        <v>2502</v>
      </c>
      <c r="C266" s="643" t="s">
        <v>5589</v>
      </c>
      <c r="D266" s="3075">
        <v>2</v>
      </c>
      <c r="E266" s="3076" t="str">
        <f t="shared" si="37"/>
        <v>应付债券</v>
      </c>
      <c r="F266" s="3077" t="s">
        <v>5590</v>
      </c>
      <c r="G266" s="3078">
        <f t="shared" si="38"/>
        <v>0</v>
      </c>
      <c r="H266" s="3079">
        <f t="shared" ca="1" si="35"/>
        <v>0</v>
      </c>
      <c r="I266" s="3081" t="s">
        <v>6799</v>
      </c>
      <c r="J266" s="3060"/>
      <c r="K266" s="3078">
        <f t="shared" si="31"/>
        <v>0</v>
      </c>
      <c r="L266" s="3059">
        <f ca="1">INDIRECT("Notes!CheckB"&amp;$C266)</f>
        <v>0</v>
      </c>
      <c r="M266" s="3081" t="s">
        <v>6799</v>
      </c>
      <c r="N266" s="3060"/>
      <c r="O266" s="3087"/>
      <c r="P266" s="3088"/>
      <c r="Q266" s="3088"/>
      <c r="R266" s="3088"/>
      <c r="S266" s="3089" t="s">
        <v>295</v>
      </c>
      <c r="T266" s="3089" t="s">
        <v>213</v>
      </c>
      <c r="U266" s="3090"/>
      <c r="V266" s="3090" t="s">
        <v>295</v>
      </c>
      <c r="W266" s="3090" t="s">
        <v>6793</v>
      </c>
      <c r="X266" s="3090" t="s">
        <v>213</v>
      </c>
      <c r="Y266" s="3091" t="s">
        <v>164</v>
      </c>
    </row>
    <row r="267" spans="1:25" ht="24">
      <c r="A267" s="1304"/>
      <c r="B267" s="643">
        <v>2706</v>
      </c>
      <c r="C267" s="643" t="s">
        <v>1682</v>
      </c>
      <c r="D267" s="3075">
        <v>1</v>
      </c>
      <c r="E267" s="3076" t="str">
        <f t="shared" si="37"/>
        <v>长期应付款（报表项目）</v>
      </c>
      <c r="F267" s="3077" t="s">
        <v>1683</v>
      </c>
      <c r="G267" s="3078">
        <f t="shared" si="38"/>
        <v>0</v>
      </c>
      <c r="H267" s="3079">
        <f t="shared" ca="1" si="35"/>
        <v>0</v>
      </c>
      <c r="I267" s="3081">
        <f ca="1">IF(AND(LEN(G267)&gt;0,LEN(H267)&gt;0),ROUND(SUM(G267)-SUM(H267),2),"")</f>
        <v>0</v>
      </c>
      <c r="J267" s="3060" t="str">
        <f ca="1">IF(ISNA(I267),"N/A",IF(I267=0,"√","？"))</f>
        <v>√</v>
      </c>
      <c r="K267" s="3078">
        <f t="shared" si="31"/>
        <v>0</v>
      </c>
      <c r="L267" s="3059">
        <f ca="1">INDIRECT("Notes!CheckB"&amp;$C267)</f>
        <v>0</v>
      </c>
      <c r="M267" s="3081">
        <f ca="1">IF(AND(LEN(K267)&gt;0,LEN(L267)&gt;0),ROUND(SUM(K267)-SUM(L267),2),"")</f>
        <v>0</v>
      </c>
      <c r="N267" s="3060" t="str">
        <f ca="1">IF(ISNA(M267),"N/A",IF(M267=0,"√","？"))</f>
        <v>√</v>
      </c>
      <c r="O267" s="3087"/>
      <c r="P267" s="3088"/>
      <c r="Q267" s="3088"/>
      <c r="R267" s="3088"/>
      <c r="S267" s="3089" t="s">
        <v>295</v>
      </c>
      <c r="T267" s="3089" t="s">
        <v>213</v>
      </c>
      <c r="U267" s="3090"/>
      <c r="V267" s="3090" t="s">
        <v>295</v>
      </c>
      <c r="W267" s="3090" t="s">
        <v>6793</v>
      </c>
      <c r="X267" s="3090" t="s">
        <v>6794</v>
      </c>
      <c r="Y267" s="3091" t="s">
        <v>164</v>
      </c>
    </row>
    <row r="268" spans="1:25" ht="24">
      <c r="A268" s="1304"/>
      <c r="B268" s="643">
        <v>2701</v>
      </c>
      <c r="C268" s="643" t="s">
        <v>1687</v>
      </c>
      <c r="D268" s="3075">
        <v>1</v>
      </c>
      <c r="E268" s="3076" t="str">
        <f t="shared" si="37"/>
        <v>长期应付款</v>
      </c>
      <c r="F268" s="3077" t="s">
        <v>1688</v>
      </c>
      <c r="G268" s="3078">
        <f t="shared" si="38"/>
        <v>0</v>
      </c>
      <c r="H268" s="3079">
        <f t="shared" ca="1" si="35"/>
        <v>0</v>
      </c>
      <c r="I268" s="3081">
        <f ca="1">IF(AND(LEN(G268)&gt;0,LEN(H268)&gt;0),ROUND(SUM(G268)-SUM(H268),2),"")</f>
        <v>0</v>
      </c>
      <c r="J268" s="3060" t="str">
        <f ca="1">IF(ISNA(I268),"N/A",IF(I268=0,"√","？"))</f>
        <v>√</v>
      </c>
      <c r="K268" s="3078">
        <f t="shared" si="31"/>
        <v>0</v>
      </c>
      <c r="L268" s="3059">
        <f ca="1">INDIRECT("Notes!CheckB"&amp;$C268)</f>
        <v>0</v>
      </c>
      <c r="M268" s="3081">
        <f ca="1">IF(AND(LEN(K268)&gt;0,LEN(L268)&gt;0),ROUND(SUM(K268)-SUM(L268),2),"")</f>
        <v>0</v>
      </c>
      <c r="N268" s="3060" t="str">
        <f ca="1">IF(ISNA(M268),"N/A",IF(M268=0,"√","？"))</f>
        <v>√</v>
      </c>
      <c r="O268" s="3087"/>
      <c r="P268" s="3088"/>
      <c r="Q268" s="3088"/>
      <c r="R268" s="3088"/>
      <c r="S268" s="3089" t="s">
        <v>295</v>
      </c>
      <c r="T268" s="3089" t="s">
        <v>213</v>
      </c>
      <c r="U268" s="3090"/>
      <c r="V268" s="3090" t="s">
        <v>295</v>
      </c>
      <c r="W268" s="3090" t="s">
        <v>6793</v>
      </c>
      <c r="X268" s="3090" t="s">
        <v>6794</v>
      </c>
      <c r="Y268" s="3091" t="s">
        <v>164</v>
      </c>
    </row>
    <row r="269" spans="1:25" ht="18" hidden="1">
      <c r="A269" s="1304"/>
      <c r="B269" s="643">
        <v>2701</v>
      </c>
      <c r="C269" s="643" t="s">
        <v>1692</v>
      </c>
      <c r="D269" s="3075">
        <v>2</v>
      </c>
      <c r="E269" s="3076" t="str">
        <f t="shared" si="37"/>
        <v>长期应付款</v>
      </c>
      <c r="F269" s="3077" t="s">
        <v>1693</v>
      </c>
      <c r="G269" s="3078">
        <f t="shared" si="38"/>
        <v>0</v>
      </c>
      <c r="H269" s="3079">
        <f t="shared" ca="1" si="35"/>
        <v>0</v>
      </c>
      <c r="I269" s="3081" t="s">
        <v>6799</v>
      </c>
      <c r="J269" s="3060"/>
      <c r="K269" s="3078">
        <f t="shared" si="31"/>
        <v>0</v>
      </c>
      <c r="L269" s="3059" t="s">
        <v>6795</v>
      </c>
      <c r="M269" s="3081" t="s">
        <v>6799</v>
      </c>
      <c r="N269" s="3060"/>
      <c r="O269" s="3087"/>
      <c r="P269" s="3088"/>
      <c r="Q269" s="3088"/>
      <c r="R269" s="3088"/>
      <c r="S269" s="3089" t="s">
        <v>295</v>
      </c>
      <c r="T269" s="3089" t="s">
        <v>213</v>
      </c>
      <c r="U269" s="3090"/>
      <c r="V269" s="3090" t="s">
        <v>295</v>
      </c>
      <c r="W269" s="3090" t="s">
        <v>6793</v>
      </c>
      <c r="X269" s="3090" t="s">
        <v>213</v>
      </c>
      <c r="Y269" s="3091" t="s">
        <v>164</v>
      </c>
    </row>
    <row r="270" spans="1:25" ht="18">
      <c r="A270" s="1304"/>
      <c r="B270" s="643">
        <v>2711</v>
      </c>
      <c r="C270" s="643" t="s">
        <v>1697</v>
      </c>
      <c r="D270" s="3075">
        <v>1</v>
      </c>
      <c r="E270" s="3076" t="str">
        <f t="shared" si="37"/>
        <v>专项应付款</v>
      </c>
      <c r="F270" s="3077" t="s">
        <v>1698</v>
      </c>
      <c r="G270" s="3078">
        <f t="shared" si="38"/>
        <v>0</v>
      </c>
      <c r="H270" s="3079">
        <f t="shared" ca="1" si="35"/>
        <v>0</v>
      </c>
      <c r="I270" s="3081">
        <f ca="1">IF(AND(LEN(G270)&gt;0,LEN(H270)&gt;0),ROUND(SUM(G270)-SUM(H270),2),"")</f>
        <v>0</v>
      </c>
      <c r="J270" s="3060" t="str">
        <f ca="1">IF(ISNA(I270),"N/A",IF(I270=0,"√","？"))</f>
        <v>√</v>
      </c>
      <c r="K270" s="3078">
        <f t="shared" si="31"/>
        <v>0</v>
      </c>
      <c r="L270" s="3059">
        <f ca="1">INDIRECT("Notes!CheckB"&amp;$C270)</f>
        <v>0</v>
      </c>
      <c r="M270" s="3081">
        <f ca="1">IF(AND(LEN(K270)&gt;0,LEN(L270)&gt;0),ROUND(SUM(K270)-SUM(L270),2),"")</f>
        <v>0</v>
      </c>
      <c r="N270" s="3060" t="str">
        <f ca="1">IF(ISNA(M270),"N/A",IF(M270=0,"√","？"))</f>
        <v>√</v>
      </c>
      <c r="O270" s="3087"/>
      <c r="P270" s="3088"/>
      <c r="Q270" s="3088"/>
      <c r="R270" s="3088"/>
      <c r="S270" s="3089" t="s">
        <v>295</v>
      </c>
      <c r="T270" s="3089" t="s">
        <v>213</v>
      </c>
      <c r="U270" s="3090"/>
      <c r="V270" s="3090" t="s">
        <v>295</v>
      </c>
      <c r="W270" s="3090" t="s">
        <v>6793</v>
      </c>
      <c r="X270" s="3090" t="s">
        <v>6794</v>
      </c>
      <c r="Y270" s="3091" t="s">
        <v>164</v>
      </c>
    </row>
    <row r="271" spans="1:25" ht="18" hidden="1">
      <c r="A271" s="1304"/>
      <c r="B271" s="643">
        <v>2711</v>
      </c>
      <c r="C271" s="643" t="s">
        <v>1702</v>
      </c>
      <c r="D271" s="3075">
        <v>2</v>
      </c>
      <c r="E271" s="3076" t="str">
        <f t="shared" si="37"/>
        <v>专项应付款</v>
      </c>
      <c r="F271" s="3077" t="s">
        <v>1703</v>
      </c>
      <c r="G271" s="3078">
        <f t="shared" si="38"/>
        <v>0</v>
      </c>
      <c r="H271" s="3079">
        <f t="shared" ca="1" si="35"/>
        <v>0</v>
      </c>
      <c r="I271" s="3081" t="s">
        <v>6799</v>
      </c>
      <c r="J271" s="3060"/>
      <c r="K271" s="3078">
        <f t="shared" si="31"/>
        <v>0</v>
      </c>
      <c r="L271" s="3059" t="s">
        <v>6795</v>
      </c>
      <c r="M271" s="3081" t="s">
        <v>6799</v>
      </c>
      <c r="N271" s="3060"/>
      <c r="O271" s="3087"/>
      <c r="P271" s="3088"/>
      <c r="Q271" s="3088"/>
      <c r="R271" s="3088"/>
      <c r="S271" s="3089" t="s">
        <v>295</v>
      </c>
      <c r="T271" s="3089" t="s">
        <v>213</v>
      </c>
      <c r="U271" s="3090"/>
      <c r="V271" s="3090" t="s">
        <v>295</v>
      </c>
      <c r="W271" s="3090" t="s">
        <v>6793</v>
      </c>
      <c r="X271" s="3090" t="s">
        <v>213</v>
      </c>
      <c r="Y271" s="3091" t="s">
        <v>164</v>
      </c>
    </row>
    <row r="272" spans="1:25" ht="18">
      <c r="A272" s="1304"/>
      <c r="B272" s="643">
        <v>2715</v>
      </c>
      <c r="C272" s="643" t="s">
        <v>1707</v>
      </c>
      <c r="D272" s="3075">
        <v>1</v>
      </c>
      <c r="E272" s="3076" t="str">
        <f t="shared" si="37"/>
        <v>长期应付职工薪酬</v>
      </c>
      <c r="F272" s="3077" t="s">
        <v>1708</v>
      </c>
      <c r="G272" s="3078">
        <f t="shared" si="38"/>
        <v>0</v>
      </c>
      <c r="H272" s="3079">
        <f t="shared" ca="1" si="35"/>
        <v>0</v>
      </c>
      <c r="I272" s="3081">
        <f ca="1">IF(AND(LEN(G272)&gt;0,LEN(H272)&gt;0),ROUND(SUM(G272)-SUM(H272),2),"")</f>
        <v>0</v>
      </c>
      <c r="J272" s="3060" t="str">
        <f ca="1">IF(ISNA(I272),"N/A",IF(I272=0,"√","？"))</f>
        <v>√</v>
      </c>
      <c r="K272" s="3078">
        <f t="shared" si="31"/>
        <v>0</v>
      </c>
      <c r="L272" s="3059">
        <f ca="1">INDIRECT("Notes!CheckB"&amp;$C272)</f>
        <v>0</v>
      </c>
      <c r="M272" s="3081">
        <f ca="1">IF(AND(LEN(K272)&gt;0,LEN(L272)&gt;0),ROUND(SUM(K272)-SUM(L272),2),"")</f>
        <v>0</v>
      </c>
      <c r="N272" s="3060" t="str">
        <f ca="1">IF(ISNA(M272),"N/A",IF(M272=0,"√","？"))</f>
        <v>√</v>
      </c>
      <c r="O272" s="3087"/>
      <c r="P272" s="3088"/>
      <c r="Q272" s="3088"/>
      <c r="R272" s="3088"/>
      <c r="S272" s="3089" t="s">
        <v>295</v>
      </c>
      <c r="T272" s="3089" t="s">
        <v>213</v>
      </c>
      <c r="U272" s="3090"/>
      <c r="V272" s="3090" t="s">
        <v>295</v>
      </c>
      <c r="W272" s="3090" t="s">
        <v>6793</v>
      </c>
      <c r="X272" s="3090" t="s">
        <v>6794</v>
      </c>
      <c r="Y272" s="3091" t="s">
        <v>164</v>
      </c>
    </row>
    <row r="273" spans="1:25" ht="36" hidden="1">
      <c r="A273" s="1304"/>
      <c r="B273" s="643">
        <v>2715</v>
      </c>
      <c r="C273" s="643" t="s">
        <v>1712</v>
      </c>
      <c r="D273" s="3075">
        <v>2</v>
      </c>
      <c r="E273" s="3076" t="str">
        <f t="shared" si="37"/>
        <v>长期应付职工薪酬</v>
      </c>
      <c r="F273" s="3077" t="s">
        <v>1713</v>
      </c>
      <c r="G273" s="3078">
        <f t="shared" si="38"/>
        <v>0</v>
      </c>
      <c r="H273" s="3079" t="s">
        <v>6795</v>
      </c>
      <c r="I273" s="3081" t="s">
        <v>6799</v>
      </c>
      <c r="J273" s="3060"/>
      <c r="K273" s="3078">
        <f t="shared" si="31"/>
        <v>0</v>
      </c>
      <c r="L273" s="3059" t="s">
        <v>6795</v>
      </c>
      <c r="M273" s="3081" t="s">
        <v>6799</v>
      </c>
      <c r="N273" s="3060"/>
      <c r="O273" s="3087"/>
      <c r="P273" s="3088"/>
      <c r="Q273" s="3088"/>
      <c r="R273" s="3088"/>
      <c r="S273" s="3089" t="s">
        <v>295</v>
      </c>
      <c r="T273" s="3089" t="s">
        <v>213</v>
      </c>
      <c r="U273" s="3090"/>
      <c r="V273" s="3090" t="s">
        <v>295</v>
      </c>
      <c r="W273" s="3090" t="s">
        <v>6793</v>
      </c>
      <c r="X273" s="3090" t="s">
        <v>6796</v>
      </c>
      <c r="Y273" s="3091" t="s">
        <v>164</v>
      </c>
    </row>
    <row r="274" spans="1:25" ht="24" hidden="1">
      <c r="A274" s="1304"/>
      <c r="B274" s="643">
        <v>2715</v>
      </c>
      <c r="C274" s="643" t="s">
        <v>1717</v>
      </c>
      <c r="D274" s="3075">
        <v>2</v>
      </c>
      <c r="E274" s="3076" t="str">
        <f t="shared" si="37"/>
        <v>长期应付职工薪酬</v>
      </c>
      <c r="F274" s="3077" t="s">
        <v>1718</v>
      </c>
      <c r="G274" s="3078">
        <f t="shared" si="38"/>
        <v>0</v>
      </c>
      <c r="H274" s="3079" t="s">
        <v>6795</v>
      </c>
      <c r="I274" s="3081" t="s">
        <v>6799</v>
      </c>
      <c r="J274" s="3060"/>
      <c r="K274" s="3078">
        <f t="shared" si="31"/>
        <v>0</v>
      </c>
      <c r="L274" s="3059" t="s">
        <v>6795</v>
      </c>
      <c r="M274" s="3081" t="s">
        <v>6799</v>
      </c>
      <c r="N274" s="3060"/>
      <c r="O274" s="3087"/>
      <c r="P274" s="3088"/>
      <c r="Q274" s="3088"/>
      <c r="R274" s="3088"/>
      <c r="S274" s="3089" t="s">
        <v>295</v>
      </c>
      <c r="T274" s="3089" t="s">
        <v>213</v>
      </c>
      <c r="U274" s="3090"/>
      <c r="V274" s="3090" t="s">
        <v>295</v>
      </c>
      <c r="W274" s="3090" t="s">
        <v>6793</v>
      </c>
      <c r="X274" s="3090" t="s">
        <v>6796</v>
      </c>
      <c r="Y274" s="3091" t="s">
        <v>164</v>
      </c>
    </row>
    <row r="275" spans="1:25" ht="24" hidden="1">
      <c r="A275" s="1304"/>
      <c r="B275" s="643">
        <v>2715</v>
      </c>
      <c r="C275" s="643" t="s">
        <v>1722</v>
      </c>
      <c r="D275" s="3075">
        <v>2</v>
      </c>
      <c r="E275" s="3076" t="str">
        <f t="shared" si="37"/>
        <v>长期应付职工薪酬</v>
      </c>
      <c r="F275" s="3077" t="s">
        <v>6456</v>
      </c>
      <c r="G275" s="3078">
        <f t="shared" si="38"/>
        <v>0</v>
      </c>
      <c r="H275" s="3079" t="s">
        <v>6795</v>
      </c>
      <c r="I275" s="3081" t="s">
        <v>6799</v>
      </c>
      <c r="J275" s="3060"/>
      <c r="K275" s="3078">
        <f t="shared" si="31"/>
        <v>0</v>
      </c>
      <c r="L275" s="3059" t="s">
        <v>6795</v>
      </c>
      <c r="M275" s="3081" t="s">
        <v>6799</v>
      </c>
      <c r="N275" s="3060"/>
      <c r="O275" s="3087"/>
      <c r="P275" s="3088"/>
      <c r="Q275" s="3088"/>
      <c r="R275" s="3088"/>
      <c r="S275" s="3089" t="s">
        <v>295</v>
      </c>
      <c r="T275" s="3089" t="s">
        <v>213</v>
      </c>
      <c r="U275" s="3090"/>
      <c r="V275" s="3090" t="s">
        <v>295</v>
      </c>
      <c r="W275" s="3090" t="s">
        <v>6793</v>
      </c>
      <c r="X275" s="3090" t="s">
        <v>6796</v>
      </c>
      <c r="Y275" s="3091" t="s">
        <v>164</v>
      </c>
    </row>
    <row r="276" spans="1:25" ht="24" hidden="1">
      <c r="A276" s="1304"/>
      <c r="B276" s="643">
        <v>2715</v>
      </c>
      <c r="C276" s="643" t="s">
        <v>1736</v>
      </c>
      <c r="D276" s="3075">
        <v>2</v>
      </c>
      <c r="E276" s="3076" t="str">
        <f t="shared" si="37"/>
        <v>长期应付职工薪酬</v>
      </c>
      <c r="F276" s="3077" t="s">
        <v>1737</v>
      </c>
      <c r="G276" s="3078">
        <f t="shared" si="38"/>
        <v>0</v>
      </c>
      <c r="H276" s="3079" t="s">
        <v>6795</v>
      </c>
      <c r="I276" s="3081" t="s">
        <v>6799</v>
      </c>
      <c r="J276" s="3060"/>
      <c r="K276" s="3078">
        <f t="shared" si="31"/>
        <v>0</v>
      </c>
      <c r="L276" s="3059" t="s">
        <v>6795</v>
      </c>
      <c r="M276" s="3081" t="s">
        <v>6799</v>
      </c>
      <c r="N276" s="3060"/>
      <c r="O276" s="3087"/>
      <c r="P276" s="3088"/>
      <c r="Q276" s="3088"/>
      <c r="R276" s="3088"/>
      <c r="S276" s="3089" t="s">
        <v>295</v>
      </c>
      <c r="T276" s="3089" t="s">
        <v>213</v>
      </c>
      <c r="U276" s="3090"/>
      <c r="V276" s="3090" t="s">
        <v>295</v>
      </c>
      <c r="W276" s="3090" t="s">
        <v>6793</v>
      </c>
      <c r="X276" s="3090" t="s">
        <v>6796</v>
      </c>
      <c r="Y276" s="3091" t="s">
        <v>164</v>
      </c>
    </row>
    <row r="277" spans="1:25" ht="24" hidden="1">
      <c r="A277" s="1304"/>
      <c r="B277" s="643">
        <v>2715</v>
      </c>
      <c r="C277" s="643" t="s">
        <v>1741</v>
      </c>
      <c r="D277" s="3075">
        <v>2</v>
      </c>
      <c r="E277" s="3076" t="str">
        <f t="shared" si="37"/>
        <v>长期应付职工薪酬</v>
      </c>
      <c r="F277" s="3077" t="s">
        <v>1742</v>
      </c>
      <c r="G277" s="3078">
        <f t="shared" si="38"/>
        <v>0</v>
      </c>
      <c r="H277" s="3079" t="s">
        <v>6795</v>
      </c>
      <c r="I277" s="3081" t="s">
        <v>6799</v>
      </c>
      <c r="J277" s="3060"/>
      <c r="K277" s="3078">
        <f t="shared" si="31"/>
        <v>0</v>
      </c>
      <c r="L277" s="3059" t="s">
        <v>6795</v>
      </c>
      <c r="M277" s="3081" t="s">
        <v>6799</v>
      </c>
      <c r="N277" s="3060"/>
      <c r="O277" s="3087"/>
      <c r="P277" s="3088"/>
      <c r="Q277" s="3088"/>
      <c r="R277" s="3088"/>
      <c r="S277" s="3089" t="s">
        <v>295</v>
      </c>
      <c r="T277" s="3089" t="s">
        <v>213</v>
      </c>
      <c r="U277" s="3090"/>
      <c r="V277" s="3090" t="s">
        <v>295</v>
      </c>
      <c r="W277" s="3090" t="s">
        <v>6793</v>
      </c>
      <c r="X277" s="3090" t="s">
        <v>6796</v>
      </c>
      <c r="Y277" s="3091" t="s">
        <v>164</v>
      </c>
    </row>
    <row r="278" spans="1:25" ht="18">
      <c r="A278" s="1304"/>
      <c r="B278" s="643">
        <v>2801</v>
      </c>
      <c r="C278" s="643" t="s">
        <v>1746</v>
      </c>
      <c r="D278" s="3075">
        <v>1</v>
      </c>
      <c r="E278" s="3076" t="str">
        <f t="shared" si="37"/>
        <v>预计负债</v>
      </c>
      <c r="F278" s="3077" t="s">
        <v>1747</v>
      </c>
      <c r="G278" s="3078">
        <f t="shared" si="38"/>
        <v>0</v>
      </c>
      <c r="H278" s="3079">
        <f ca="1">INDIRECT("Notes!CheckA"&amp;$C278)</f>
        <v>0</v>
      </c>
      <c r="I278" s="3081">
        <f ca="1">IF(AND(LEN(G278)&gt;0,LEN(H278)&gt;0),ROUND(SUM(G278)-SUM(H278),2),"")</f>
        <v>0</v>
      </c>
      <c r="J278" s="3060" t="str">
        <f ca="1">IF(ISNA(I278),"N/A",IF(I278=0,"√","？"))</f>
        <v>√</v>
      </c>
      <c r="K278" s="3078">
        <f t="shared" si="31"/>
        <v>0</v>
      </c>
      <c r="L278" s="3059">
        <f ca="1">INDIRECT("Notes!CheckB"&amp;$C278)</f>
        <v>0</v>
      </c>
      <c r="M278" s="3081">
        <f ca="1">IF(AND(LEN(K278)&gt;0,LEN(L278)&gt;0),ROUND(SUM(K278)-SUM(L278),2),"")</f>
        <v>0</v>
      </c>
      <c r="N278" s="3060" t="str">
        <f ca="1">IF(ISNA(M278),"N/A",IF(M278=0,"√","？"))</f>
        <v>√</v>
      </c>
      <c r="O278" s="3087"/>
      <c r="P278" s="3088"/>
      <c r="Q278" s="3088"/>
      <c r="R278" s="3088"/>
      <c r="S278" s="3089" t="s">
        <v>295</v>
      </c>
      <c r="T278" s="3089" t="s">
        <v>213</v>
      </c>
      <c r="U278" s="3090"/>
      <c r="V278" s="3090" t="s">
        <v>295</v>
      </c>
      <c r="W278" s="3090" t="s">
        <v>6793</v>
      </c>
      <c r="X278" s="3090" t="s">
        <v>6794</v>
      </c>
      <c r="Y278" s="3091" t="s">
        <v>164</v>
      </c>
    </row>
    <row r="279" spans="1:25" ht="18">
      <c r="A279" s="1304"/>
      <c r="B279" s="643">
        <v>2401</v>
      </c>
      <c r="C279" s="643" t="s">
        <v>1751</v>
      </c>
      <c r="D279" s="3075">
        <v>1</v>
      </c>
      <c r="E279" s="3076" t="str">
        <f t="shared" si="37"/>
        <v>递延收益</v>
      </c>
      <c r="F279" s="3077" t="s">
        <v>1752</v>
      </c>
      <c r="G279" s="3078">
        <f t="shared" si="38"/>
        <v>0</v>
      </c>
      <c r="H279" s="3079">
        <f ca="1">INDIRECT("Notes!CheckA"&amp;$C279)</f>
        <v>0</v>
      </c>
      <c r="I279" s="3081">
        <f ca="1">IF(AND(LEN(G279)&gt;0,LEN(H279)&gt;0),ROUND(SUM(G279)-SUM(H279),2),"")</f>
        <v>0</v>
      </c>
      <c r="J279" s="3060" t="str">
        <f ca="1">IF(ISNA(I279),"N/A",IF(I279=0,"√","？"))</f>
        <v>√</v>
      </c>
      <c r="K279" s="3078">
        <f t="shared" si="31"/>
        <v>0</v>
      </c>
      <c r="L279" s="3059">
        <f ca="1">INDIRECT("Notes!CheckB"&amp;$C279)</f>
        <v>0</v>
      </c>
      <c r="M279" s="3081">
        <f ca="1">IF(AND(LEN(K279)&gt;0,LEN(L279)&gt;0),ROUND(SUM(K279)-SUM(L279),2),"")</f>
        <v>0</v>
      </c>
      <c r="N279" s="3060" t="str">
        <f ca="1">IF(ISNA(M279),"N/A",IF(M279=0,"√","？"))</f>
        <v>√</v>
      </c>
      <c r="O279" s="3087"/>
      <c r="P279" s="3088"/>
      <c r="Q279" s="3088"/>
      <c r="R279" s="3088"/>
      <c r="S279" s="3089" t="s">
        <v>295</v>
      </c>
      <c r="T279" s="3089" t="s">
        <v>213</v>
      </c>
      <c r="U279" s="3090"/>
      <c r="V279" s="3090" t="s">
        <v>295</v>
      </c>
      <c r="W279" s="3090" t="s">
        <v>6793</v>
      </c>
      <c r="X279" s="3090" t="s">
        <v>6794</v>
      </c>
      <c r="Y279" s="3091" t="s">
        <v>164</v>
      </c>
    </row>
    <row r="280" spans="1:25" ht="24" hidden="1">
      <c r="A280" s="1304"/>
      <c r="B280" s="643">
        <v>2401</v>
      </c>
      <c r="C280" s="643" t="s">
        <v>1756</v>
      </c>
      <c r="D280" s="3075">
        <v>2</v>
      </c>
      <c r="E280" s="3076" t="str">
        <f t="shared" si="37"/>
        <v>递延收益</v>
      </c>
      <c r="F280" s="3077" t="s">
        <v>1757</v>
      </c>
      <c r="G280" s="3078">
        <f t="shared" si="38"/>
        <v>0</v>
      </c>
      <c r="H280" s="3079" t="s">
        <v>6795</v>
      </c>
      <c r="I280" s="3081" t="s">
        <v>6799</v>
      </c>
      <c r="J280" s="3060"/>
      <c r="K280" s="3078">
        <f t="shared" si="31"/>
        <v>0</v>
      </c>
      <c r="L280" s="3059" t="s">
        <v>6795</v>
      </c>
      <c r="M280" s="3081" t="s">
        <v>6799</v>
      </c>
      <c r="N280" s="3060"/>
      <c r="O280" s="3087"/>
      <c r="P280" s="3088"/>
      <c r="Q280" s="3088"/>
      <c r="R280" s="3088"/>
      <c r="S280" s="3089" t="s">
        <v>295</v>
      </c>
      <c r="T280" s="3089" t="s">
        <v>213</v>
      </c>
      <c r="U280" s="3090"/>
      <c r="V280" s="3090" t="s">
        <v>295</v>
      </c>
      <c r="W280" s="3090" t="s">
        <v>6793</v>
      </c>
      <c r="X280" s="3090" t="s">
        <v>6794</v>
      </c>
      <c r="Y280" s="3091" t="s">
        <v>164</v>
      </c>
    </row>
    <row r="281" spans="1:25" ht="24">
      <c r="A281" s="1304"/>
      <c r="B281" s="643">
        <v>2996</v>
      </c>
      <c r="C281" s="643" t="s">
        <v>1761</v>
      </c>
      <c r="D281" s="3075">
        <v>1</v>
      </c>
      <c r="E281" s="3076" t="str">
        <f t="shared" si="37"/>
        <v>其他非流动负债</v>
      </c>
      <c r="F281" s="3077" t="s">
        <v>1762</v>
      </c>
      <c r="G281" s="3078">
        <f t="shared" si="38"/>
        <v>0</v>
      </c>
      <c r="H281" s="3079">
        <f ca="1">INDIRECT("Notes!CheckA"&amp;$C281)</f>
        <v>0</v>
      </c>
      <c r="I281" s="3081">
        <f ca="1">IF(AND(LEN(G281)&gt;0,LEN(H281)&gt;0),ROUND(SUM(G281)-SUM(H281),2),"")</f>
        <v>0</v>
      </c>
      <c r="J281" s="3060" t="str">
        <f ca="1">IF(ISNA(I281),"N/A",IF(I281=0,"√","？"))</f>
        <v>√</v>
      </c>
      <c r="K281" s="3078">
        <f t="shared" si="31"/>
        <v>0</v>
      </c>
      <c r="L281" s="3059">
        <f ca="1">INDIRECT("Notes!CheckB"&amp;$C281)</f>
        <v>0</v>
      </c>
      <c r="M281" s="3081">
        <f ca="1">IF(AND(LEN(K281)&gt;0,LEN(L281)&gt;0),ROUND(SUM(K281)-SUM(L281),2),"")</f>
        <v>0</v>
      </c>
      <c r="N281" s="3060" t="str">
        <f ca="1">IF(ISNA(M281),"N/A",IF(M281=0,"√","？"))</f>
        <v>√</v>
      </c>
      <c r="O281" s="3087"/>
      <c r="P281" s="3088"/>
      <c r="Q281" s="3088"/>
      <c r="R281" s="3088"/>
      <c r="S281" s="3089" t="s">
        <v>295</v>
      </c>
      <c r="T281" s="3089" t="s">
        <v>213</v>
      </c>
      <c r="U281" s="3090"/>
      <c r="V281" s="3090" t="s">
        <v>295</v>
      </c>
      <c r="W281" s="3090" t="s">
        <v>6793</v>
      </c>
      <c r="X281" s="3090" t="s">
        <v>6794</v>
      </c>
      <c r="Y281" s="3091" t="s">
        <v>164</v>
      </c>
    </row>
    <row r="282" spans="1:25" ht="24" hidden="1">
      <c r="A282" s="1304"/>
      <c r="B282" s="643">
        <v>2996</v>
      </c>
      <c r="C282" s="643" t="s">
        <v>1766</v>
      </c>
      <c r="D282" s="3075">
        <v>2</v>
      </c>
      <c r="E282" s="3076" t="str">
        <f t="shared" si="37"/>
        <v>其他非流动负债</v>
      </c>
      <c r="F282" s="3077" t="s">
        <v>1767</v>
      </c>
      <c r="G282" s="3078">
        <f t="shared" si="38"/>
        <v>0</v>
      </c>
      <c r="H282" s="3079">
        <f ca="1">INDIRECT("Notes!CheckA"&amp;$C282)</f>
        <v>0</v>
      </c>
      <c r="I282" s="3081" t="s">
        <v>6799</v>
      </c>
      <c r="J282" s="3060"/>
      <c r="K282" s="3078">
        <f t="shared" si="31"/>
        <v>0</v>
      </c>
      <c r="L282" s="3059">
        <f ca="1">INDIRECT("Notes!CheckB"&amp;$C282)</f>
        <v>0</v>
      </c>
      <c r="M282" s="3081" t="s">
        <v>6799</v>
      </c>
      <c r="N282" s="3060"/>
      <c r="O282" s="3087"/>
      <c r="P282" s="3088"/>
      <c r="Q282" s="3088"/>
      <c r="R282" s="3088"/>
      <c r="S282" s="3089" t="s">
        <v>295</v>
      </c>
      <c r="T282" s="3089" t="s">
        <v>213</v>
      </c>
      <c r="U282" s="3090"/>
      <c r="V282" s="3090" t="s">
        <v>295</v>
      </c>
      <c r="W282" s="3090" t="s">
        <v>6793</v>
      </c>
      <c r="X282" s="3090" t="s">
        <v>213</v>
      </c>
      <c r="Y282" s="3091" t="s">
        <v>164</v>
      </c>
    </row>
    <row r="283" spans="1:25" ht="18" hidden="1">
      <c r="A283" s="1304"/>
      <c r="B283" s="643">
        <v>4001</v>
      </c>
      <c r="C283" s="643" t="s">
        <v>1774</v>
      </c>
      <c r="D283" s="3075">
        <v>2</v>
      </c>
      <c r="E283" s="3076" t="str">
        <f t="shared" si="37"/>
        <v>实收资本</v>
      </c>
      <c r="F283" s="3077" t="s">
        <v>1775</v>
      </c>
      <c r="G283" s="3078">
        <f t="shared" si="38"/>
        <v>0</v>
      </c>
      <c r="H283" s="3079" t="s">
        <v>6795</v>
      </c>
      <c r="I283" s="3081" t="s">
        <v>6799</v>
      </c>
      <c r="J283" s="3060"/>
      <c r="K283" s="3078">
        <f t="shared" si="31"/>
        <v>100000000</v>
      </c>
      <c r="L283" s="3059" t="s">
        <v>6795</v>
      </c>
      <c r="M283" s="3081" t="s">
        <v>6799</v>
      </c>
      <c r="N283" s="3060"/>
      <c r="O283" s="3087"/>
      <c r="P283" s="3088"/>
      <c r="Q283" s="3088"/>
      <c r="R283" s="3088"/>
      <c r="S283" s="3089" t="s">
        <v>295</v>
      </c>
      <c r="T283" s="3089" t="s">
        <v>213</v>
      </c>
      <c r="U283" s="3090"/>
      <c r="V283" s="3090" t="s">
        <v>295</v>
      </c>
      <c r="W283" s="3090" t="s">
        <v>6793</v>
      </c>
      <c r="X283" s="3090" t="s">
        <v>6796</v>
      </c>
      <c r="Y283" s="3091" t="s">
        <v>164</v>
      </c>
    </row>
    <row r="284" spans="1:25" ht="18">
      <c r="A284" s="1304"/>
      <c r="B284" s="643">
        <v>4001</v>
      </c>
      <c r="C284" s="643" t="s">
        <v>1780</v>
      </c>
      <c r="D284" s="3075">
        <v>1</v>
      </c>
      <c r="E284" s="3076" t="str">
        <f t="shared" si="37"/>
        <v>实收资本</v>
      </c>
      <c r="F284" s="3077" t="s">
        <v>1781</v>
      </c>
      <c r="G284" s="3078">
        <f t="shared" si="38"/>
        <v>0</v>
      </c>
      <c r="H284" s="3079">
        <f t="shared" ref="H284:H300" ca="1" si="39">INDIRECT("Notes!CheckA"&amp;$C284)</f>
        <v>0</v>
      </c>
      <c r="I284" s="3081">
        <f ca="1">IF(AND(LEN(G284)&gt;0,LEN(H284)&gt;0),ROUND(SUM(G284)-SUM(H284),2),"")</f>
        <v>0</v>
      </c>
      <c r="J284" s="3060" t="str">
        <f ca="1">IF(ISNA(I284),"N/A",IF(I284=0,"√","？"))</f>
        <v>√</v>
      </c>
      <c r="K284" s="3078">
        <f t="shared" si="31"/>
        <v>100000000</v>
      </c>
      <c r="L284" s="3059">
        <f ca="1">INDIRECT("Notes!CheckB"&amp;$C284)</f>
        <v>0</v>
      </c>
      <c r="M284" s="3081">
        <f ca="1">IF(AND(LEN(K284)&gt;0,LEN(L284)&gt;0),ROUND(SUM(K284)-SUM(L284),2),"")</f>
        <v>100000000</v>
      </c>
      <c r="N284" s="3060" t="str">
        <f ca="1">IF(ISNA(M284),"N/A",IF(M284=0,"√","？"))</f>
        <v>？</v>
      </c>
      <c r="O284" s="3087"/>
      <c r="P284" s="3088"/>
      <c r="Q284" s="3088"/>
      <c r="R284" s="3088"/>
      <c r="S284" s="3089" t="s">
        <v>295</v>
      </c>
      <c r="T284" s="3089" t="s">
        <v>213</v>
      </c>
      <c r="U284" s="3090"/>
      <c r="V284" s="3090" t="s">
        <v>295</v>
      </c>
      <c r="W284" s="3090" t="s">
        <v>6793</v>
      </c>
      <c r="X284" s="3090" t="s">
        <v>6797</v>
      </c>
      <c r="Y284" s="3091" t="s">
        <v>164</v>
      </c>
    </row>
    <row r="285" spans="1:25" ht="36" hidden="1">
      <c r="A285" s="1304"/>
      <c r="B285" s="643">
        <v>4015</v>
      </c>
      <c r="C285" s="643" t="s">
        <v>1790</v>
      </c>
      <c r="D285" s="3075">
        <v>2</v>
      </c>
      <c r="E285" s="3076" t="str">
        <f t="shared" si="37"/>
        <v>其他权益工具</v>
      </c>
      <c r="F285" s="3077" t="s">
        <v>1791</v>
      </c>
      <c r="G285" s="3078">
        <f t="shared" si="38"/>
        <v>0</v>
      </c>
      <c r="H285" s="3079">
        <f t="shared" ca="1" si="39"/>
        <v>0</v>
      </c>
      <c r="I285" s="3081" t="s">
        <v>6799</v>
      </c>
      <c r="J285" s="3060"/>
      <c r="K285" s="3078">
        <f t="shared" si="31"/>
        <v>0</v>
      </c>
      <c r="L285" s="3059" t="s">
        <v>6795</v>
      </c>
      <c r="M285" s="3081" t="s">
        <v>6799</v>
      </c>
      <c r="N285" s="3060"/>
      <c r="O285" s="3087"/>
      <c r="P285" s="3088"/>
      <c r="Q285" s="3088"/>
      <c r="R285" s="3088"/>
      <c r="S285" s="3089" t="s">
        <v>295</v>
      </c>
      <c r="T285" s="3089" t="s">
        <v>213</v>
      </c>
      <c r="U285" s="3090"/>
      <c r="V285" s="3090" t="s">
        <v>295</v>
      </c>
      <c r="W285" s="3090" t="s">
        <v>6793</v>
      </c>
      <c r="X285" s="3090" t="s">
        <v>6796</v>
      </c>
      <c r="Y285" s="3091" t="s">
        <v>164</v>
      </c>
    </row>
    <row r="286" spans="1:25" ht="36">
      <c r="A286" s="1304"/>
      <c r="B286" s="643">
        <v>4015</v>
      </c>
      <c r="C286" s="643" t="s">
        <v>1795</v>
      </c>
      <c r="D286" s="3075">
        <v>1</v>
      </c>
      <c r="E286" s="3076" t="str">
        <f t="shared" si="37"/>
        <v>其他权益工具</v>
      </c>
      <c r="F286" s="3077" t="s">
        <v>1796</v>
      </c>
      <c r="G286" s="3078">
        <f t="shared" si="38"/>
        <v>0</v>
      </c>
      <c r="H286" s="3079">
        <f t="shared" ca="1" si="39"/>
        <v>0</v>
      </c>
      <c r="I286" s="3081">
        <f t="shared" ref="I286:I293" ca="1" si="40">IF(AND(LEN(G286)&gt;0,LEN(H286)&gt;0),ROUND(SUM(G286)-SUM(H286),2),"")</f>
        <v>0</v>
      </c>
      <c r="J286" s="3060" t="str">
        <f t="shared" ref="J286:J293" ca="1" si="41">IF(ISNA(I286),"N/A",IF(I286=0,"√","？"))</f>
        <v>√</v>
      </c>
      <c r="K286" s="3078">
        <f t="shared" si="31"/>
        <v>0</v>
      </c>
      <c r="L286" s="3059">
        <f t="shared" ref="L286:L293" ca="1" si="42">INDIRECT("Notes!CheckB"&amp;$C286)</f>
        <v>0</v>
      </c>
      <c r="M286" s="3081">
        <f t="shared" ref="M286:M293" ca="1" si="43">IF(AND(LEN(K286)&gt;0,LEN(L286)&gt;0),ROUND(SUM(K286)-SUM(L286),2),"")</f>
        <v>0</v>
      </c>
      <c r="N286" s="3060" t="str">
        <f t="shared" ref="N286:N293" ca="1" si="44">IF(ISNA(M286),"N/A",IF(M286=0,"√","？"))</f>
        <v>√</v>
      </c>
      <c r="O286" s="3087"/>
      <c r="P286" s="3088"/>
      <c r="Q286" s="3088"/>
      <c r="R286" s="3088"/>
      <c r="S286" s="3089" t="s">
        <v>295</v>
      </c>
      <c r="T286" s="3089" t="s">
        <v>213</v>
      </c>
      <c r="U286" s="3090"/>
      <c r="V286" s="3090" t="s">
        <v>295</v>
      </c>
      <c r="W286" s="3090" t="s">
        <v>6793</v>
      </c>
      <c r="X286" s="3090" t="s">
        <v>6794</v>
      </c>
      <c r="Y286" s="3091" t="s">
        <v>164</v>
      </c>
    </row>
    <row r="287" spans="1:25" ht="18">
      <c r="A287" s="1304"/>
      <c r="B287" s="643">
        <v>4002</v>
      </c>
      <c r="C287" s="643" t="s">
        <v>1785</v>
      </c>
      <c r="D287" s="3075">
        <v>1</v>
      </c>
      <c r="E287" s="3076" t="str">
        <f t="shared" si="37"/>
        <v>资本公积</v>
      </c>
      <c r="F287" s="3077" t="s">
        <v>1786</v>
      </c>
      <c r="G287" s="3078">
        <f t="shared" si="38"/>
        <v>0</v>
      </c>
      <c r="H287" s="3079">
        <f t="shared" ca="1" si="39"/>
        <v>0</v>
      </c>
      <c r="I287" s="3081">
        <f t="shared" ca="1" si="40"/>
        <v>0</v>
      </c>
      <c r="J287" s="3060" t="str">
        <f t="shared" ca="1" si="41"/>
        <v>√</v>
      </c>
      <c r="K287" s="3078">
        <f t="shared" ref="K287:K350" si="45">IF(ISERROR(VLOOKUP($B287,Sheet_Trialbal,10,0)),"        ----",VLOOKUP($B287,Sheet_Trialbal,10,0))</f>
        <v>0</v>
      </c>
      <c r="L287" s="3059">
        <f t="shared" ca="1" si="42"/>
        <v>0</v>
      </c>
      <c r="M287" s="3081">
        <f t="shared" ca="1" si="43"/>
        <v>0</v>
      </c>
      <c r="N287" s="3060" t="str">
        <f t="shared" ca="1" si="44"/>
        <v>√</v>
      </c>
      <c r="O287" s="3087"/>
      <c r="P287" s="3088"/>
      <c r="Q287" s="3088"/>
      <c r="R287" s="3088"/>
      <c r="S287" s="3089" t="s">
        <v>295</v>
      </c>
      <c r="T287" s="3089" t="s">
        <v>213</v>
      </c>
      <c r="U287" s="3090"/>
      <c r="V287" s="3090" t="s">
        <v>295</v>
      </c>
      <c r="W287" s="3090" t="s">
        <v>6793</v>
      </c>
      <c r="X287" s="3090" t="s">
        <v>6794</v>
      </c>
      <c r="Y287" s="3091" t="s">
        <v>164</v>
      </c>
    </row>
    <row r="288" spans="1:25" ht="18">
      <c r="A288" s="1304"/>
      <c r="B288" s="643">
        <v>4201</v>
      </c>
      <c r="C288" s="643" t="s">
        <v>1828</v>
      </c>
      <c r="D288" s="3075">
        <v>1</v>
      </c>
      <c r="E288" s="3076" t="str">
        <f t="shared" si="37"/>
        <v>库存股</v>
      </c>
      <c r="F288" s="3077" t="s">
        <v>1829</v>
      </c>
      <c r="G288" s="3078">
        <f t="shared" si="38"/>
        <v>0</v>
      </c>
      <c r="H288" s="3079">
        <f t="shared" ca="1" si="39"/>
        <v>0</v>
      </c>
      <c r="I288" s="3081">
        <f t="shared" ca="1" si="40"/>
        <v>0</v>
      </c>
      <c r="J288" s="3060" t="str">
        <f t="shared" ca="1" si="41"/>
        <v>√</v>
      </c>
      <c r="K288" s="3078">
        <f t="shared" si="45"/>
        <v>0</v>
      </c>
      <c r="L288" s="3059">
        <f t="shared" ca="1" si="42"/>
        <v>0</v>
      </c>
      <c r="M288" s="3081">
        <f t="shared" ca="1" si="43"/>
        <v>0</v>
      </c>
      <c r="N288" s="3060" t="str">
        <f t="shared" ca="1" si="44"/>
        <v>√</v>
      </c>
      <c r="O288" s="3087"/>
      <c r="P288" s="3088"/>
      <c r="Q288" s="3088"/>
      <c r="R288" s="3088"/>
      <c r="S288" s="3089" t="s">
        <v>295</v>
      </c>
      <c r="T288" s="3089" t="s">
        <v>213</v>
      </c>
      <c r="U288" s="3090"/>
      <c r="V288" s="3090" t="s">
        <v>295</v>
      </c>
      <c r="W288" s="3090" t="s">
        <v>6793</v>
      </c>
      <c r="X288" s="3090" t="s">
        <v>6794</v>
      </c>
      <c r="Y288" s="3091" t="s">
        <v>164</v>
      </c>
    </row>
    <row r="289" spans="1:25" ht="18">
      <c r="A289" s="1304"/>
      <c r="B289" s="643">
        <v>4215</v>
      </c>
      <c r="C289" s="643" t="s">
        <v>1831</v>
      </c>
      <c r="D289" s="3075">
        <v>1</v>
      </c>
      <c r="E289" s="3076" t="str">
        <f t="shared" si="37"/>
        <v>其他综合收益</v>
      </c>
      <c r="F289" s="3077" t="s">
        <v>1832</v>
      </c>
      <c r="G289" s="3078">
        <f t="shared" si="38"/>
        <v>0</v>
      </c>
      <c r="H289" s="3079">
        <f t="shared" ca="1" si="39"/>
        <v>0</v>
      </c>
      <c r="I289" s="3081">
        <f t="shared" ca="1" si="40"/>
        <v>0</v>
      </c>
      <c r="J289" s="3060" t="str">
        <f t="shared" ca="1" si="41"/>
        <v>√</v>
      </c>
      <c r="K289" s="3078">
        <f t="shared" si="45"/>
        <v>0</v>
      </c>
      <c r="L289" s="3059">
        <f t="shared" ca="1" si="42"/>
        <v>0</v>
      </c>
      <c r="M289" s="3081">
        <f t="shared" ca="1" si="43"/>
        <v>0</v>
      </c>
      <c r="N289" s="3060" t="str">
        <f t="shared" ca="1" si="44"/>
        <v>√</v>
      </c>
      <c r="O289" s="3087"/>
      <c r="P289" s="3088"/>
      <c r="Q289" s="3088"/>
      <c r="R289" s="3088"/>
      <c r="S289" s="3089" t="s">
        <v>295</v>
      </c>
      <c r="T289" s="3089" t="s">
        <v>213</v>
      </c>
      <c r="U289" s="3090"/>
      <c r="V289" s="3090" t="s">
        <v>295</v>
      </c>
      <c r="W289" s="3090" t="s">
        <v>145</v>
      </c>
      <c r="X289" s="3090" t="s">
        <v>6796</v>
      </c>
      <c r="Y289" s="3091" t="s">
        <v>119</v>
      </c>
    </row>
    <row r="290" spans="1:25" ht="18">
      <c r="A290" s="1304"/>
      <c r="B290" s="643">
        <v>4301</v>
      </c>
      <c r="C290" s="643" t="s">
        <v>1837</v>
      </c>
      <c r="D290" s="3075">
        <v>1</v>
      </c>
      <c r="E290" s="3076" t="str">
        <f t="shared" si="37"/>
        <v>专项储备</v>
      </c>
      <c r="F290" s="3077" t="s">
        <v>1838</v>
      </c>
      <c r="G290" s="3078">
        <f t="shared" si="38"/>
        <v>0</v>
      </c>
      <c r="H290" s="3079">
        <f t="shared" ca="1" si="39"/>
        <v>0</v>
      </c>
      <c r="I290" s="3081">
        <f t="shared" ca="1" si="40"/>
        <v>0</v>
      </c>
      <c r="J290" s="3060" t="str">
        <f t="shared" ca="1" si="41"/>
        <v>√</v>
      </c>
      <c r="K290" s="3078">
        <f t="shared" si="45"/>
        <v>0</v>
      </c>
      <c r="L290" s="3059">
        <f t="shared" ca="1" si="42"/>
        <v>0</v>
      </c>
      <c r="M290" s="3081">
        <f t="shared" ca="1" si="43"/>
        <v>0</v>
      </c>
      <c r="N290" s="3060" t="str">
        <f t="shared" ca="1" si="44"/>
        <v>√</v>
      </c>
      <c r="O290" s="3087"/>
      <c r="P290" s="3088"/>
      <c r="Q290" s="3088"/>
      <c r="R290" s="3088"/>
      <c r="S290" s="3089" t="s">
        <v>295</v>
      </c>
      <c r="T290" s="3089" t="s">
        <v>213</v>
      </c>
      <c r="U290" s="3090"/>
      <c r="V290" s="3090" t="s">
        <v>295</v>
      </c>
      <c r="W290" s="3090" t="s">
        <v>6793</v>
      </c>
      <c r="X290" s="3090" t="s">
        <v>6794</v>
      </c>
      <c r="Y290" s="3091" t="s">
        <v>164</v>
      </c>
    </row>
    <row r="291" spans="1:25" ht="18">
      <c r="A291" s="1304"/>
      <c r="B291" s="643">
        <v>4101</v>
      </c>
      <c r="C291" s="643" t="s">
        <v>1805</v>
      </c>
      <c r="D291" s="3075">
        <v>1</v>
      </c>
      <c r="E291" s="3076" t="str">
        <f t="shared" si="37"/>
        <v>盈余公积</v>
      </c>
      <c r="F291" s="3077" t="s">
        <v>1806</v>
      </c>
      <c r="G291" s="3078">
        <f t="shared" si="38"/>
        <v>0</v>
      </c>
      <c r="H291" s="3079">
        <f t="shared" ca="1" si="39"/>
        <v>0</v>
      </c>
      <c r="I291" s="3081">
        <f t="shared" ca="1" si="40"/>
        <v>0</v>
      </c>
      <c r="J291" s="3060" t="str">
        <f t="shared" ca="1" si="41"/>
        <v>√</v>
      </c>
      <c r="K291" s="3078">
        <f t="shared" si="45"/>
        <v>0</v>
      </c>
      <c r="L291" s="3059">
        <f t="shared" ca="1" si="42"/>
        <v>0</v>
      </c>
      <c r="M291" s="3081">
        <f t="shared" ca="1" si="43"/>
        <v>0</v>
      </c>
      <c r="N291" s="3060" t="str">
        <f t="shared" ca="1" si="44"/>
        <v>√</v>
      </c>
      <c r="O291" s="3087"/>
      <c r="P291" s="3088"/>
      <c r="Q291" s="3088"/>
      <c r="R291" s="3088"/>
      <c r="S291" s="3089" t="s">
        <v>295</v>
      </c>
      <c r="T291" s="3089" t="s">
        <v>213</v>
      </c>
      <c r="U291" s="3090"/>
      <c r="V291" s="3090" t="s">
        <v>295</v>
      </c>
      <c r="W291" s="3090" t="s">
        <v>145</v>
      </c>
      <c r="X291" s="3090" t="s">
        <v>6796</v>
      </c>
      <c r="Y291" s="3091" t="s">
        <v>119</v>
      </c>
    </row>
    <row r="292" spans="1:25" ht="18">
      <c r="A292" s="1304"/>
      <c r="B292" s="643">
        <v>4102</v>
      </c>
      <c r="C292" s="643" t="s">
        <v>1815</v>
      </c>
      <c r="D292" s="3075">
        <v>1</v>
      </c>
      <c r="E292" s="3076" t="str">
        <f t="shared" si="37"/>
        <v>一般风险准备</v>
      </c>
      <c r="F292" s="3077" t="s">
        <v>1816</v>
      </c>
      <c r="G292" s="3078">
        <f t="shared" si="38"/>
        <v>0</v>
      </c>
      <c r="H292" s="3079">
        <f t="shared" ca="1" si="39"/>
        <v>0</v>
      </c>
      <c r="I292" s="3081">
        <f t="shared" ca="1" si="40"/>
        <v>0</v>
      </c>
      <c r="J292" s="3060" t="str">
        <f t="shared" ca="1" si="41"/>
        <v>√</v>
      </c>
      <c r="K292" s="3078">
        <f t="shared" si="45"/>
        <v>0</v>
      </c>
      <c r="L292" s="3059">
        <f t="shared" ca="1" si="42"/>
        <v>0</v>
      </c>
      <c r="M292" s="3081">
        <f t="shared" ca="1" si="43"/>
        <v>0</v>
      </c>
      <c r="N292" s="3060" t="str">
        <f t="shared" ca="1" si="44"/>
        <v>√</v>
      </c>
      <c r="O292" s="3087"/>
      <c r="P292" s="3088"/>
      <c r="Q292" s="3088"/>
      <c r="R292" s="3088"/>
      <c r="S292" s="3089" t="s">
        <v>295</v>
      </c>
      <c r="T292" s="3089" t="s">
        <v>213</v>
      </c>
      <c r="U292" s="3090"/>
      <c r="V292" s="3090" t="s">
        <v>295</v>
      </c>
      <c r="W292" s="3090" t="s">
        <v>6793</v>
      </c>
      <c r="X292" s="3090" t="s">
        <v>213</v>
      </c>
      <c r="Y292" s="3091" t="s">
        <v>164</v>
      </c>
    </row>
    <row r="293" spans="1:25" ht="24">
      <c r="A293" s="1304"/>
      <c r="B293" s="643">
        <v>4200</v>
      </c>
      <c r="C293" s="643" t="s">
        <v>1820</v>
      </c>
      <c r="D293" s="3075">
        <v>1</v>
      </c>
      <c r="E293" s="3076" t="str">
        <f t="shared" si="37"/>
        <v>未分配利润</v>
      </c>
      <c r="F293" s="3077" t="s">
        <v>1821</v>
      </c>
      <c r="G293" s="3078">
        <f t="shared" si="38"/>
        <v>-25297789.149999999</v>
      </c>
      <c r="H293" s="3079">
        <f t="shared" ca="1" si="39"/>
        <v>-25297789.149999999</v>
      </c>
      <c r="I293" s="3081">
        <f t="shared" ca="1" si="40"/>
        <v>0</v>
      </c>
      <c r="J293" s="3060" t="str">
        <f t="shared" ca="1" si="41"/>
        <v>√</v>
      </c>
      <c r="K293" s="3078">
        <f t="shared" si="45"/>
        <v>-47230884.140000001</v>
      </c>
      <c r="L293" s="3059">
        <f t="shared" ca="1" si="42"/>
        <v>-22510882.850000001</v>
      </c>
      <c r="M293" s="3081">
        <f t="shared" ca="1" si="43"/>
        <v>-24720001.289999999</v>
      </c>
      <c r="N293" s="3060" t="str">
        <f t="shared" ca="1" si="44"/>
        <v>？</v>
      </c>
      <c r="O293" s="3087"/>
      <c r="P293" s="3088"/>
      <c r="Q293" s="3088"/>
      <c r="R293" s="3088"/>
      <c r="S293" s="3089" t="s">
        <v>295</v>
      </c>
      <c r="T293" s="3089" t="s">
        <v>213</v>
      </c>
      <c r="U293" s="3090"/>
      <c r="V293" s="3090" t="s">
        <v>295</v>
      </c>
      <c r="W293" s="3090" t="s">
        <v>6793</v>
      </c>
      <c r="X293" s="3090" t="s">
        <v>6794</v>
      </c>
      <c r="Y293" s="3091" t="s">
        <v>164</v>
      </c>
    </row>
    <row r="294" spans="1:25" ht="24" hidden="1">
      <c r="A294" s="1304"/>
      <c r="B294" s="643">
        <v>4200</v>
      </c>
      <c r="C294" s="643" t="s">
        <v>1824</v>
      </c>
      <c r="D294" s="3075">
        <v>2</v>
      </c>
      <c r="E294" s="3076" t="str">
        <f t="shared" si="37"/>
        <v>未分配利润</v>
      </c>
      <c r="F294" s="3077" t="s">
        <v>1825</v>
      </c>
      <c r="G294" s="3078">
        <f t="shared" si="38"/>
        <v>-25297789.149999999</v>
      </c>
      <c r="H294" s="3079">
        <f t="shared" ca="1" si="39"/>
        <v>0</v>
      </c>
      <c r="I294" s="3081" t="s">
        <v>6799</v>
      </c>
      <c r="J294" s="3060"/>
      <c r="K294" s="3078">
        <f t="shared" si="45"/>
        <v>-47230884.140000001</v>
      </c>
      <c r="L294" s="3059" t="s">
        <v>6795</v>
      </c>
      <c r="M294" s="3081" t="s">
        <v>6799</v>
      </c>
      <c r="N294" s="3060"/>
      <c r="O294" s="3087"/>
      <c r="P294" s="3088"/>
      <c r="Q294" s="3088"/>
      <c r="R294" s="3088"/>
      <c r="S294" s="3089" t="s">
        <v>295</v>
      </c>
      <c r="T294" s="3089" t="s">
        <v>213</v>
      </c>
      <c r="U294" s="3090"/>
      <c r="V294" s="3090" t="s">
        <v>295</v>
      </c>
      <c r="W294" s="3090" t="s">
        <v>6793</v>
      </c>
      <c r="X294" s="3090" t="s">
        <v>213</v>
      </c>
      <c r="Y294" s="3091" t="s">
        <v>164</v>
      </c>
    </row>
    <row r="295" spans="1:25" ht="24" hidden="1">
      <c r="A295" s="1304"/>
      <c r="B295" s="643"/>
      <c r="C295" s="643" t="s">
        <v>1844</v>
      </c>
      <c r="D295" s="3075">
        <v>3</v>
      </c>
      <c r="E295" s="3076" t="str">
        <f t="shared" si="37"/>
        <v xml:space="preserve">        ----</v>
      </c>
      <c r="F295" s="3077" t="s">
        <v>1845</v>
      </c>
      <c r="G295" s="3078" t="str">
        <f t="shared" si="38"/>
        <v xml:space="preserve">        ----</v>
      </c>
      <c r="H295" s="3079">
        <f t="shared" ca="1" si="39"/>
        <v>328458.53999999998</v>
      </c>
      <c r="I295" s="3081" t="s">
        <v>6799</v>
      </c>
      <c r="J295" s="3060"/>
      <c r="K295" s="3078" t="str">
        <f t="shared" si="45"/>
        <v xml:space="preserve">        ----</v>
      </c>
      <c r="L295" s="3059">
        <f t="shared" ref="L295:L300" ca="1" si="46">INDIRECT("Notes!CheckB"&amp;$C295)</f>
        <v>8990453.4299999997</v>
      </c>
      <c r="M295" s="3081" t="s">
        <v>6799</v>
      </c>
      <c r="N295" s="3060"/>
      <c r="O295" s="3087"/>
      <c r="P295" s="3088"/>
      <c r="Q295" s="3088"/>
      <c r="R295" s="3088"/>
      <c r="S295" s="3089" t="s">
        <v>295</v>
      </c>
      <c r="T295" s="3089" t="s">
        <v>213</v>
      </c>
      <c r="U295" s="3090"/>
      <c r="V295" s="3090" t="s">
        <v>295</v>
      </c>
      <c r="W295" s="3090" t="s">
        <v>6793</v>
      </c>
      <c r="X295" s="3090" t="s">
        <v>6794</v>
      </c>
      <c r="Y295" s="3091" t="s">
        <v>164</v>
      </c>
    </row>
    <row r="296" spans="1:25" ht="18">
      <c r="A296" s="1304"/>
      <c r="B296" s="643">
        <v>6001</v>
      </c>
      <c r="C296" s="643" t="s">
        <v>1848</v>
      </c>
      <c r="D296" s="3075">
        <v>1</v>
      </c>
      <c r="E296" s="3076" t="str">
        <f t="shared" si="37"/>
        <v>营业收入</v>
      </c>
      <c r="F296" s="3077" t="s">
        <v>1849</v>
      </c>
      <c r="G296" s="3078">
        <f t="shared" si="38"/>
        <v>328458.53999999998</v>
      </c>
      <c r="H296" s="3079">
        <f t="shared" ca="1" si="39"/>
        <v>328458.53999999998</v>
      </c>
      <c r="I296" s="3081">
        <f ca="1">IF(AND(LEN(G296)&gt;0,LEN(H296)&gt;0),ROUND(SUM(G296)-SUM(H296),2),"")</f>
        <v>0</v>
      </c>
      <c r="J296" s="3060" t="str">
        <f ca="1">IF(ISNA(I296),"N/A",IF(I296=0,"√","？"))</f>
        <v>√</v>
      </c>
      <c r="K296" s="3078">
        <f t="shared" si="45"/>
        <v>6282.79</v>
      </c>
      <c r="L296" s="3059">
        <f t="shared" ca="1" si="46"/>
        <v>6282.79</v>
      </c>
      <c r="M296" s="3081">
        <f ca="1">IF(AND(LEN(K296)&gt;0,LEN(L296)&gt;0),ROUND(SUM(K296)-SUM(L296),2),"")</f>
        <v>0</v>
      </c>
      <c r="N296" s="3060" t="str">
        <f ca="1">IF(ISNA(M296),"N/A",IF(M296=0,"√","？"))</f>
        <v>√</v>
      </c>
      <c r="O296" s="3087"/>
      <c r="P296" s="3088"/>
      <c r="Q296" s="3088"/>
      <c r="R296" s="3088"/>
      <c r="S296" s="3089" t="s">
        <v>295</v>
      </c>
      <c r="T296" s="3089" t="s">
        <v>213</v>
      </c>
      <c r="U296" s="3090"/>
      <c r="V296" s="3090" t="s">
        <v>295</v>
      </c>
      <c r="W296" s="3090" t="s">
        <v>6793</v>
      </c>
      <c r="X296" s="3090" t="s">
        <v>6794</v>
      </c>
      <c r="Y296" s="3091" t="s">
        <v>164</v>
      </c>
    </row>
    <row r="297" spans="1:25" ht="18">
      <c r="A297" s="1304"/>
      <c r="B297" s="643">
        <v>6401</v>
      </c>
      <c r="C297" s="643" t="s">
        <v>1851</v>
      </c>
      <c r="D297" s="3075">
        <v>1</v>
      </c>
      <c r="E297" s="3076" t="str">
        <f t="shared" si="37"/>
        <v>营业成本</v>
      </c>
      <c r="F297" s="3077" t="s">
        <v>1852</v>
      </c>
      <c r="G297" s="3078">
        <f t="shared" si="38"/>
        <v>8990453.4299999997</v>
      </c>
      <c r="H297" s="3079">
        <f t="shared" ca="1" si="39"/>
        <v>8990453.4299999997</v>
      </c>
      <c r="I297" s="3081">
        <f ca="1">IF(AND(LEN(G297)&gt;0,LEN(H297)&gt;0),ROUND(SUM(G297)-SUM(H297),2),"")</f>
        <v>0</v>
      </c>
      <c r="J297" s="3060" t="str">
        <f ca="1">IF(ISNA(I297),"N/A",IF(I297=0,"√","？"))</f>
        <v>√</v>
      </c>
      <c r="K297" s="3078">
        <f t="shared" si="45"/>
        <v>0</v>
      </c>
      <c r="L297" s="3059">
        <f t="shared" ca="1" si="46"/>
        <v>0</v>
      </c>
      <c r="M297" s="3081">
        <f ca="1">IF(AND(LEN(K297)&gt;0,LEN(L297)&gt;0),ROUND(SUM(K297)-SUM(L297),2),"")</f>
        <v>0</v>
      </c>
      <c r="N297" s="3060" t="str">
        <f ca="1">IF(ISNA(M297),"N/A",IF(M297=0,"√","？"))</f>
        <v>√</v>
      </c>
      <c r="O297" s="3087"/>
      <c r="P297" s="3088"/>
      <c r="Q297" s="3088"/>
      <c r="R297" s="3088"/>
      <c r="S297" s="3089" t="s">
        <v>295</v>
      </c>
      <c r="T297" s="3089" t="s">
        <v>213</v>
      </c>
      <c r="U297" s="3090"/>
      <c r="V297" s="3090" t="s">
        <v>295</v>
      </c>
      <c r="W297" s="3090" t="s">
        <v>6793</v>
      </c>
      <c r="X297" s="3090" t="s">
        <v>6794</v>
      </c>
      <c r="Y297" s="3091" t="s">
        <v>164</v>
      </c>
    </row>
    <row r="298" spans="1:25" ht="24" hidden="1">
      <c r="A298" s="1304"/>
      <c r="B298" s="643"/>
      <c r="C298" s="643" t="s">
        <v>1854</v>
      </c>
      <c r="D298" s="3075">
        <v>3</v>
      </c>
      <c r="E298" s="3076" t="str">
        <f t="shared" si="37"/>
        <v xml:space="preserve">        ----</v>
      </c>
      <c r="F298" s="3077" t="s">
        <v>1855</v>
      </c>
      <c r="G298" s="3078" t="str">
        <f t="shared" si="38"/>
        <v xml:space="preserve">        ----</v>
      </c>
      <c r="H298" s="3079">
        <f t="shared" ca="1" si="39"/>
        <v>-8990453.4299999997</v>
      </c>
      <c r="I298" s="3081" t="s">
        <v>6799</v>
      </c>
      <c r="J298" s="3060"/>
      <c r="K298" s="3078" t="str">
        <f t="shared" si="45"/>
        <v xml:space="preserve">        ----</v>
      </c>
      <c r="L298" s="3059">
        <f t="shared" ca="1" si="46"/>
        <v>0</v>
      </c>
      <c r="M298" s="3081" t="s">
        <v>6799</v>
      </c>
      <c r="N298" s="3060"/>
      <c r="O298" s="3087"/>
      <c r="P298" s="3088"/>
      <c r="Q298" s="3088"/>
      <c r="R298" s="3088"/>
      <c r="S298" s="3089" t="s">
        <v>295</v>
      </c>
      <c r="T298" s="3089" t="s">
        <v>213</v>
      </c>
      <c r="U298" s="3090"/>
      <c r="V298" s="3090" t="s">
        <v>295</v>
      </c>
      <c r="W298" s="3090" t="s">
        <v>6793</v>
      </c>
      <c r="X298" s="3090" t="s">
        <v>6796</v>
      </c>
      <c r="Y298" s="3091" t="s">
        <v>164</v>
      </c>
    </row>
    <row r="299" spans="1:25" ht="18" hidden="1">
      <c r="A299" s="1304"/>
      <c r="B299" s="643"/>
      <c r="C299" s="643" t="s">
        <v>1859</v>
      </c>
      <c r="D299" s="3075">
        <v>3</v>
      </c>
      <c r="E299" s="3076" t="str">
        <f t="shared" si="37"/>
        <v xml:space="preserve">        ----</v>
      </c>
      <c r="F299" s="3077" t="s">
        <v>1860</v>
      </c>
      <c r="G299" s="3078" t="str">
        <f t="shared" si="38"/>
        <v xml:space="preserve">        ----</v>
      </c>
      <c r="H299" s="3079">
        <f t="shared" ca="1" si="39"/>
        <v>-8990453.4299999997</v>
      </c>
      <c r="I299" s="3081" t="s">
        <v>6799</v>
      </c>
      <c r="J299" s="3060"/>
      <c r="K299" s="3078" t="str">
        <f t="shared" si="45"/>
        <v xml:space="preserve">        ----</v>
      </c>
      <c r="L299" s="3059">
        <f t="shared" ca="1" si="46"/>
        <v>0</v>
      </c>
      <c r="M299" s="3081" t="s">
        <v>6799</v>
      </c>
      <c r="N299" s="3060"/>
      <c r="O299" s="3087"/>
      <c r="P299" s="3088"/>
      <c r="Q299" s="3088"/>
      <c r="R299" s="3088"/>
      <c r="S299" s="3089" t="s">
        <v>295</v>
      </c>
      <c r="T299" s="3089" t="s">
        <v>213</v>
      </c>
      <c r="U299" s="3090"/>
      <c r="V299" s="3090" t="s">
        <v>295</v>
      </c>
      <c r="W299" s="3090" t="s">
        <v>6793</v>
      </c>
      <c r="X299" s="3090" t="s">
        <v>6796</v>
      </c>
      <c r="Y299" s="3091" t="s">
        <v>164</v>
      </c>
    </row>
    <row r="300" spans="1:25" ht="18" hidden="1">
      <c r="A300" s="1304"/>
      <c r="B300" s="643"/>
      <c r="C300" s="643" t="s">
        <v>1863</v>
      </c>
      <c r="D300" s="3075">
        <v>3</v>
      </c>
      <c r="E300" s="3076" t="str">
        <f t="shared" si="37"/>
        <v xml:space="preserve">        ----</v>
      </c>
      <c r="F300" s="3077" t="s">
        <v>1864</v>
      </c>
      <c r="G300" s="3078" t="str">
        <f t="shared" si="38"/>
        <v xml:space="preserve">        ----</v>
      </c>
      <c r="H300" s="3079">
        <f t="shared" ca="1" si="39"/>
        <v>-8990453.4299999997</v>
      </c>
      <c r="I300" s="3081" t="s">
        <v>6799</v>
      </c>
      <c r="J300" s="3060"/>
      <c r="K300" s="3078" t="str">
        <f t="shared" si="45"/>
        <v xml:space="preserve">        ----</v>
      </c>
      <c r="L300" s="3059">
        <f t="shared" ca="1" si="46"/>
        <v>0</v>
      </c>
      <c r="M300" s="3081" t="s">
        <v>6799</v>
      </c>
      <c r="N300" s="3060"/>
      <c r="O300" s="3087"/>
      <c r="P300" s="3088"/>
      <c r="Q300" s="3088"/>
      <c r="R300" s="3088"/>
      <c r="S300" s="3089" t="s">
        <v>295</v>
      </c>
      <c r="T300" s="3089" t="s">
        <v>213</v>
      </c>
      <c r="U300" s="3090"/>
      <c r="V300" s="3090" t="s">
        <v>295</v>
      </c>
      <c r="W300" s="3090" t="s">
        <v>6793</v>
      </c>
      <c r="X300" s="3090" t="s">
        <v>6796</v>
      </c>
      <c r="Y300" s="3091" t="s">
        <v>164</v>
      </c>
    </row>
    <row r="301" spans="1:25" ht="18" hidden="1">
      <c r="A301" s="1304"/>
      <c r="B301" s="643">
        <v>6001</v>
      </c>
      <c r="C301" s="643" t="s">
        <v>1868</v>
      </c>
      <c r="D301" s="3075">
        <v>2</v>
      </c>
      <c r="E301" s="3076" t="str">
        <f t="shared" si="37"/>
        <v>营业收入</v>
      </c>
      <c r="F301" s="3077" t="s">
        <v>1869</v>
      </c>
      <c r="G301" s="3078">
        <f t="shared" si="38"/>
        <v>328458.53999999998</v>
      </c>
      <c r="H301" s="3079" t="s">
        <v>6795</v>
      </c>
      <c r="I301" s="3081" t="s">
        <v>6799</v>
      </c>
      <c r="J301" s="3060"/>
      <c r="K301" s="3078">
        <f t="shared" si="45"/>
        <v>6282.79</v>
      </c>
      <c r="L301" s="3059" t="s">
        <v>6795</v>
      </c>
      <c r="M301" s="3081" t="s">
        <v>6799</v>
      </c>
      <c r="N301" s="3060"/>
      <c r="O301" s="3087"/>
      <c r="P301" s="3088"/>
      <c r="Q301" s="3088"/>
      <c r="R301" s="3088"/>
      <c r="S301" s="3089" t="s">
        <v>295</v>
      </c>
      <c r="T301" s="3089" t="s">
        <v>213</v>
      </c>
      <c r="U301" s="3090"/>
      <c r="V301" s="3090" t="s">
        <v>295</v>
      </c>
      <c r="W301" s="3090" t="s">
        <v>6793</v>
      </c>
      <c r="X301" s="3090" t="s">
        <v>213</v>
      </c>
      <c r="Y301" s="3091" t="s">
        <v>164</v>
      </c>
    </row>
    <row r="302" spans="1:25" ht="18" hidden="1">
      <c r="A302" s="1304"/>
      <c r="B302" s="643">
        <v>6401</v>
      </c>
      <c r="C302" s="643" t="s">
        <v>1872</v>
      </c>
      <c r="D302" s="3075">
        <v>2</v>
      </c>
      <c r="E302" s="3076" t="str">
        <f t="shared" si="37"/>
        <v>营业成本</v>
      </c>
      <c r="F302" s="3077" t="s">
        <v>1873</v>
      </c>
      <c r="G302" s="3078">
        <f t="shared" si="38"/>
        <v>8990453.4299999997</v>
      </c>
      <c r="H302" s="3079" t="s">
        <v>6795</v>
      </c>
      <c r="I302" s="3081" t="s">
        <v>6799</v>
      </c>
      <c r="J302" s="3060"/>
      <c r="K302" s="3078">
        <f t="shared" si="45"/>
        <v>0</v>
      </c>
      <c r="L302" s="3059" t="s">
        <v>6795</v>
      </c>
      <c r="M302" s="3081" t="s">
        <v>6799</v>
      </c>
      <c r="N302" s="3060"/>
      <c r="O302" s="3087"/>
      <c r="P302" s="3088"/>
      <c r="Q302" s="3088"/>
      <c r="R302" s="3088"/>
      <c r="S302" s="3089" t="s">
        <v>295</v>
      </c>
      <c r="T302" s="3089" t="s">
        <v>213</v>
      </c>
      <c r="U302" s="3090"/>
      <c r="V302" s="3090" t="s">
        <v>295</v>
      </c>
      <c r="W302" s="3090" t="s">
        <v>6793</v>
      </c>
      <c r="X302" s="3090" t="s">
        <v>213</v>
      </c>
      <c r="Y302" s="3091" t="s">
        <v>164</v>
      </c>
    </row>
    <row r="303" spans="1:25" ht="18" hidden="1">
      <c r="A303" s="1304"/>
      <c r="B303" s="643">
        <v>6001</v>
      </c>
      <c r="C303" s="643" t="s">
        <v>1840</v>
      </c>
      <c r="D303" s="3075">
        <v>2</v>
      </c>
      <c r="E303" s="3076" t="str">
        <f t="shared" si="37"/>
        <v>营业收入</v>
      </c>
      <c r="F303" s="3077" t="s">
        <v>1841</v>
      </c>
      <c r="G303" s="3078">
        <f t="shared" si="38"/>
        <v>328458.53999999998</v>
      </c>
      <c r="H303" s="3079">
        <f t="shared" ref="H303:H346" ca="1" si="47">INDIRECT("Notes!CheckA"&amp;$C303)</f>
        <v>0</v>
      </c>
      <c r="I303" s="3081" t="s">
        <v>6799</v>
      </c>
      <c r="J303" s="3060"/>
      <c r="K303" s="3078">
        <f t="shared" si="45"/>
        <v>6282.79</v>
      </c>
      <c r="L303" s="3059">
        <f t="shared" ref="L303:L327" ca="1" si="48">INDIRECT("Notes!CheckB"&amp;$C303)</f>
        <v>0</v>
      </c>
      <c r="M303" s="3081" t="s">
        <v>6799</v>
      </c>
      <c r="N303" s="3060"/>
      <c r="O303" s="3087"/>
      <c r="P303" s="3088"/>
      <c r="Q303" s="3088"/>
      <c r="R303" s="3088"/>
      <c r="S303" s="3089" t="s">
        <v>295</v>
      </c>
      <c r="T303" s="3089" t="s">
        <v>213</v>
      </c>
      <c r="U303" s="3090"/>
      <c r="V303" s="3090" t="s">
        <v>295</v>
      </c>
      <c r="W303" s="3090" t="s">
        <v>6793</v>
      </c>
      <c r="X303" s="3090" t="s">
        <v>213</v>
      </c>
      <c r="Y303" s="3091" t="s">
        <v>164</v>
      </c>
    </row>
    <row r="304" spans="1:25" ht="18" hidden="1">
      <c r="A304" s="1304"/>
      <c r="B304" s="643">
        <v>6401</v>
      </c>
      <c r="C304" s="643" t="s">
        <v>1894</v>
      </c>
      <c r="D304" s="3075">
        <v>2</v>
      </c>
      <c r="E304" s="3076" t="str">
        <f t="shared" si="37"/>
        <v>营业成本</v>
      </c>
      <c r="F304" s="3077" t="s">
        <v>1895</v>
      </c>
      <c r="G304" s="3078">
        <f t="shared" si="38"/>
        <v>8990453.4299999997</v>
      </c>
      <c r="H304" s="3079">
        <f t="shared" ca="1" si="47"/>
        <v>0</v>
      </c>
      <c r="I304" s="3081" t="s">
        <v>6799</v>
      </c>
      <c r="J304" s="3060"/>
      <c r="K304" s="3078">
        <f t="shared" si="45"/>
        <v>0</v>
      </c>
      <c r="L304" s="3059">
        <f t="shared" ca="1" si="48"/>
        <v>0</v>
      </c>
      <c r="M304" s="3081" t="s">
        <v>6799</v>
      </c>
      <c r="N304" s="3060"/>
      <c r="O304" s="3087"/>
      <c r="P304" s="3088"/>
      <c r="Q304" s="3088"/>
      <c r="R304" s="3088"/>
      <c r="S304" s="3089" t="s">
        <v>295</v>
      </c>
      <c r="T304" s="3089" t="s">
        <v>213</v>
      </c>
      <c r="U304" s="3090"/>
      <c r="V304" s="3090" t="s">
        <v>295</v>
      </c>
      <c r="W304" s="3090" t="s">
        <v>6793</v>
      </c>
      <c r="X304" s="3090" t="s">
        <v>213</v>
      </c>
      <c r="Y304" s="3091" t="s">
        <v>164</v>
      </c>
    </row>
    <row r="305" spans="1:25" ht="18">
      <c r="A305" s="1304"/>
      <c r="B305" s="643">
        <v>6600</v>
      </c>
      <c r="C305" s="643" t="s">
        <v>1897</v>
      </c>
      <c r="D305" s="3075">
        <v>1</v>
      </c>
      <c r="E305" s="3076" t="str">
        <f t="shared" si="37"/>
        <v>税金及附加</v>
      </c>
      <c r="F305" s="3077" t="s">
        <v>1898</v>
      </c>
      <c r="G305" s="3078">
        <f t="shared" si="38"/>
        <v>88392.34</v>
      </c>
      <c r="H305" s="3079">
        <f t="shared" ca="1" si="47"/>
        <v>88392.34</v>
      </c>
      <c r="I305" s="3081">
        <f ca="1">IF(AND(LEN(G305)&gt;0,LEN(H305)&gt;0),ROUND(SUM(G305)-SUM(H305),2),"")</f>
        <v>0</v>
      </c>
      <c r="J305" s="3060" t="str">
        <f ca="1">IF(ISNA(I305),"N/A",IF(I305=0,"√","？"))</f>
        <v>√</v>
      </c>
      <c r="K305" s="3078">
        <f t="shared" si="45"/>
        <v>102037.26</v>
      </c>
      <c r="L305" s="3059">
        <f t="shared" ca="1" si="48"/>
        <v>0</v>
      </c>
      <c r="M305" s="3081">
        <f ca="1">IF(AND(LEN(K305)&gt;0,LEN(L305)&gt;0),ROUND(SUM(K305)-SUM(L305),2),"")</f>
        <v>102037.26</v>
      </c>
      <c r="N305" s="3060" t="str">
        <f ca="1">IF(ISNA(M305),"N/A",IF(M305=0,"√","？"))</f>
        <v>？</v>
      </c>
      <c r="O305" s="3087"/>
      <c r="P305" s="3088"/>
      <c r="Q305" s="3088"/>
      <c r="R305" s="3088"/>
      <c r="S305" s="3089" t="s">
        <v>295</v>
      </c>
      <c r="T305" s="3089" t="s">
        <v>213</v>
      </c>
      <c r="U305" s="3090"/>
      <c r="V305" s="3090" t="s">
        <v>295</v>
      </c>
      <c r="W305" s="3090" t="s">
        <v>6793</v>
      </c>
      <c r="X305" s="3090" t="s">
        <v>6794</v>
      </c>
      <c r="Y305" s="3091" t="s">
        <v>164</v>
      </c>
    </row>
    <row r="306" spans="1:25" ht="18" hidden="1">
      <c r="A306" s="1304"/>
      <c r="B306" s="643">
        <v>6600</v>
      </c>
      <c r="C306" s="643" t="s">
        <v>1901</v>
      </c>
      <c r="D306" s="3075">
        <v>2</v>
      </c>
      <c r="E306" s="3076" t="str">
        <f t="shared" si="37"/>
        <v>税金及附加</v>
      </c>
      <c r="F306" s="3077" t="s">
        <v>1902</v>
      </c>
      <c r="G306" s="3078">
        <f t="shared" si="38"/>
        <v>88392.34</v>
      </c>
      <c r="H306" s="3079">
        <f t="shared" ca="1" si="47"/>
        <v>0</v>
      </c>
      <c r="I306" s="3081" t="s">
        <v>6799</v>
      </c>
      <c r="J306" s="3060"/>
      <c r="K306" s="3078">
        <f t="shared" si="45"/>
        <v>102037.26</v>
      </c>
      <c r="L306" s="3059">
        <f t="shared" ca="1" si="48"/>
        <v>0</v>
      </c>
      <c r="M306" s="3081" t="s">
        <v>6799</v>
      </c>
      <c r="N306" s="3060"/>
      <c r="O306" s="3087"/>
      <c r="P306" s="3088"/>
      <c r="Q306" s="3088"/>
      <c r="R306" s="3088"/>
      <c r="S306" s="3089" t="s">
        <v>295</v>
      </c>
      <c r="T306" s="3089" t="s">
        <v>213</v>
      </c>
      <c r="U306" s="3090"/>
      <c r="V306" s="3090" t="s">
        <v>295</v>
      </c>
      <c r="W306" s="3090" t="s">
        <v>6793</v>
      </c>
      <c r="X306" s="3090" t="s">
        <v>213</v>
      </c>
      <c r="Y306" s="3091" t="s">
        <v>164</v>
      </c>
    </row>
    <row r="307" spans="1:25" ht="18">
      <c r="A307" s="1304"/>
      <c r="B307" s="643">
        <v>6601</v>
      </c>
      <c r="C307" s="643" t="s">
        <v>1905</v>
      </c>
      <c r="D307" s="3075">
        <v>1</v>
      </c>
      <c r="E307" s="3076" t="str">
        <f t="shared" si="37"/>
        <v>销售费用</v>
      </c>
      <c r="F307" s="3077" t="s">
        <v>1906</v>
      </c>
      <c r="G307" s="3078">
        <f t="shared" si="38"/>
        <v>6019256.5999999996</v>
      </c>
      <c r="H307" s="3079">
        <f t="shared" ca="1" si="47"/>
        <v>6019256.5999999996</v>
      </c>
      <c r="I307" s="3081">
        <f ca="1">IF(AND(LEN(G307)&gt;0,LEN(H307)&gt;0),ROUND(SUM(G307)-SUM(H307),2),"")</f>
        <v>0</v>
      </c>
      <c r="J307" s="3060" t="str">
        <f ca="1">IF(ISNA(I307),"N/A",IF(I307=0,"√","？"))</f>
        <v>√</v>
      </c>
      <c r="K307" s="3078">
        <f t="shared" si="45"/>
        <v>533561.96</v>
      </c>
      <c r="L307" s="3059">
        <f t="shared" ca="1" si="48"/>
        <v>0</v>
      </c>
      <c r="M307" s="3081">
        <f ca="1">IF(AND(LEN(K307)&gt;0,LEN(L307)&gt;0),ROUND(SUM(K307)-SUM(L307),2),"")</f>
        <v>533561.96</v>
      </c>
      <c r="N307" s="3060" t="str">
        <f ca="1">IF(ISNA(M307),"N/A",IF(M307=0,"√","？"))</f>
        <v>？</v>
      </c>
      <c r="O307" s="3087"/>
      <c r="P307" s="3088"/>
      <c r="Q307" s="3088"/>
      <c r="R307" s="3088"/>
      <c r="S307" s="3089" t="s">
        <v>295</v>
      </c>
      <c r="T307" s="3089" t="s">
        <v>213</v>
      </c>
      <c r="U307" s="3090"/>
      <c r="V307" s="3090" t="s">
        <v>295</v>
      </c>
      <c r="W307" s="3090" t="s">
        <v>6793</v>
      </c>
      <c r="X307" s="3090" t="s">
        <v>6794</v>
      </c>
      <c r="Y307" s="3091" t="s">
        <v>164</v>
      </c>
    </row>
    <row r="308" spans="1:25" ht="18" hidden="1">
      <c r="A308" s="1304"/>
      <c r="B308" s="643">
        <v>6601</v>
      </c>
      <c r="C308" s="643" t="s">
        <v>1910</v>
      </c>
      <c r="D308" s="3075">
        <v>2</v>
      </c>
      <c r="E308" s="3076" t="str">
        <f t="shared" si="37"/>
        <v>销售费用</v>
      </c>
      <c r="F308" s="3077" t="s">
        <v>1911</v>
      </c>
      <c r="G308" s="3078">
        <f t="shared" si="38"/>
        <v>6019256.5999999996</v>
      </c>
      <c r="H308" s="3079">
        <f t="shared" ca="1" si="47"/>
        <v>114059.55</v>
      </c>
      <c r="I308" s="3081" t="s">
        <v>6799</v>
      </c>
      <c r="J308" s="3060"/>
      <c r="K308" s="3078">
        <f t="shared" si="45"/>
        <v>533561.96</v>
      </c>
      <c r="L308" s="3059">
        <f t="shared" ca="1" si="48"/>
        <v>0</v>
      </c>
      <c r="M308" s="3081" t="s">
        <v>6799</v>
      </c>
      <c r="N308" s="3060"/>
      <c r="O308" s="3087"/>
      <c r="P308" s="3088"/>
      <c r="Q308" s="3088"/>
      <c r="R308" s="3088"/>
      <c r="S308" s="3089" t="s">
        <v>295</v>
      </c>
      <c r="T308" s="3089" t="s">
        <v>213</v>
      </c>
      <c r="U308" s="3090"/>
      <c r="V308" s="3090" t="s">
        <v>295</v>
      </c>
      <c r="W308" s="3090" t="s">
        <v>6793</v>
      </c>
      <c r="X308" s="3090" t="s">
        <v>213</v>
      </c>
      <c r="Y308" s="3091" t="s">
        <v>164</v>
      </c>
    </row>
    <row r="309" spans="1:25" ht="18">
      <c r="A309" s="1304"/>
      <c r="B309" s="643">
        <v>6602</v>
      </c>
      <c r="C309" s="643" t="s">
        <v>1913</v>
      </c>
      <c r="D309" s="3075">
        <v>1</v>
      </c>
      <c r="E309" s="3076" t="str">
        <f t="shared" si="37"/>
        <v>管理费用</v>
      </c>
      <c r="F309" s="3077" t="s">
        <v>1914</v>
      </c>
      <c r="G309" s="3078">
        <f t="shared" si="38"/>
        <v>15303416.08</v>
      </c>
      <c r="H309" s="3079">
        <f t="shared" ca="1" si="47"/>
        <v>15303416.08</v>
      </c>
      <c r="I309" s="3081">
        <f ca="1">IF(AND(LEN(G309)&gt;0,LEN(H309)&gt;0),ROUND(SUM(G309)-SUM(H309),2),"")</f>
        <v>0</v>
      </c>
      <c r="J309" s="3060" t="str">
        <f ca="1">IF(ISNA(I309),"N/A",IF(I309=0,"√","？"))</f>
        <v>√</v>
      </c>
      <c r="K309" s="3078">
        <f t="shared" si="45"/>
        <v>10602460.369999999</v>
      </c>
      <c r="L309" s="3059">
        <f t="shared" ca="1" si="48"/>
        <v>0</v>
      </c>
      <c r="M309" s="3081">
        <f ca="1">IF(AND(LEN(K309)&gt;0,LEN(L309)&gt;0),ROUND(SUM(K309)-SUM(L309),2),"")</f>
        <v>10602460.369999999</v>
      </c>
      <c r="N309" s="3060" t="str">
        <f ca="1">IF(ISNA(M309),"N/A",IF(M309=0,"√","？"))</f>
        <v>？</v>
      </c>
      <c r="O309" s="3087"/>
      <c r="P309" s="3088"/>
      <c r="Q309" s="3088"/>
      <c r="R309" s="3088"/>
      <c r="S309" s="3089" t="s">
        <v>295</v>
      </c>
      <c r="T309" s="3089" t="s">
        <v>213</v>
      </c>
      <c r="U309" s="3090"/>
      <c r="V309" s="3090" t="s">
        <v>295</v>
      </c>
      <c r="W309" s="3090" t="s">
        <v>6793</v>
      </c>
      <c r="X309" s="3090" t="s">
        <v>6794</v>
      </c>
      <c r="Y309" s="3091" t="s">
        <v>164</v>
      </c>
    </row>
    <row r="310" spans="1:25" ht="18" hidden="1">
      <c r="A310" s="1304"/>
      <c r="B310" s="643">
        <v>6602</v>
      </c>
      <c r="C310" s="643" t="s">
        <v>1916</v>
      </c>
      <c r="D310" s="3075">
        <v>2</v>
      </c>
      <c r="E310" s="3076" t="str">
        <f t="shared" si="37"/>
        <v>管理费用</v>
      </c>
      <c r="F310" s="3077" t="s">
        <v>1917</v>
      </c>
      <c r="G310" s="3078">
        <f t="shared" si="38"/>
        <v>15303416.08</v>
      </c>
      <c r="H310" s="3079">
        <f t="shared" ca="1" si="47"/>
        <v>0</v>
      </c>
      <c r="I310" s="3081" t="s">
        <v>6799</v>
      </c>
      <c r="J310" s="3060"/>
      <c r="K310" s="3078">
        <f t="shared" si="45"/>
        <v>10602460.369999999</v>
      </c>
      <c r="L310" s="3059">
        <f t="shared" ca="1" si="48"/>
        <v>0</v>
      </c>
      <c r="M310" s="3081" t="s">
        <v>6799</v>
      </c>
      <c r="N310" s="3060"/>
      <c r="O310" s="3087"/>
      <c r="P310" s="3088"/>
      <c r="Q310" s="3088"/>
      <c r="R310" s="3088"/>
      <c r="S310" s="3089" t="s">
        <v>295</v>
      </c>
      <c r="T310" s="3089" t="s">
        <v>213</v>
      </c>
      <c r="U310" s="3090"/>
      <c r="V310" s="3090" t="s">
        <v>295</v>
      </c>
      <c r="W310" s="3090" t="s">
        <v>6793</v>
      </c>
      <c r="X310" s="3090" t="s">
        <v>213</v>
      </c>
      <c r="Y310" s="3091" t="s">
        <v>164</v>
      </c>
    </row>
    <row r="311" spans="1:25" ht="18" hidden="1">
      <c r="A311" s="1304"/>
      <c r="B311" s="643">
        <v>6606</v>
      </c>
      <c r="C311" s="643" t="s">
        <v>6169</v>
      </c>
      <c r="D311" s="3075">
        <v>2</v>
      </c>
      <c r="E311" s="3076" t="str">
        <f t="shared" si="37"/>
        <v>研发费用</v>
      </c>
      <c r="F311" s="3077" t="s">
        <v>6170</v>
      </c>
      <c r="G311" s="3078">
        <f t="shared" si="38"/>
        <v>0</v>
      </c>
      <c r="H311" s="3079">
        <f t="shared" ca="1" si="47"/>
        <v>0</v>
      </c>
      <c r="I311" s="3081" t="s">
        <v>6799</v>
      </c>
      <c r="J311" s="3060"/>
      <c r="K311" s="3078">
        <f t="shared" si="45"/>
        <v>6800845.5</v>
      </c>
      <c r="L311" s="3059">
        <f t="shared" ca="1" si="48"/>
        <v>0</v>
      </c>
      <c r="M311" s="3081" t="s">
        <v>6799</v>
      </c>
      <c r="N311" s="3060"/>
      <c r="O311" s="3087"/>
      <c r="P311" s="3088"/>
      <c r="Q311" s="3088"/>
      <c r="R311" s="3088"/>
      <c r="S311" s="3089" t="s">
        <v>295</v>
      </c>
      <c r="T311" s="3089" t="s">
        <v>213</v>
      </c>
      <c r="U311" s="3090"/>
      <c r="V311" s="3090" t="s">
        <v>295</v>
      </c>
      <c r="W311" s="3090" t="s">
        <v>6793</v>
      </c>
      <c r="X311" s="3090" t="s">
        <v>213</v>
      </c>
      <c r="Y311" s="3091" t="s">
        <v>164</v>
      </c>
    </row>
    <row r="312" spans="1:25" ht="18">
      <c r="A312" s="1304"/>
      <c r="B312" s="643">
        <v>6606</v>
      </c>
      <c r="C312" s="643" t="s">
        <v>1924</v>
      </c>
      <c r="D312" s="3075">
        <v>1</v>
      </c>
      <c r="E312" s="3076" t="str">
        <f t="shared" si="37"/>
        <v>研发费用</v>
      </c>
      <c r="F312" s="3077" t="s">
        <v>1925</v>
      </c>
      <c r="G312" s="3078">
        <f t="shared" si="38"/>
        <v>0</v>
      </c>
      <c r="H312" s="3079">
        <f t="shared" ca="1" si="47"/>
        <v>0</v>
      </c>
      <c r="I312" s="3081">
        <f ca="1">IF(AND(LEN(G312)&gt;0,LEN(H312)&gt;0),ROUND(SUM(G312)-SUM(H312),2),"")</f>
        <v>0</v>
      </c>
      <c r="J312" s="3060" t="str">
        <f ca="1">IF(ISNA(I312),"N/A",IF(I312=0,"√","？"))</f>
        <v>√</v>
      </c>
      <c r="K312" s="3078">
        <f t="shared" si="45"/>
        <v>6800845.5</v>
      </c>
      <c r="L312" s="3059">
        <f t="shared" ca="1" si="48"/>
        <v>0</v>
      </c>
      <c r="M312" s="3081">
        <f ca="1">IF(AND(LEN(K312)&gt;0,LEN(L312)&gt;0),ROUND(SUM(K312)-SUM(L312),2),"")</f>
        <v>6800845.5</v>
      </c>
      <c r="N312" s="3060" t="str">
        <f ca="1">IF(ISNA(M312),"N/A",IF(M312=0,"√","？"))</f>
        <v>？</v>
      </c>
      <c r="O312" s="3087"/>
      <c r="P312" s="3088"/>
      <c r="Q312" s="3088"/>
      <c r="R312" s="3088"/>
      <c r="S312" s="3089" t="s">
        <v>295</v>
      </c>
      <c r="T312" s="3089" t="s">
        <v>213</v>
      </c>
      <c r="U312" s="3090"/>
      <c r="V312" s="3090" t="s">
        <v>295</v>
      </c>
      <c r="W312" s="3090" t="s">
        <v>6793</v>
      </c>
      <c r="X312" s="3090" t="s">
        <v>6794</v>
      </c>
      <c r="Y312" s="3091" t="s">
        <v>164</v>
      </c>
    </row>
    <row r="313" spans="1:25" ht="18">
      <c r="A313" s="1304"/>
      <c r="B313" s="643">
        <v>6603</v>
      </c>
      <c r="C313" s="643" t="s">
        <v>1919</v>
      </c>
      <c r="D313" s="3075">
        <v>1</v>
      </c>
      <c r="E313" s="3076" t="str">
        <f t="shared" si="37"/>
        <v>财务费用</v>
      </c>
      <c r="F313" s="3077" t="s">
        <v>1920</v>
      </c>
      <c r="G313" s="3078">
        <f t="shared" si="38"/>
        <v>1495429.05</v>
      </c>
      <c r="H313" s="3079">
        <f t="shared" ca="1" si="47"/>
        <v>1495429.05</v>
      </c>
      <c r="I313" s="3081">
        <f ca="1">IF(AND(LEN(G313)&gt;0,LEN(H313)&gt;0),ROUND(SUM(G313)-SUM(H313),2),"")</f>
        <v>0</v>
      </c>
      <c r="J313" s="3060" t="str">
        <f ca="1">IF(ISNA(I313),"N/A",IF(I313=0,"√","？"))</f>
        <v>√</v>
      </c>
      <c r="K313" s="3078">
        <f t="shared" si="45"/>
        <v>4448695.43</v>
      </c>
      <c r="L313" s="3059">
        <f t="shared" ca="1" si="48"/>
        <v>0</v>
      </c>
      <c r="M313" s="3081">
        <f ca="1">IF(AND(LEN(K313)&gt;0,LEN(L313)&gt;0),ROUND(SUM(K313)-SUM(L313),2),"")</f>
        <v>4448695.43</v>
      </c>
      <c r="N313" s="3060" t="str">
        <f ca="1">IF(ISNA(M313),"N/A",IF(M313=0,"√","？"))</f>
        <v>？</v>
      </c>
      <c r="O313" s="3087"/>
      <c r="P313" s="3088"/>
      <c r="Q313" s="3088"/>
      <c r="R313" s="3088"/>
      <c r="S313" s="3089" t="s">
        <v>295</v>
      </c>
      <c r="T313" s="3089" t="s">
        <v>213</v>
      </c>
      <c r="U313" s="3090"/>
      <c r="V313" s="3090" t="s">
        <v>295</v>
      </c>
      <c r="W313" s="3090" t="s">
        <v>6793</v>
      </c>
      <c r="X313" s="3090" t="s">
        <v>6794</v>
      </c>
      <c r="Y313" s="3091" t="s">
        <v>164</v>
      </c>
    </row>
    <row r="314" spans="1:25" ht="18" hidden="1">
      <c r="A314" s="1304"/>
      <c r="B314" s="643">
        <v>6603</v>
      </c>
      <c r="C314" s="643" t="s">
        <v>1922</v>
      </c>
      <c r="D314" s="3075">
        <v>2</v>
      </c>
      <c r="E314" s="3076" t="str">
        <f t="shared" si="37"/>
        <v>财务费用</v>
      </c>
      <c r="F314" s="3077" t="s">
        <v>1923</v>
      </c>
      <c r="G314" s="3078">
        <f t="shared" si="38"/>
        <v>1495429.05</v>
      </c>
      <c r="H314" s="3079">
        <f t="shared" ca="1" si="47"/>
        <v>0</v>
      </c>
      <c r="I314" s="3081" t="s">
        <v>6799</v>
      </c>
      <c r="J314" s="3060"/>
      <c r="K314" s="3078">
        <f t="shared" si="45"/>
        <v>4448695.43</v>
      </c>
      <c r="L314" s="3059">
        <f t="shared" ca="1" si="48"/>
        <v>0</v>
      </c>
      <c r="M314" s="3081" t="s">
        <v>6799</v>
      </c>
      <c r="N314" s="3060"/>
      <c r="O314" s="3087"/>
      <c r="P314" s="3088"/>
      <c r="Q314" s="3088"/>
      <c r="R314" s="3088"/>
      <c r="S314" s="3089" t="s">
        <v>295</v>
      </c>
      <c r="T314" s="3089" t="s">
        <v>213</v>
      </c>
      <c r="U314" s="3090"/>
      <c r="V314" s="3090" t="s">
        <v>295</v>
      </c>
      <c r="W314" s="3090" t="s">
        <v>6793</v>
      </c>
      <c r="X314" s="3090" t="s">
        <v>213</v>
      </c>
      <c r="Y314" s="3091" t="s">
        <v>164</v>
      </c>
    </row>
    <row r="315" spans="1:25" ht="18">
      <c r="A315" s="1304"/>
      <c r="B315" s="643">
        <v>6181</v>
      </c>
      <c r="C315" s="643" t="s">
        <v>1891</v>
      </c>
      <c r="D315" s="3075">
        <v>1</v>
      </c>
      <c r="E315" s="3076" t="str">
        <f t="shared" si="37"/>
        <v>其他收益</v>
      </c>
      <c r="F315" s="3077" t="s">
        <v>1892</v>
      </c>
      <c r="G315" s="3078">
        <f t="shared" si="38"/>
        <v>10113.33</v>
      </c>
      <c r="H315" s="3079">
        <f t="shared" ca="1" si="47"/>
        <v>10113.33</v>
      </c>
      <c r="I315" s="3081">
        <f t="shared" ref="I315:I322" ca="1" si="49">IF(AND(LEN(G315)&gt;0,LEN(H315)&gt;0),ROUND(SUM(G315)-SUM(H315),2),"")</f>
        <v>0</v>
      </c>
      <c r="J315" s="3060" t="str">
        <f t="shared" ref="J315:J322" ca="1" si="50">IF(ISNA(I315),"N/A",IF(I315=0,"√","？"))</f>
        <v>√</v>
      </c>
      <c r="K315" s="3078">
        <f t="shared" si="45"/>
        <v>0</v>
      </c>
      <c r="L315" s="3059">
        <f t="shared" ca="1" si="48"/>
        <v>0</v>
      </c>
      <c r="M315" s="3081">
        <f t="shared" ref="M315:M322" ca="1" si="51">IF(AND(LEN(K315)&gt;0,LEN(L315)&gt;0),ROUND(SUM(K315)-SUM(L315),2),"")</f>
        <v>0</v>
      </c>
      <c r="N315" s="3060" t="str">
        <f t="shared" ref="N315:N322" ca="1" si="52">IF(ISNA(M315),"N/A",IF(M315=0,"√","？"))</f>
        <v>√</v>
      </c>
      <c r="O315" s="3087"/>
      <c r="P315" s="3088"/>
      <c r="Q315" s="3088"/>
      <c r="R315" s="3088"/>
      <c r="S315" s="3089" t="s">
        <v>295</v>
      </c>
      <c r="T315" s="3089" t="s">
        <v>213</v>
      </c>
      <c r="U315" s="3090"/>
      <c r="V315" s="3090" t="s">
        <v>295</v>
      </c>
      <c r="W315" s="3090" t="s">
        <v>6793</v>
      </c>
      <c r="X315" s="3090" t="s">
        <v>6794</v>
      </c>
      <c r="Y315" s="3091" t="s">
        <v>164</v>
      </c>
    </row>
    <row r="316" spans="1:25" ht="18">
      <c r="A316" s="1304"/>
      <c r="B316" s="643">
        <v>6111</v>
      </c>
      <c r="C316" s="643" t="s">
        <v>1885</v>
      </c>
      <c r="D316" s="3075">
        <v>1</v>
      </c>
      <c r="E316" s="3076" t="str">
        <f t="shared" si="37"/>
        <v>投资收益</v>
      </c>
      <c r="F316" s="3077" t="s">
        <v>6458</v>
      </c>
      <c r="G316" s="3078">
        <f t="shared" si="38"/>
        <v>0</v>
      </c>
      <c r="H316" s="3079">
        <f t="shared" ca="1" si="47"/>
        <v>0</v>
      </c>
      <c r="I316" s="3081">
        <f t="shared" ca="1" si="49"/>
        <v>0</v>
      </c>
      <c r="J316" s="3060" t="str">
        <f t="shared" ca="1" si="50"/>
        <v>√</v>
      </c>
      <c r="K316" s="3078">
        <f t="shared" si="45"/>
        <v>0</v>
      </c>
      <c r="L316" s="3059">
        <f t="shared" ca="1" si="48"/>
        <v>0</v>
      </c>
      <c r="M316" s="3081">
        <f t="shared" ca="1" si="51"/>
        <v>0</v>
      </c>
      <c r="N316" s="3060" t="str">
        <f t="shared" ca="1" si="52"/>
        <v>√</v>
      </c>
      <c r="O316" s="3087"/>
      <c r="P316" s="3088"/>
      <c r="Q316" s="3088"/>
      <c r="R316" s="3088"/>
      <c r="S316" s="3089" t="s">
        <v>295</v>
      </c>
      <c r="T316" s="3089" t="s">
        <v>213</v>
      </c>
      <c r="U316" s="3090"/>
      <c r="V316" s="3090" t="s">
        <v>295</v>
      </c>
      <c r="W316" s="3090" t="s">
        <v>6793</v>
      </c>
      <c r="X316" s="3090" t="s">
        <v>6794</v>
      </c>
      <c r="Y316" s="3091" t="s">
        <v>164</v>
      </c>
    </row>
    <row r="317" spans="1:25" ht="24">
      <c r="A317" s="1304"/>
      <c r="B317" s="643">
        <v>6102</v>
      </c>
      <c r="C317" s="643" t="s">
        <v>1882</v>
      </c>
      <c r="D317" s="3075">
        <v>1</v>
      </c>
      <c r="E317" s="3076" t="str">
        <f t="shared" si="37"/>
        <v>净敞口套期收益</v>
      </c>
      <c r="F317" s="3077" t="s">
        <v>1883</v>
      </c>
      <c r="G317" s="3078">
        <f t="shared" si="38"/>
        <v>0</v>
      </c>
      <c r="H317" s="3079">
        <f t="shared" ca="1" si="47"/>
        <v>0</v>
      </c>
      <c r="I317" s="3081">
        <f t="shared" ca="1" si="49"/>
        <v>0</v>
      </c>
      <c r="J317" s="3060" t="str">
        <f t="shared" ca="1" si="50"/>
        <v>√</v>
      </c>
      <c r="K317" s="3078">
        <f t="shared" si="45"/>
        <v>0</v>
      </c>
      <c r="L317" s="3059">
        <f t="shared" ca="1" si="48"/>
        <v>0</v>
      </c>
      <c r="M317" s="3081">
        <f t="shared" ca="1" si="51"/>
        <v>0</v>
      </c>
      <c r="N317" s="3060" t="str">
        <f t="shared" ca="1" si="52"/>
        <v>√</v>
      </c>
      <c r="O317" s="3087"/>
      <c r="P317" s="3088"/>
      <c r="Q317" s="3088"/>
      <c r="R317" s="3088"/>
      <c r="S317" s="3089" t="s">
        <v>295</v>
      </c>
      <c r="T317" s="3089" t="s">
        <v>213</v>
      </c>
      <c r="U317" s="3090"/>
      <c r="V317" s="3090" t="s">
        <v>295</v>
      </c>
      <c r="W317" s="3090" t="s">
        <v>145</v>
      </c>
      <c r="X317" s="3090" t="s">
        <v>6796</v>
      </c>
      <c r="Y317" s="3091" t="s">
        <v>119</v>
      </c>
    </row>
    <row r="318" spans="1:25" ht="24">
      <c r="A318" s="1304"/>
      <c r="B318" s="643">
        <v>6101</v>
      </c>
      <c r="C318" s="643" t="s">
        <v>6091</v>
      </c>
      <c r="D318" s="3075">
        <v>1</v>
      </c>
      <c r="E318" s="3076" t="str">
        <f t="shared" si="37"/>
        <v>公允价值变动收益</v>
      </c>
      <c r="F318" s="3077" t="s">
        <v>6092</v>
      </c>
      <c r="G318" s="3078">
        <f t="shared" si="38"/>
        <v>0</v>
      </c>
      <c r="H318" s="3079">
        <f t="shared" ca="1" si="47"/>
        <v>0</v>
      </c>
      <c r="I318" s="3081">
        <f t="shared" ca="1" si="49"/>
        <v>0</v>
      </c>
      <c r="J318" s="3060" t="str">
        <f t="shared" ca="1" si="50"/>
        <v>√</v>
      </c>
      <c r="K318" s="3078">
        <f t="shared" si="45"/>
        <v>0</v>
      </c>
      <c r="L318" s="3059">
        <f t="shared" ca="1" si="48"/>
        <v>0</v>
      </c>
      <c r="M318" s="3081">
        <f t="shared" ca="1" si="51"/>
        <v>0</v>
      </c>
      <c r="N318" s="3060" t="str">
        <f t="shared" ca="1" si="52"/>
        <v>√</v>
      </c>
      <c r="O318" s="3087"/>
      <c r="P318" s="3088"/>
      <c r="Q318" s="3088"/>
      <c r="R318" s="3088"/>
      <c r="S318" s="3089" t="s">
        <v>295</v>
      </c>
      <c r="T318" s="3089" t="s">
        <v>213</v>
      </c>
      <c r="U318" s="3090"/>
      <c r="V318" s="3090" t="s">
        <v>295</v>
      </c>
      <c r="W318" s="3090" t="s">
        <v>145</v>
      </c>
      <c r="X318" s="3090" t="s">
        <v>6796</v>
      </c>
      <c r="Y318" s="3091" t="s">
        <v>119</v>
      </c>
    </row>
    <row r="319" spans="1:25" ht="18">
      <c r="A319" s="1304"/>
      <c r="B319" s="643">
        <v>6672</v>
      </c>
      <c r="C319" s="643" t="s">
        <v>1930</v>
      </c>
      <c r="D319" s="3075">
        <v>1</v>
      </c>
      <c r="E319" s="3076" t="str">
        <f t="shared" si="37"/>
        <v>信用减值损失</v>
      </c>
      <c r="F319" s="3077" t="s">
        <v>1931</v>
      </c>
      <c r="G319" s="3078">
        <f t="shared" si="38"/>
        <v>3895.59</v>
      </c>
      <c r="H319" s="3079">
        <f t="shared" ca="1" si="47"/>
        <v>3895.59</v>
      </c>
      <c r="I319" s="3081">
        <f t="shared" ca="1" si="49"/>
        <v>0</v>
      </c>
      <c r="J319" s="3060" t="str">
        <f t="shared" ca="1" si="50"/>
        <v>√</v>
      </c>
      <c r="K319" s="3078">
        <f t="shared" si="45"/>
        <v>0</v>
      </c>
      <c r="L319" s="3059">
        <f t="shared" ca="1" si="48"/>
        <v>0</v>
      </c>
      <c r="M319" s="3081">
        <f t="shared" ca="1" si="51"/>
        <v>0</v>
      </c>
      <c r="N319" s="3060" t="str">
        <f t="shared" ca="1" si="52"/>
        <v>√</v>
      </c>
      <c r="O319" s="3087"/>
      <c r="P319" s="3088"/>
      <c r="Q319" s="3088"/>
      <c r="R319" s="3088"/>
      <c r="S319" s="3089" t="s">
        <v>295</v>
      </c>
      <c r="T319" s="3089" t="s">
        <v>213</v>
      </c>
      <c r="U319" s="3090"/>
      <c r="V319" s="3090" t="s">
        <v>295</v>
      </c>
      <c r="W319" s="3090" t="s">
        <v>145</v>
      </c>
      <c r="X319" s="3090" t="s">
        <v>6796</v>
      </c>
      <c r="Y319" s="3091" t="s">
        <v>119</v>
      </c>
    </row>
    <row r="320" spans="1:25" ht="18">
      <c r="A320" s="1304"/>
      <c r="B320" s="643">
        <v>6671</v>
      </c>
      <c r="C320" s="643" t="s">
        <v>1927</v>
      </c>
      <c r="D320" s="3075">
        <v>1</v>
      </c>
      <c r="E320" s="3076" t="str">
        <f t="shared" si="37"/>
        <v>资产减值损失</v>
      </c>
      <c r="F320" s="3077" t="s">
        <v>1928</v>
      </c>
      <c r="G320" s="3078">
        <f t="shared" si="38"/>
        <v>0</v>
      </c>
      <c r="H320" s="3079">
        <f t="shared" ca="1" si="47"/>
        <v>0</v>
      </c>
      <c r="I320" s="3081">
        <f t="shared" ca="1" si="49"/>
        <v>0</v>
      </c>
      <c r="J320" s="3060" t="str">
        <f t="shared" ca="1" si="50"/>
        <v>√</v>
      </c>
      <c r="K320" s="3078">
        <f t="shared" si="45"/>
        <v>-29565.119999999999</v>
      </c>
      <c r="L320" s="3059">
        <f t="shared" ca="1" si="48"/>
        <v>0</v>
      </c>
      <c r="M320" s="3081">
        <f t="shared" ca="1" si="51"/>
        <v>-29565.119999999999</v>
      </c>
      <c r="N320" s="3060" t="str">
        <f t="shared" ca="1" si="52"/>
        <v>？</v>
      </c>
      <c r="O320" s="3087"/>
      <c r="P320" s="3088"/>
      <c r="Q320" s="3088"/>
      <c r="R320" s="3088"/>
      <c r="S320" s="3089" t="s">
        <v>295</v>
      </c>
      <c r="T320" s="3089" t="s">
        <v>213</v>
      </c>
      <c r="U320" s="3090"/>
      <c r="V320" s="3090" t="s">
        <v>295</v>
      </c>
      <c r="W320" s="3090" t="s">
        <v>6793</v>
      </c>
      <c r="X320" s="3090" t="s">
        <v>6794</v>
      </c>
      <c r="Y320" s="3091" t="s">
        <v>164</v>
      </c>
    </row>
    <row r="321" spans="1:25" ht="18">
      <c r="A321" s="1304"/>
      <c r="B321" s="643">
        <v>6171</v>
      </c>
      <c r="C321" s="643" t="s">
        <v>1888</v>
      </c>
      <c r="D321" s="3075">
        <v>1</v>
      </c>
      <c r="E321" s="3076" t="str">
        <f t="shared" si="37"/>
        <v>资产处置收益</v>
      </c>
      <c r="F321" s="3077" t="s">
        <v>1889</v>
      </c>
      <c r="G321" s="3078">
        <f t="shared" si="38"/>
        <v>0</v>
      </c>
      <c r="H321" s="3079">
        <f t="shared" ca="1" si="47"/>
        <v>0</v>
      </c>
      <c r="I321" s="3081">
        <f t="shared" ca="1" si="49"/>
        <v>0</v>
      </c>
      <c r="J321" s="3060" t="str">
        <f t="shared" ca="1" si="50"/>
        <v>√</v>
      </c>
      <c r="K321" s="3078">
        <f t="shared" si="45"/>
        <v>0</v>
      </c>
      <c r="L321" s="3059">
        <f t="shared" ca="1" si="48"/>
        <v>0</v>
      </c>
      <c r="M321" s="3081">
        <f t="shared" ca="1" si="51"/>
        <v>0</v>
      </c>
      <c r="N321" s="3060" t="str">
        <f t="shared" ca="1" si="52"/>
        <v>√</v>
      </c>
      <c r="O321" s="3087"/>
      <c r="P321" s="3088"/>
      <c r="Q321" s="3088"/>
      <c r="R321" s="3088"/>
      <c r="S321" s="3089" t="s">
        <v>295</v>
      </c>
      <c r="T321" s="3089" t="s">
        <v>213</v>
      </c>
      <c r="U321" s="3090"/>
      <c r="V321" s="3090" t="s">
        <v>295</v>
      </c>
      <c r="W321" s="3090" t="s">
        <v>6793</v>
      </c>
      <c r="X321" s="3090" t="s">
        <v>6794</v>
      </c>
      <c r="Y321" s="3091" t="s">
        <v>164</v>
      </c>
    </row>
    <row r="322" spans="1:25" ht="18">
      <c r="A322" s="1304"/>
      <c r="B322" s="643">
        <v>6710</v>
      </c>
      <c r="C322" s="643" t="s">
        <v>1933</v>
      </c>
      <c r="D322" s="3075">
        <v>1</v>
      </c>
      <c r="E322" s="3076" t="str">
        <f t="shared" si="37"/>
        <v>营业外收入</v>
      </c>
      <c r="F322" s="3077" t="s">
        <v>1934</v>
      </c>
      <c r="G322" s="3078">
        <f t="shared" si="38"/>
        <v>0</v>
      </c>
      <c r="H322" s="3079">
        <f t="shared" ca="1" si="47"/>
        <v>0</v>
      </c>
      <c r="I322" s="3081">
        <f t="shared" ca="1" si="49"/>
        <v>0</v>
      </c>
      <c r="J322" s="3060" t="str">
        <f t="shared" ca="1" si="50"/>
        <v>√</v>
      </c>
      <c r="K322" s="3078">
        <f t="shared" si="45"/>
        <v>0</v>
      </c>
      <c r="L322" s="3059">
        <f t="shared" ca="1" si="48"/>
        <v>0</v>
      </c>
      <c r="M322" s="3081">
        <f t="shared" ca="1" si="51"/>
        <v>0</v>
      </c>
      <c r="N322" s="3060" t="str">
        <f t="shared" ca="1" si="52"/>
        <v>√</v>
      </c>
      <c r="O322" s="3087"/>
      <c r="P322" s="3088"/>
      <c r="Q322" s="3088"/>
      <c r="R322" s="3088"/>
      <c r="S322" s="3089" t="s">
        <v>295</v>
      </c>
      <c r="T322" s="3089" t="s">
        <v>213</v>
      </c>
      <c r="U322" s="3090"/>
      <c r="V322" s="3090" t="s">
        <v>295</v>
      </c>
      <c r="W322" s="3090" t="s">
        <v>6793</v>
      </c>
      <c r="X322" s="3090" t="s">
        <v>6794</v>
      </c>
      <c r="Y322" s="3091" t="s">
        <v>164</v>
      </c>
    </row>
    <row r="323" spans="1:25" ht="24" hidden="1">
      <c r="A323" s="1304"/>
      <c r="B323" s="643">
        <v>6710</v>
      </c>
      <c r="C323" s="643" t="s">
        <v>1935</v>
      </c>
      <c r="D323" s="3075">
        <v>2</v>
      </c>
      <c r="E323" s="3076" t="str">
        <f t="shared" si="37"/>
        <v>营业外收入</v>
      </c>
      <c r="F323" s="3077" t="s">
        <v>1936</v>
      </c>
      <c r="G323" s="3078">
        <f t="shared" si="38"/>
        <v>0</v>
      </c>
      <c r="H323" s="3079">
        <f t="shared" ca="1" si="47"/>
        <v>0</v>
      </c>
      <c r="I323" s="3081" t="s">
        <v>6799</v>
      </c>
      <c r="J323" s="3060"/>
      <c r="K323" s="3078">
        <f t="shared" si="45"/>
        <v>0</v>
      </c>
      <c r="L323" s="3059">
        <f t="shared" ca="1" si="48"/>
        <v>0</v>
      </c>
      <c r="M323" s="3081" t="s">
        <v>6799</v>
      </c>
      <c r="N323" s="3060"/>
      <c r="O323" s="3087"/>
      <c r="P323" s="3088"/>
      <c r="Q323" s="3088"/>
      <c r="R323" s="3088"/>
      <c r="S323" s="3089" t="s">
        <v>295</v>
      </c>
      <c r="T323" s="3089" t="s">
        <v>213</v>
      </c>
      <c r="U323" s="3090"/>
      <c r="V323" s="3090" t="s">
        <v>295</v>
      </c>
      <c r="W323" s="3090" t="s">
        <v>6793</v>
      </c>
      <c r="X323" s="3090" t="s">
        <v>6794</v>
      </c>
      <c r="Y323" s="3091" t="s">
        <v>164</v>
      </c>
    </row>
    <row r="324" spans="1:25" ht="18">
      <c r="A324" s="1304"/>
      <c r="B324" s="643">
        <v>6711</v>
      </c>
      <c r="C324" s="643" t="s">
        <v>1937</v>
      </c>
      <c r="D324" s="3075">
        <v>1</v>
      </c>
      <c r="E324" s="3076" t="str">
        <f t="shared" si="37"/>
        <v>营业外支出</v>
      </c>
      <c r="F324" s="3077" t="s">
        <v>1938</v>
      </c>
      <c r="G324" s="3078">
        <f t="shared" si="38"/>
        <v>0</v>
      </c>
      <c r="H324" s="3079">
        <f t="shared" ca="1" si="47"/>
        <v>0</v>
      </c>
      <c r="I324" s="3081">
        <f ca="1">IF(AND(LEN(G324)&gt;0,LEN(H324)&gt;0),ROUND(SUM(G324)-SUM(H324),2),"")</f>
        <v>0</v>
      </c>
      <c r="J324" s="3060" t="str">
        <f ca="1">IF(ISNA(I324),"N/A",IF(I324=0,"√","？"))</f>
        <v>√</v>
      </c>
      <c r="K324" s="3078">
        <f t="shared" si="45"/>
        <v>0</v>
      </c>
      <c r="L324" s="3059">
        <f t="shared" ca="1" si="48"/>
        <v>0</v>
      </c>
      <c r="M324" s="3081">
        <f ca="1">IF(AND(LEN(K324)&gt;0,LEN(L324)&gt;0),ROUND(SUM(K324)-SUM(L324),2),"")</f>
        <v>0</v>
      </c>
      <c r="N324" s="3060" t="str">
        <f ca="1">IF(ISNA(M324),"N/A",IF(M324=0,"√","？"))</f>
        <v>√</v>
      </c>
      <c r="O324" s="3087"/>
      <c r="P324" s="3088"/>
      <c r="Q324" s="3088"/>
      <c r="R324" s="3088"/>
      <c r="S324" s="3089" t="s">
        <v>295</v>
      </c>
      <c r="T324" s="3089" t="s">
        <v>213</v>
      </c>
      <c r="U324" s="3090"/>
      <c r="V324" s="3090" t="s">
        <v>295</v>
      </c>
      <c r="W324" s="3090" t="s">
        <v>6793</v>
      </c>
      <c r="X324" s="3090" t="s">
        <v>6794</v>
      </c>
      <c r="Y324" s="3091" t="s">
        <v>164</v>
      </c>
    </row>
    <row r="325" spans="1:25" ht="18">
      <c r="A325" s="1304"/>
      <c r="B325" s="643">
        <v>6791</v>
      </c>
      <c r="C325" s="643" t="s">
        <v>1939</v>
      </c>
      <c r="D325" s="3075">
        <v>1</v>
      </c>
      <c r="E325" s="3076" t="str">
        <f t="shared" si="37"/>
        <v>所得税费用</v>
      </c>
      <c r="F325" s="3077" t="s">
        <v>1940</v>
      </c>
      <c r="G325" s="3078">
        <f t="shared" si="38"/>
        <v>-6256690.8899999997</v>
      </c>
      <c r="H325" s="3079">
        <f t="shared" ca="1" si="47"/>
        <v>-6256690.8899999997</v>
      </c>
      <c r="I325" s="3081">
        <f ca="1">IF(AND(LEN(G325)&gt;0,LEN(H325)&gt;0),ROUND(SUM(G325)-SUM(H325),2),"")</f>
        <v>0</v>
      </c>
      <c r="J325" s="3060" t="str">
        <f ca="1">IF(ISNA(I325),"N/A",IF(I325=0,"√","？"))</f>
        <v>√</v>
      </c>
      <c r="K325" s="3078">
        <f t="shared" si="45"/>
        <v>0</v>
      </c>
      <c r="L325" s="3059">
        <f t="shared" ca="1" si="48"/>
        <v>0</v>
      </c>
      <c r="M325" s="3081">
        <f ca="1">IF(AND(LEN(K325)&gt;0,LEN(L325)&gt;0),ROUND(SUM(K325)-SUM(L325),2),"")</f>
        <v>0</v>
      </c>
      <c r="N325" s="3060" t="str">
        <f ca="1">IF(ISNA(M325),"N/A",IF(M325=0,"√","？"))</f>
        <v>√</v>
      </c>
      <c r="O325" s="3087"/>
      <c r="P325" s="3088"/>
      <c r="Q325" s="3088"/>
      <c r="R325" s="3088"/>
      <c r="S325" s="3089" t="s">
        <v>295</v>
      </c>
      <c r="T325" s="3089" t="s">
        <v>213</v>
      </c>
      <c r="U325" s="3090"/>
      <c r="V325" s="3090" t="s">
        <v>295</v>
      </c>
      <c r="W325" s="3090" t="s">
        <v>6793</v>
      </c>
      <c r="X325" s="3090" t="s">
        <v>6794</v>
      </c>
      <c r="Y325" s="3091" t="s">
        <v>164</v>
      </c>
    </row>
    <row r="326" spans="1:25" ht="24" hidden="1">
      <c r="A326" s="1304"/>
      <c r="B326" s="643">
        <v>6791</v>
      </c>
      <c r="C326" s="643" t="s">
        <v>1941</v>
      </c>
      <c r="D326" s="3075">
        <v>2</v>
      </c>
      <c r="E326" s="3076" t="str">
        <f t="shared" si="37"/>
        <v>所得税费用</v>
      </c>
      <c r="F326" s="3077" t="s">
        <v>1942</v>
      </c>
      <c r="G326" s="3078">
        <f t="shared" si="38"/>
        <v>-6256690.8899999997</v>
      </c>
      <c r="H326" s="3079">
        <f t="shared" ca="1" si="47"/>
        <v>-6256690.8899999997</v>
      </c>
      <c r="I326" s="3081" t="s">
        <v>6799</v>
      </c>
      <c r="J326" s="3060"/>
      <c r="K326" s="3078">
        <f t="shared" si="45"/>
        <v>0</v>
      </c>
      <c r="L326" s="3059">
        <f t="shared" ca="1" si="48"/>
        <v>0</v>
      </c>
      <c r="M326" s="3081" t="s">
        <v>6799</v>
      </c>
      <c r="N326" s="3060"/>
      <c r="O326" s="3087"/>
      <c r="P326" s="3088"/>
      <c r="Q326" s="3088"/>
      <c r="R326" s="3088"/>
      <c r="S326" s="3089" t="s">
        <v>295</v>
      </c>
      <c r="T326" s="3089" t="s">
        <v>213</v>
      </c>
      <c r="U326" s="3090"/>
      <c r="V326" s="3090" t="s">
        <v>295</v>
      </c>
      <c r="W326" s="3090" t="s">
        <v>6793</v>
      </c>
      <c r="X326" s="3090" t="s">
        <v>6796</v>
      </c>
      <c r="Y326" s="3091" t="s">
        <v>164</v>
      </c>
    </row>
    <row r="327" spans="1:25" ht="24">
      <c r="A327" s="1304"/>
      <c r="B327" s="643">
        <v>7046</v>
      </c>
      <c r="C327" s="643" t="s">
        <v>1946</v>
      </c>
      <c r="D327" s="3075">
        <v>1</v>
      </c>
      <c r="E327" s="3076" t="str">
        <f t="shared" si="37"/>
        <v>收到其他与经营活动有关的现金</v>
      </c>
      <c r="F327" s="3077" t="s">
        <v>1947</v>
      </c>
      <c r="G327" s="3078">
        <f t="shared" si="38"/>
        <v>233275.97</v>
      </c>
      <c r="H327" s="3079">
        <f t="shared" ca="1" si="47"/>
        <v>233275.97</v>
      </c>
      <c r="I327" s="3081">
        <f ca="1">IF(AND(LEN(G327)&gt;0,LEN(H327)&gt;0),ROUND(SUM(G327)-SUM(H327),2),"")</f>
        <v>0</v>
      </c>
      <c r="J327" s="3060" t="str">
        <f ca="1">IF(ISNA(I327),"N/A",IF(I327=0,"√","？"))</f>
        <v>√</v>
      </c>
      <c r="K327" s="3078">
        <f t="shared" si="45"/>
        <v>111511418.34999999</v>
      </c>
      <c r="L327" s="3059">
        <f t="shared" ca="1" si="48"/>
        <v>0</v>
      </c>
      <c r="M327" s="3081">
        <f ca="1">IF(AND(LEN(K327)&gt;0,LEN(L327)&gt;0),ROUND(SUM(K327)-SUM(L327),2),"")</f>
        <v>111511418.34999999</v>
      </c>
      <c r="N327" s="3060" t="str">
        <f ca="1">IF(ISNA(M327),"N/A",IF(M327=0,"√","？"))</f>
        <v>？</v>
      </c>
      <c r="O327" s="3087"/>
      <c r="P327" s="3088"/>
      <c r="Q327" s="3088"/>
      <c r="R327" s="3088"/>
      <c r="S327" s="3089" t="s">
        <v>295</v>
      </c>
      <c r="T327" s="3089" t="s">
        <v>213</v>
      </c>
      <c r="U327" s="3090"/>
      <c r="V327" s="3090" t="s">
        <v>295</v>
      </c>
      <c r="W327" s="3090" t="s">
        <v>6793</v>
      </c>
      <c r="X327" s="3090" t="s">
        <v>6796</v>
      </c>
      <c r="Y327" s="3091" t="s">
        <v>164</v>
      </c>
    </row>
    <row r="328" spans="1:25" ht="24" hidden="1">
      <c r="A328" s="1304"/>
      <c r="B328" s="643">
        <v>7046</v>
      </c>
      <c r="C328" s="643" t="s">
        <v>1948</v>
      </c>
      <c r="D328" s="3075">
        <v>2</v>
      </c>
      <c r="E328" s="3076" t="str">
        <f t="shared" si="37"/>
        <v>收到其他与经营活动有关的现金</v>
      </c>
      <c r="F328" s="3077" t="s">
        <v>1949</v>
      </c>
      <c r="G328" s="3078">
        <f t="shared" si="38"/>
        <v>233275.97</v>
      </c>
      <c r="H328" s="3079">
        <f t="shared" ca="1" si="47"/>
        <v>0</v>
      </c>
      <c r="I328" s="3081" t="s">
        <v>6799</v>
      </c>
      <c r="J328" s="3060"/>
      <c r="K328" s="3078">
        <f t="shared" si="45"/>
        <v>111511418.34999999</v>
      </c>
      <c r="L328" s="3059" t="s">
        <v>6795</v>
      </c>
      <c r="M328" s="3081" t="s">
        <v>6799</v>
      </c>
      <c r="N328" s="3060"/>
      <c r="O328" s="3087"/>
      <c r="P328" s="3088"/>
      <c r="Q328" s="3088"/>
      <c r="R328" s="3088"/>
      <c r="S328" s="3089" t="s">
        <v>295</v>
      </c>
      <c r="T328" s="3089" t="s">
        <v>213</v>
      </c>
      <c r="U328" s="3090">
        <v>7046</v>
      </c>
      <c r="V328" s="3090" t="s">
        <v>295</v>
      </c>
      <c r="W328" s="3090" t="s">
        <v>6793</v>
      </c>
      <c r="X328" s="3090" t="s">
        <v>213</v>
      </c>
      <c r="Y328" s="3091" t="s">
        <v>164</v>
      </c>
    </row>
    <row r="329" spans="1:25" ht="24">
      <c r="A329" s="1304"/>
      <c r="B329" s="643">
        <v>7096</v>
      </c>
      <c r="C329" s="643" t="s">
        <v>1957</v>
      </c>
      <c r="D329" s="3075">
        <v>1</v>
      </c>
      <c r="E329" s="3076" t="str">
        <f t="shared" ref="E329:E392" si="53">IF(ISERROR(VLOOKUP($B329,Sheet_Items,2,0)),"        ----",VLOOKUP($B329,Sheet_Items,2,0))</f>
        <v>支付其他与经营活动有关的现金</v>
      </c>
      <c r="F329" s="3077" t="s">
        <v>1958</v>
      </c>
      <c r="G329" s="3078">
        <f t="shared" ref="G329:G392" si="54">IF(ISERROR(VLOOKUP($B329,Sheet_Trialbal,6,0)),"        ----",VLOOKUP($B329,Sheet_Trialbal,6,0))</f>
        <v>9655236.5600000005</v>
      </c>
      <c r="H329" s="3079">
        <f t="shared" ca="1" si="47"/>
        <v>9655236.5600000005</v>
      </c>
      <c r="I329" s="3081">
        <f ca="1">IF(AND(LEN(G329)&gt;0,LEN(H329)&gt;0),ROUND(SUM(G329)-SUM(H329),2),"")</f>
        <v>0</v>
      </c>
      <c r="J329" s="3060" t="str">
        <f ca="1">IF(ISNA(I329),"N/A",IF(I329=0,"√","？"))</f>
        <v>√</v>
      </c>
      <c r="K329" s="3078">
        <f t="shared" si="45"/>
        <v>47546373.82</v>
      </c>
      <c r="L329" s="3059">
        <f ca="1">INDIRECT("Notes!CheckB"&amp;$C329)</f>
        <v>0</v>
      </c>
      <c r="M329" s="3081">
        <f ca="1">IF(AND(LEN(K329)&gt;0,LEN(L329)&gt;0),ROUND(SUM(K329)-SUM(L329),2),"")</f>
        <v>47546373.82</v>
      </c>
      <c r="N329" s="3060" t="str">
        <f ca="1">IF(ISNA(M329),"N/A",IF(M329=0,"√","？"))</f>
        <v>？</v>
      </c>
      <c r="O329" s="3087"/>
      <c r="P329" s="3088"/>
      <c r="Q329" s="3088"/>
      <c r="R329" s="3088"/>
      <c r="S329" s="3089" t="s">
        <v>295</v>
      </c>
      <c r="T329" s="3089" t="s">
        <v>213</v>
      </c>
      <c r="U329" s="3090"/>
      <c r="V329" s="3090" t="s">
        <v>295</v>
      </c>
      <c r="W329" s="3090" t="s">
        <v>6793</v>
      </c>
      <c r="X329" s="3090" t="s">
        <v>6796</v>
      </c>
      <c r="Y329" s="3091" t="s">
        <v>164</v>
      </c>
    </row>
    <row r="330" spans="1:25" ht="24" hidden="1">
      <c r="A330" s="1304"/>
      <c r="B330" s="643">
        <v>7096</v>
      </c>
      <c r="C330" s="643" t="s">
        <v>1960</v>
      </c>
      <c r="D330" s="3075">
        <v>2</v>
      </c>
      <c r="E330" s="3076" t="str">
        <f t="shared" si="53"/>
        <v>支付其他与经营活动有关的现金</v>
      </c>
      <c r="F330" s="3077" t="s">
        <v>1961</v>
      </c>
      <c r="G330" s="3078">
        <f t="shared" si="54"/>
        <v>9655236.5600000005</v>
      </c>
      <c r="H330" s="3079">
        <f t="shared" ca="1" si="47"/>
        <v>0</v>
      </c>
      <c r="I330" s="3081" t="s">
        <v>6799</v>
      </c>
      <c r="J330" s="3060"/>
      <c r="K330" s="3078">
        <f t="shared" si="45"/>
        <v>47546373.82</v>
      </c>
      <c r="L330" s="3059" t="s">
        <v>6795</v>
      </c>
      <c r="M330" s="3081" t="s">
        <v>6799</v>
      </c>
      <c r="N330" s="3060"/>
      <c r="O330" s="3087"/>
      <c r="P330" s="3088"/>
      <c r="Q330" s="3088"/>
      <c r="R330" s="3088"/>
      <c r="S330" s="3089" t="s">
        <v>295</v>
      </c>
      <c r="T330" s="3089" t="s">
        <v>213</v>
      </c>
      <c r="U330" s="3090">
        <v>7096</v>
      </c>
      <c r="V330" s="3090" t="s">
        <v>295</v>
      </c>
      <c r="W330" s="3090" t="s">
        <v>6793</v>
      </c>
      <c r="X330" s="3090" t="s">
        <v>213</v>
      </c>
      <c r="Y330" s="3091" t="s">
        <v>164</v>
      </c>
    </row>
    <row r="331" spans="1:25" ht="24">
      <c r="A331" s="1304"/>
      <c r="B331" s="643">
        <v>7146</v>
      </c>
      <c r="C331" s="643" t="s">
        <v>1971</v>
      </c>
      <c r="D331" s="3075">
        <v>1</v>
      </c>
      <c r="E331" s="3076" t="str">
        <f t="shared" si="53"/>
        <v>收到其他与投资活动有关的现金</v>
      </c>
      <c r="F331" s="3077" t="s">
        <v>1972</v>
      </c>
      <c r="G331" s="3078">
        <f t="shared" si="54"/>
        <v>0</v>
      </c>
      <c r="H331" s="3079">
        <f t="shared" ca="1" si="47"/>
        <v>0</v>
      </c>
      <c r="I331" s="3081">
        <f ca="1">IF(AND(LEN(G331)&gt;0,LEN(H331)&gt;0),ROUND(SUM(G331)-SUM(H331),2),"")</f>
        <v>0</v>
      </c>
      <c r="J331" s="3060" t="str">
        <f ca="1">IF(ISNA(I331),"N/A",IF(I331=0,"√","？"))</f>
        <v>√</v>
      </c>
      <c r="K331" s="3078">
        <f t="shared" si="45"/>
        <v>0</v>
      </c>
      <c r="L331" s="3059">
        <f ca="1">INDIRECT("Notes!CheckB"&amp;$C331)</f>
        <v>0</v>
      </c>
      <c r="M331" s="3081">
        <f ca="1">IF(AND(LEN(K331)&gt;0,LEN(L331)&gt;0),ROUND(SUM(K331)-SUM(L331),2),"")</f>
        <v>0</v>
      </c>
      <c r="N331" s="3060" t="str">
        <f ca="1">IF(ISNA(M331),"N/A",IF(M331=0,"√","？"))</f>
        <v>√</v>
      </c>
      <c r="O331" s="3087"/>
      <c r="P331" s="3088"/>
      <c r="Q331" s="3088"/>
      <c r="R331" s="3088"/>
      <c r="S331" s="3089" t="s">
        <v>295</v>
      </c>
      <c r="T331" s="3089" t="s">
        <v>213</v>
      </c>
      <c r="U331" s="3090"/>
      <c r="V331" s="3090" t="s">
        <v>295</v>
      </c>
      <c r="W331" s="3090" t="s">
        <v>6793</v>
      </c>
      <c r="X331" s="3090" t="s">
        <v>6796</v>
      </c>
      <c r="Y331" s="3091" t="s">
        <v>164</v>
      </c>
    </row>
    <row r="332" spans="1:25" ht="24">
      <c r="A332" s="1304"/>
      <c r="B332" s="643">
        <v>7196</v>
      </c>
      <c r="C332" s="643" t="s">
        <v>1978</v>
      </c>
      <c r="D332" s="3075">
        <v>1</v>
      </c>
      <c r="E332" s="3076" t="str">
        <f t="shared" si="53"/>
        <v>支付其他与投资活动有关的现金</v>
      </c>
      <c r="F332" s="3077" t="s">
        <v>1979</v>
      </c>
      <c r="G332" s="3078">
        <f t="shared" si="54"/>
        <v>10000000</v>
      </c>
      <c r="H332" s="3079">
        <f t="shared" ca="1" si="47"/>
        <v>10000000</v>
      </c>
      <c r="I332" s="3081">
        <f ca="1">IF(AND(LEN(G332)&gt;0,LEN(H332)&gt;0),ROUND(SUM(G332)-SUM(H332),2),"")</f>
        <v>0</v>
      </c>
      <c r="J332" s="3060" t="str">
        <f ca="1">IF(ISNA(I332),"N/A",IF(I332=0,"√","？"))</f>
        <v>√</v>
      </c>
      <c r="K332" s="3078">
        <f t="shared" si="45"/>
        <v>0</v>
      </c>
      <c r="L332" s="3059">
        <f ca="1">INDIRECT("Notes!CheckB"&amp;$C332)</f>
        <v>0</v>
      </c>
      <c r="M332" s="3081">
        <f ca="1">IF(AND(LEN(K332)&gt;0,LEN(L332)&gt;0),ROUND(SUM(K332)-SUM(L332),2),"")</f>
        <v>0</v>
      </c>
      <c r="N332" s="3060" t="str">
        <f ca="1">IF(ISNA(M332),"N/A",IF(M332=0,"√","？"))</f>
        <v>√</v>
      </c>
      <c r="O332" s="3087"/>
      <c r="P332" s="3088"/>
      <c r="Q332" s="3088"/>
      <c r="R332" s="3088"/>
      <c r="S332" s="3089" t="s">
        <v>295</v>
      </c>
      <c r="T332" s="3089" t="s">
        <v>213</v>
      </c>
      <c r="U332" s="3090"/>
      <c r="V332" s="3090" t="s">
        <v>295</v>
      </c>
      <c r="W332" s="3090" t="s">
        <v>6793</v>
      </c>
      <c r="X332" s="3090" t="s">
        <v>6796</v>
      </c>
      <c r="Y332" s="3091" t="s">
        <v>164</v>
      </c>
    </row>
    <row r="333" spans="1:25" ht="24">
      <c r="A333" s="1304"/>
      <c r="B333" s="643">
        <v>7246</v>
      </c>
      <c r="C333" s="643" t="s">
        <v>1983</v>
      </c>
      <c r="D333" s="3075">
        <v>1</v>
      </c>
      <c r="E333" s="3076" t="str">
        <f t="shared" si="53"/>
        <v>收到其他与筹资活动有关的现金</v>
      </c>
      <c r="F333" s="3077" t="s">
        <v>1984</v>
      </c>
      <c r="G333" s="3078">
        <f t="shared" si="54"/>
        <v>81923075.409999996</v>
      </c>
      <c r="H333" s="3079">
        <f t="shared" ca="1" si="47"/>
        <v>81923075.409999996</v>
      </c>
      <c r="I333" s="3081">
        <f ca="1">IF(AND(LEN(G333)&gt;0,LEN(H333)&gt;0),ROUND(SUM(G333)-SUM(H333),2),"")</f>
        <v>0</v>
      </c>
      <c r="J333" s="3060" t="str">
        <f ca="1">IF(ISNA(I333),"N/A",IF(I333=0,"√","？"))</f>
        <v>√</v>
      </c>
      <c r="K333" s="3078">
        <f t="shared" si="45"/>
        <v>0</v>
      </c>
      <c r="L333" s="3059">
        <f ca="1">INDIRECT("Notes!CheckB"&amp;$C333)</f>
        <v>0</v>
      </c>
      <c r="M333" s="3081">
        <f ca="1">IF(AND(LEN(K333)&gt;0,LEN(L333)&gt;0),ROUND(SUM(K333)-SUM(L333),2),"")</f>
        <v>0</v>
      </c>
      <c r="N333" s="3060" t="str">
        <f ca="1">IF(ISNA(M333),"N/A",IF(M333=0,"√","？"))</f>
        <v>√</v>
      </c>
      <c r="O333" s="3087"/>
      <c r="P333" s="3088"/>
      <c r="Q333" s="3088"/>
      <c r="R333" s="3088"/>
      <c r="S333" s="3089" t="s">
        <v>295</v>
      </c>
      <c r="T333" s="3089" t="s">
        <v>213</v>
      </c>
      <c r="U333" s="3090"/>
      <c r="V333" s="3090" t="s">
        <v>295</v>
      </c>
      <c r="W333" s="3090" t="s">
        <v>6793</v>
      </c>
      <c r="X333" s="3090" t="s">
        <v>6796</v>
      </c>
      <c r="Y333" s="3091" t="s">
        <v>164</v>
      </c>
    </row>
    <row r="334" spans="1:25" ht="24">
      <c r="A334" s="1304"/>
      <c r="B334" s="643">
        <v>7296</v>
      </c>
      <c r="C334" s="643" t="s">
        <v>1990</v>
      </c>
      <c r="D334" s="3075">
        <v>1</v>
      </c>
      <c r="E334" s="3076" t="str">
        <f t="shared" si="53"/>
        <v>支付其他与筹资活动有关的现金</v>
      </c>
      <c r="F334" s="3077" t="s">
        <v>1991</v>
      </c>
      <c r="G334" s="3078">
        <f t="shared" si="54"/>
        <v>5575000</v>
      </c>
      <c r="H334" s="3079">
        <f t="shared" ca="1" si="47"/>
        <v>5575000</v>
      </c>
      <c r="I334" s="3081">
        <f ca="1">IF(AND(LEN(G334)&gt;0,LEN(H334)&gt;0),ROUND(SUM(G334)-SUM(H334),2),"")</f>
        <v>0</v>
      </c>
      <c r="J334" s="3060" t="str">
        <f ca="1">IF(ISNA(I334),"N/A",IF(I334=0,"√","？"))</f>
        <v>√</v>
      </c>
      <c r="K334" s="3078">
        <f t="shared" si="45"/>
        <v>0</v>
      </c>
      <c r="L334" s="3059">
        <f ca="1">INDIRECT("Notes!CheckB"&amp;$C334)</f>
        <v>0</v>
      </c>
      <c r="M334" s="3081">
        <f ca="1">IF(AND(LEN(K334)&gt;0,LEN(L334)&gt;0),ROUND(SUM(K334)-SUM(L334),2),"")</f>
        <v>0</v>
      </c>
      <c r="N334" s="3060" t="str">
        <f ca="1">IF(ISNA(M334),"N/A",IF(M334=0,"√","？"))</f>
        <v>√</v>
      </c>
      <c r="O334" s="3087"/>
      <c r="P334" s="3088"/>
      <c r="Q334" s="3088"/>
      <c r="R334" s="3088"/>
      <c r="S334" s="3089" t="s">
        <v>295</v>
      </c>
      <c r="T334" s="3089" t="s">
        <v>213</v>
      </c>
      <c r="U334" s="3090"/>
      <c r="V334" s="3090" t="s">
        <v>295</v>
      </c>
      <c r="W334" s="3090" t="s">
        <v>6793</v>
      </c>
      <c r="X334" s="3090" t="s">
        <v>6796</v>
      </c>
      <c r="Y334" s="3091" t="s">
        <v>164</v>
      </c>
    </row>
    <row r="335" spans="1:25" ht="24" hidden="1">
      <c r="A335" s="1304"/>
      <c r="B335" s="643">
        <v>7001</v>
      </c>
      <c r="C335" s="643" t="s">
        <v>1944</v>
      </c>
      <c r="D335" s="3075">
        <v>2</v>
      </c>
      <c r="E335" s="3076" t="str">
        <f t="shared" si="53"/>
        <v>销售商品提供劳务收到的现金</v>
      </c>
      <c r="F335" s="3077" t="s">
        <v>1945</v>
      </c>
      <c r="G335" s="3078">
        <f t="shared" si="54"/>
        <v>343138.18</v>
      </c>
      <c r="H335" s="3079">
        <f t="shared" ca="1" si="47"/>
        <v>0</v>
      </c>
      <c r="I335" s="3081" t="s">
        <v>6799</v>
      </c>
      <c r="J335" s="3060"/>
      <c r="K335" s="3078">
        <f t="shared" si="45"/>
        <v>0</v>
      </c>
      <c r="L335" s="3059" t="s">
        <v>6795</v>
      </c>
      <c r="M335" s="3081" t="s">
        <v>6799</v>
      </c>
      <c r="N335" s="3060"/>
      <c r="O335" s="3087"/>
      <c r="P335" s="3088"/>
      <c r="Q335" s="3088"/>
      <c r="R335" s="3088"/>
      <c r="S335" s="3089" t="s">
        <v>295</v>
      </c>
      <c r="T335" s="3089" t="s">
        <v>213</v>
      </c>
      <c r="U335" s="3090"/>
      <c r="V335" s="3090" t="s">
        <v>295</v>
      </c>
      <c r="W335" s="3090" t="s">
        <v>6793</v>
      </c>
      <c r="X335" s="3090" t="s">
        <v>213</v>
      </c>
      <c r="Y335" s="3091" t="s">
        <v>164</v>
      </c>
    </row>
    <row r="336" spans="1:25" ht="24" hidden="1">
      <c r="A336" s="1304"/>
      <c r="B336" s="643">
        <v>7051</v>
      </c>
      <c r="C336" s="643" t="s">
        <v>1951</v>
      </c>
      <c r="D336" s="3075">
        <v>2</v>
      </c>
      <c r="E336" s="3076" t="str">
        <f t="shared" si="53"/>
        <v>购买商品接受劳务支付的现金</v>
      </c>
      <c r="F336" s="3077" t="s">
        <v>1952</v>
      </c>
      <c r="G336" s="3078">
        <f t="shared" si="54"/>
        <v>0</v>
      </c>
      <c r="H336" s="3079">
        <f t="shared" ca="1" si="47"/>
        <v>0</v>
      </c>
      <c r="I336" s="3081" t="s">
        <v>6799</v>
      </c>
      <c r="J336" s="3060"/>
      <c r="K336" s="3078">
        <f t="shared" si="45"/>
        <v>0</v>
      </c>
      <c r="L336" s="3059" t="s">
        <v>6795</v>
      </c>
      <c r="M336" s="3081" t="s">
        <v>6799</v>
      </c>
      <c r="N336" s="3060"/>
      <c r="O336" s="3087"/>
      <c r="P336" s="3088"/>
      <c r="Q336" s="3088"/>
      <c r="R336" s="3088"/>
      <c r="S336" s="3089" t="s">
        <v>295</v>
      </c>
      <c r="T336" s="3089" t="s">
        <v>213</v>
      </c>
      <c r="U336" s="3090"/>
      <c r="V336" s="3090" t="s">
        <v>295</v>
      </c>
      <c r="W336" s="3090" t="s">
        <v>6793</v>
      </c>
      <c r="X336" s="3090" t="s">
        <v>213</v>
      </c>
      <c r="Y336" s="3091" t="s">
        <v>164</v>
      </c>
    </row>
    <row r="337" spans="1:25" ht="24" hidden="1">
      <c r="A337" s="1304"/>
      <c r="B337" s="643">
        <v>7061</v>
      </c>
      <c r="C337" s="643" t="s">
        <v>1953</v>
      </c>
      <c r="D337" s="3075">
        <v>2</v>
      </c>
      <c r="E337" s="3076" t="str">
        <f t="shared" si="53"/>
        <v>支付给职工以及为职工支付的现金</v>
      </c>
      <c r="F337" s="3077" t="s">
        <v>1954</v>
      </c>
      <c r="G337" s="3078">
        <f t="shared" si="54"/>
        <v>21587533.059999999</v>
      </c>
      <c r="H337" s="3079">
        <f t="shared" ca="1" si="47"/>
        <v>0</v>
      </c>
      <c r="I337" s="3081" t="s">
        <v>6799</v>
      </c>
      <c r="J337" s="3060"/>
      <c r="K337" s="3078">
        <f t="shared" si="45"/>
        <v>9687769.6300000008</v>
      </c>
      <c r="L337" s="3059" t="s">
        <v>6795</v>
      </c>
      <c r="M337" s="3081" t="s">
        <v>6799</v>
      </c>
      <c r="N337" s="3060"/>
      <c r="O337" s="3087"/>
      <c r="P337" s="3088"/>
      <c r="Q337" s="3088"/>
      <c r="R337" s="3088"/>
      <c r="S337" s="3089" t="s">
        <v>295</v>
      </c>
      <c r="T337" s="3089" t="s">
        <v>213</v>
      </c>
      <c r="U337" s="3090"/>
      <c r="V337" s="3090" t="s">
        <v>295</v>
      </c>
      <c r="W337" s="3090" t="s">
        <v>6793</v>
      </c>
      <c r="X337" s="3090" t="s">
        <v>213</v>
      </c>
      <c r="Y337" s="3091" t="s">
        <v>164</v>
      </c>
    </row>
    <row r="338" spans="1:25" ht="18" hidden="1">
      <c r="A338" s="1304"/>
      <c r="B338" s="643">
        <v>7071</v>
      </c>
      <c r="C338" s="643" t="s">
        <v>1955</v>
      </c>
      <c r="D338" s="3075">
        <v>2</v>
      </c>
      <c r="E338" s="3076" t="str">
        <f t="shared" si="53"/>
        <v>支付的各项税费</v>
      </c>
      <c r="F338" s="3077" t="s">
        <v>1956</v>
      </c>
      <c r="G338" s="3078">
        <f t="shared" si="54"/>
        <v>0</v>
      </c>
      <c r="H338" s="3079">
        <f t="shared" ca="1" si="47"/>
        <v>0</v>
      </c>
      <c r="I338" s="3081" t="s">
        <v>6799</v>
      </c>
      <c r="J338" s="3060"/>
      <c r="K338" s="3078">
        <f t="shared" si="45"/>
        <v>197626.12</v>
      </c>
      <c r="L338" s="3059" t="s">
        <v>6795</v>
      </c>
      <c r="M338" s="3081" t="s">
        <v>6799</v>
      </c>
      <c r="N338" s="3060"/>
      <c r="O338" s="3087"/>
      <c r="P338" s="3088"/>
      <c r="Q338" s="3088"/>
      <c r="R338" s="3088"/>
      <c r="S338" s="3089" t="s">
        <v>295</v>
      </c>
      <c r="T338" s="3089" t="s">
        <v>213</v>
      </c>
      <c r="U338" s="3090"/>
      <c r="V338" s="3090" t="s">
        <v>295</v>
      </c>
      <c r="W338" s="3090" t="s">
        <v>6793</v>
      </c>
      <c r="X338" s="3090" t="s">
        <v>213</v>
      </c>
      <c r="Y338" s="3091" t="s">
        <v>164</v>
      </c>
    </row>
    <row r="339" spans="1:25" ht="24" hidden="1">
      <c r="A339" s="1304"/>
      <c r="B339" s="643">
        <v>7101</v>
      </c>
      <c r="C339" s="643" t="s">
        <v>1963</v>
      </c>
      <c r="D339" s="3075">
        <v>2</v>
      </c>
      <c r="E339" s="3076" t="str">
        <f t="shared" si="53"/>
        <v>收回投资收到的现金</v>
      </c>
      <c r="F339" s="3077" t="s">
        <v>1964</v>
      </c>
      <c r="G339" s="3078">
        <f t="shared" si="54"/>
        <v>0</v>
      </c>
      <c r="H339" s="3079">
        <f t="shared" ca="1" si="47"/>
        <v>0</v>
      </c>
      <c r="I339" s="3081" t="s">
        <v>6799</v>
      </c>
      <c r="J339" s="3060"/>
      <c r="K339" s="3078">
        <f t="shared" si="45"/>
        <v>0</v>
      </c>
      <c r="L339" s="3059" t="s">
        <v>6795</v>
      </c>
      <c r="M339" s="3081" t="s">
        <v>6799</v>
      </c>
      <c r="N339" s="3060"/>
      <c r="O339" s="3087"/>
      <c r="P339" s="3088"/>
      <c r="Q339" s="3088"/>
      <c r="R339" s="3088"/>
      <c r="S339" s="3089" t="s">
        <v>295</v>
      </c>
      <c r="T339" s="3089" t="s">
        <v>213</v>
      </c>
      <c r="U339" s="3090"/>
      <c r="V339" s="3090" t="s">
        <v>295</v>
      </c>
      <c r="W339" s="3090" t="s">
        <v>6793</v>
      </c>
      <c r="X339" s="3090" t="s">
        <v>213</v>
      </c>
      <c r="Y339" s="3091" t="s">
        <v>164</v>
      </c>
    </row>
    <row r="340" spans="1:25" ht="24" hidden="1">
      <c r="A340" s="1304"/>
      <c r="B340" s="643">
        <v>7105</v>
      </c>
      <c r="C340" s="643" t="s">
        <v>1965</v>
      </c>
      <c r="D340" s="3075">
        <v>2</v>
      </c>
      <c r="E340" s="3076" t="str">
        <f t="shared" si="53"/>
        <v>取得投资收益收到的现金</v>
      </c>
      <c r="F340" s="3077" t="s">
        <v>1966</v>
      </c>
      <c r="G340" s="3078">
        <f t="shared" si="54"/>
        <v>0</v>
      </c>
      <c r="H340" s="3079">
        <f t="shared" ca="1" si="47"/>
        <v>0</v>
      </c>
      <c r="I340" s="3081" t="s">
        <v>6799</v>
      </c>
      <c r="J340" s="3060"/>
      <c r="K340" s="3078">
        <f t="shared" si="45"/>
        <v>0</v>
      </c>
      <c r="L340" s="3059" t="s">
        <v>6795</v>
      </c>
      <c r="M340" s="3081" t="s">
        <v>6799</v>
      </c>
      <c r="N340" s="3060"/>
      <c r="O340" s="3087"/>
      <c r="P340" s="3088"/>
      <c r="Q340" s="3088"/>
      <c r="R340" s="3088"/>
      <c r="S340" s="3089" t="s">
        <v>295</v>
      </c>
      <c r="T340" s="3089" t="s">
        <v>213</v>
      </c>
      <c r="U340" s="3090"/>
      <c r="V340" s="3090" t="s">
        <v>295</v>
      </c>
      <c r="W340" s="3090" t="s">
        <v>6793</v>
      </c>
      <c r="X340" s="3090" t="s">
        <v>213</v>
      </c>
      <c r="Y340" s="3091" t="s">
        <v>164</v>
      </c>
    </row>
    <row r="341" spans="1:25" ht="36" hidden="1">
      <c r="A341" s="1304"/>
      <c r="B341" s="643">
        <v>7111</v>
      </c>
      <c r="C341" s="643" t="s">
        <v>1967</v>
      </c>
      <c r="D341" s="3075">
        <v>2</v>
      </c>
      <c r="E341" s="3076" t="str">
        <f t="shared" si="53"/>
        <v>处置固定资产无形资产长期资产收回的现金</v>
      </c>
      <c r="F341" s="3077" t="s">
        <v>1968</v>
      </c>
      <c r="G341" s="3078">
        <f t="shared" si="54"/>
        <v>0</v>
      </c>
      <c r="H341" s="3079">
        <f t="shared" ca="1" si="47"/>
        <v>0</v>
      </c>
      <c r="I341" s="3081" t="s">
        <v>6799</v>
      </c>
      <c r="J341" s="3060"/>
      <c r="K341" s="3078">
        <f t="shared" si="45"/>
        <v>0</v>
      </c>
      <c r="L341" s="3059" t="s">
        <v>6795</v>
      </c>
      <c r="M341" s="3081" t="s">
        <v>6799</v>
      </c>
      <c r="N341" s="3060"/>
      <c r="O341" s="3087"/>
      <c r="P341" s="3088"/>
      <c r="Q341" s="3088"/>
      <c r="R341" s="3088"/>
      <c r="S341" s="3089" t="s">
        <v>295</v>
      </c>
      <c r="T341" s="3089" t="s">
        <v>213</v>
      </c>
      <c r="U341" s="3090"/>
      <c r="V341" s="3090" t="s">
        <v>295</v>
      </c>
      <c r="W341" s="3090" t="s">
        <v>6793</v>
      </c>
      <c r="X341" s="3090" t="s">
        <v>213</v>
      </c>
      <c r="Y341" s="3091" t="s">
        <v>164</v>
      </c>
    </row>
    <row r="342" spans="1:25" ht="36" hidden="1">
      <c r="A342" s="1304"/>
      <c r="B342" s="643">
        <v>7151</v>
      </c>
      <c r="C342" s="643" t="s">
        <v>1973</v>
      </c>
      <c r="D342" s="3075">
        <v>2</v>
      </c>
      <c r="E342" s="3076" t="str">
        <f t="shared" si="53"/>
        <v>购置固定资产无形资产长期资产支付的现金</v>
      </c>
      <c r="F342" s="3077" t="s">
        <v>1974</v>
      </c>
      <c r="G342" s="3078">
        <f t="shared" si="54"/>
        <v>13963177.92</v>
      </c>
      <c r="H342" s="3079">
        <f t="shared" ca="1" si="47"/>
        <v>0</v>
      </c>
      <c r="I342" s="3081" t="s">
        <v>6799</v>
      </c>
      <c r="J342" s="3060"/>
      <c r="K342" s="3078">
        <f t="shared" si="45"/>
        <v>1453325.99</v>
      </c>
      <c r="L342" s="3059" t="s">
        <v>6795</v>
      </c>
      <c r="M342" s="3081" t="s">
        <v>6799</v>
      </c>
      <c r="N342" s="3060"/>
      <c r="O342" s="3087"/>
      <c r="P342" s="3088"/>
      <c r="Q342" s="3088"/>
      <c r="R342" s="3088"/>
      <c r="S342" s="3089" t="s">
        <v>295</v>
      </c>
      <c r="T342" s="3089" t="s">
        <v>213</v>
      </c>
      <c r="U342" s="3090"/>
      <c r="V342" s="3090" t="s">
        <v>295</v>
      </c>
      <c r="W342" s="3090" t="s">
        <v>6793</v>
      </c>
      <c r="X342" s="3090" t="s">
        <v>213</v>
      </c>
      <c r="Y342" s="3091" t="s">
        <v>164</v>
      </c>
    </row>
    <row r="343" spans="1:25" ht="18" hidden="1">
      <c r="A343" s="1304"/>
      <c r="B343" s="643">
        <v>7161</v>
      </c>
      <c r="C343" s="643" t="s">
        <v>1975</v>
      </c>
      <c r="D343" s="3075">
        <v>2</v>
      </c>
      <c r="E343" s="3076" t="str">
        <f t="shared" si="53"/>
        <v>投资支付的现金</v>
      </c>
      <c r="F343" s="3077" t="s">
        <v>1976</v>
      </c>
      <c r="G343" s="3078">
        <f t="shared" si="54"/>
        <v>22000000</v>
      </c>
      <c r="H343" s="3079">
        <f t="shared" ca="1" si="47"/>
        <v>0</v>
      </c>
      <c r="I343" s="3081" t="s">
        <v>6799</v>
      </c>
      <c r="J343" s="3060"/>
      <c r="K343" s="3078">
        <f t="shared" si="45"/>
        <v>53000000</v>
      </c>
      <c r="L343" s="3059" t="s">
        <v>6795</v>
      </c>
      <c r="M343" s="3081" t="s">
        <v>6799</v>
      </c>
      <c r="N343" s="3060"/>
      <c r="O343" s="3087"/>
      <c r="P343" s="3088"/>
      <c r="Q343" s="3088"/>
      <c r="R343" s="3088"/>
      <c r="S343" s="3089" t="s">
        <v>295</v>
      </c>
      <c r="T343" s="3089" t="s">
        <v>213</v>
      </c>
      <c r="U343" s="3090"/>
      <c r="V343" s="3090" t="s">
        <v>295</v>
      </c>
      <c r="W343" s="3090" t="s">
        <v>6793</v>
      </c>
      <c r="X343" s="3090" t="s">
        <v>213</v>
      </c>
      <c r="Y343" s="3091" t="s">
        <v>164</v>
      </c>
    </row>
    <row r="344" spans="1:25" ht="24" hidden="1">
      <c r="A344" s="1304"/>
      <c r="B344" s="643">
        <v>7211</v>
      </c>
      <c r="C344" s="643" t="s">
        <v>1980</v>
      </c>
      <c r="D344" s="3075">
        <v>2</v>
      </c>
      <c r="E344" s="3076" t="str">
        <f t="shared" si="53"/>
        <v>取得借款收到的现金</v>
      </c>
      <c r="F344" s="3077" t="s">
        <v>1981</v>
      </c>
      <c r="G344" s="3078">
        <f t="shared" si="54"/>
        <v>0</v>
      </c>
      <c r="H344" s="3079">
        <f t="shared" ca="1" si="47"/>
        <v>0</v>
      </c>
      <c r="I344" s="3081" t="s">
        <v>6799</v>
      </c>
      <c r="J344" s="3060"/>
      <c r="K344" s="3078">
        <f t="shared" si="45"/>
        <v>0</v>
      </c>
      <c r="L344" s="3059" t="s">
        <v>6795</v>
      </c>
      <c r="M344" s="3081" t="s">
        <v>6799</v>
      </c>
      <c r="N344" s="3060"/>
      <c r="O344" s="3087"/>
      <c r="P344" s="3088"/>
      <c r="Q344" s="3088"/>
      <c r="R344" s="3088"/>
      <c r="S344" s="3089" t="s">
        <v>295</v>
      </c>
      <c r="T344" s="3089" t="s">
        <v>213</v>
      </c>
      <c r="U344" s="3090"/>
      <c r="V344" s="3090" t="s">
        <v>295</v>
      </c>
      <c r="W344" s="3090" t="s">
        <v>6793</v>
      </c>
      <c r="X344" s="3090" t="s">
        <v>213</v>
      </c>
      <c r="Y344" s="3091" t="s">
        <v>164</v>
      </c>
    </row>
    <row r="345" spans="1:25" ht="24" hidden="1">
      <c r="A345" s="1304"/>
      <c r="B345" s="643">
        <v>7251</v>
      </c>
      <c r="C345" s="643" t="s">
        <v>1986</v>
      </c>
      <c r="D345" s="3075">
        <v>2</v>
      </c>
      <c r="E345" s="3076" t="str">
        <f t="shared" si="53"/>
        <v>偿还债务支付的现金</v>
      </c>
      <c r="F345" s="3077" t="s">
        <v>1987</v>
      </c>
      <c r="G345" s="3078">
        <f t="shared" si="54"/>
        <v>0</v>
      </c>
      <c r="H345" s="3079">
        <f t="shared" ca="1" si="47"/>
        <v>0</v>
      </c>
      <c r="I345" s="3081" t="s">
        <v>6799</v>
      </c>
      <c r="J345" s="3060"/>
      <c r="K345" s="3078">
        <f t="shared" si="45"/>
        <v>0</v>
      </c>
      <c r="L345" s="3059" t="s">
        <v>6795</v>
      </c>
      <c r="M345" s="3081" t="s">
        <v>6799</v>
      </c>
      <c r="N345" s="3060"/>
      <c r="O345" s="3087"/>
      <c r="P345" s="3088"/>
      <c r="Q345" s="3088"/>
      <c r="R345" s="3088"/>
      <c r="S345" s="3089" t="s">
        <v>295</v>
      </c>
      <c r="T345" s="3089" t="s">
        <v>213</v>
      </c>
      <c r="U345" s="3090"/>
      <c r="V345" s="3090" t="s">
        <v>295</v>
      </c>
      <c r="W345" s="3090" t="s">
        <v>6793</v>
      </c>
      <c r="X345" s="3090" t="s">
        <v>213</v>
      </c>
      <c r="Y345" s="3091" t="s">
        <v>164</v>
      </c>
    </row>
    <row r="346" spans="1:25" ht="24" hidden="1">
      <c r="A346" s="1304"/>
      <c r="B346" s="643">
        <v>7261</v>
      </c>
      <c r="C346" s="643" t="s">
        <v>1988</v>
      </c>
      <c r="D346" s="3075">
        <v>2</v>
      </c>
      <c r="E346" s="3076" t="str">
        <f t="shared" si="53"/>
        <v>分配利润偿付利息支付的现金</v>
      </c>
      <c r="F346" s="3077" t="s">
        <v>1989</v>
      </c>
      <c r="G346" s="3078">
        <f t="shared" si="54"/>
        <v>0</v>
      </c>
      <c r="H346" s="3079">
        <f t="shared" ca="1" si="47"/>
        <v>0</v>
      </c>
      <c r="I346" s="3081" t="s">
        <v>6799</v>
      </c>
      <c r="J346" s="3060"/>
      <c r="K346" s="3078">
        <f t="shared" si="45"/>
        <v>0</v>
      </c>
      <c r="L346" s="3059" t="s">
        <v>6795</v>
      </c>
      <c r="M346" s="3081" t="s">
        <v>6799</v>
      </c>
      <c r="N346" s="3060"/>
      <c r="O346" s="3087"/>
      <c r="P346" s="3088"/>
      <c r="Q346" s="3088"/>
      <c r="R346" s="3088"/>
      <c r="S346" s="3089" t="s">
        <v>295</v>
      </c>
      <c r="T346" s="3089" t="s">
        <v>213</v>
      </c>
      <c r="U346" s="3090"/>
      <c r="V346" s="3090" t="s">
        <v>295</v>
      </c>
      <c r="W346" s="3090" t="s">
        <v>6793</v>
      </c>
      <c r="X346" s="3090" t="s">
        <v>213</v>
      </c>
      <c r="Y346" s="3091" t="s">
        <v>164</v>
      </c>
    </row>
    <row r="347" spans="1:25" ht="24" hidden="1">
      <c r="A347" s="1304"/>
      <c r="B347" s="643"/>
      <c r="C347" s="643" t="s">
        <v>1993</v>
      </c>
      <c r="D347" s="3075">
        <v>3</v>
      </c>
      <c r="E347" s="3076" t="str">
        <f t="shared" si="53"/>
        <v xml:space="preserve">        ----</v>
      </c>
      <c r="F347" s="3077" t="s">
        <v>1994</v>
      </c>
      <c r="G347" s="3078" t="str">
        <f t="shared" si="54"/>
        <v xml:space="preserve">        ----</v>
      </c>
      <c r="H347" s="3079" t="s">
        <v>6795</v>
      </c>
      <c r="I347" s="3081" t="s">
        <v>6799</v>
      </c>
      <c r="J347" s="3060"/>
      <c r="K347" s="3078" t="str">
        <f t="shared" si="45"/>
        <v xml:space="preserve">        ----</v>
      </c>
      <c r="L347" s="3059" t="s">
        <v>6795</v>
      </c>
      <c r="M347" s="3081" t="s">
        <v>6799</v>
      </c>
      <c r="N347" s="3060"/>
      <c r="O347" s="3087"/>
      <c r="P347" s="3088"/>
      <c r="Q347" s="3088"/>
      <c r="R347" s="3088"/>
      <c r="S347" s="3089" t="s">
        <v>295</v>
      </c>
      <c r="T347" s="3089" t="s">
        <v>213</v>
      </c>
      <c r="U347" s="3090"/>
      <c r="V347" s="3090" t="s">
        <v>295</v>
      </c>
      <c r="W347" s="3090" t="s">
        <v>6793</v>
      </c>
      <c r="X347" s="3090" t="s">
        <v>6794</v>
      </c>
      <c r="Y347" s="3091" t="s">
        <v>164</v>
      </c>
    </row>
    <row r="348" spans="1:25" ht="24" hidden="1">
      <c r="A348" s="1304"/>
      <c r="B348" s="643"/>
      <c r="C348" s="643" t="s">
        <v>1996</v>
      </c>
      <c r="D348" s="3075">
        <v>3</v>
      </c>
      <c r="E348" s="3076" t="str">
        <f t="shared" si="53"/>
        <v xml:space="preserve">        ----</v>
      </c>
      <c r="F348" s="3077" t="s">
        <v>1997</v>
      </c>
      <c r="G348" s="3078" t="str">
        <f t="shared" si="54"/>
        <v xml:space="preserve">        ----</v>
      </c>
      <c r="H348" s="3079" t="s">
        <v>6795</v>
      </c>
      <c r="I348" s="3081" t="s">
        <v>6799</v>
      </c>
      <c r="J348" s="3060"/>
      <c r="K348" s="3078" t="str">
        <f t="shared" si="45"/>
        <v xml:space="preserve">        ----</v>
      </c>
      <c r="L348" s="3059" t="s">
        <v>6795</v>
      </c>
      <c r="M348" s="3081" t="s">
        <v>6799</v>
      </c>
      <c r="N348" s="3060"/>
      <c r="O348" s="3087"/>
      <c r="P348" s="3088"/>
      <c r="Q348" s="3088"/>
      <c r="R348" s="3088"/>
      <c r="S348" s="3089" t="s">
        <v>295</v>
      </c>
      <c r="T348" s="3089" t="s">
        <v>213</v>
      </c>
      <c r="U348" s="3090"/>
      <c r="V348" s="3090" t="s">
        <v>295</v>
      </c>
      <c r="W348" s="3090" t="s">
        <v>6793</v>
      </c>
      <c r="X348" s="3090" t="s">
        <v>6794</v>
      </c>
      <c r="Y348" s="3091" t="s">
        <v>164</v>
      </c>
    </row>
    <row r="349" spans="1:25" ht="24" hidden="1">
      <c r="A349" s="1304"/>
      <c r="B349" s="643"/>
      <c r="C349" s="643" t="s">
        <v>1998</v>
      </c>
      <c r="D349" s="3075">
        <v>3</v>
      </c>
      <c r="E349" s="3076" t="str">
        <f t="shared" si="53"/>
        <v xml:space="preserve">        ----</v>
      </c>
      <c r="F349" s="3077" t="s">
        <v>1999</v>
      </c>
      <c r="G349" s="3078" t="str">
        <f t="shared" si="54"/>
        <v xml:space="preserve">        ----</v>
      </c>
      <c r="H349" s="3079" t="s">
        <v>6795</v>
      </c>
      <c r="I349" s="3081" t="s">
        <v>6799</v>
      </c>
      <c r="J349" s="3060"/>
      <c r="K349" s="3078" t="str">
        <f t="shared" si="45"/>
        <v xml:space="preserve">        ----</v>
      </c>
      <c r="L349" s="3059" t="s">
        <v>6795</v>
      </c>
      <c r="M349" s="3081" t="s">
        <v>6799</v>
      </c>
      <c r="N349" s="3060"/>
      <c r="O349" s="3087"/>
      <c r="P349" s="3088"/>
      <c r="Q349" s="3088"/>
      <c r="R349" s="3088"/>
      <c r="S349" s="3089" t="s">
        <v>295</v>
      </c>
      <c r="T349" s="3089" t="s">
        <v>213</v>
      </c>
      <c r="U349" s="3090"/>
      <c r="V349" s="3090" t="s">
        <v>295</v>
      </c>
      <c r="W349" s="3090" t="s">
        <v>6793</v>
      </c>
      <c r="X349" s="3090" t="s">
        <v>6794</v>
      </c>
      <c r="Y349" s="3091" t="s">
        <v>164</v>
      </c>
    </row>
    <row r="350" spans="1:25" ht="24" hidden="1">
      <c r="A350" s="1304"/>
      <c r="B350" s="643"/>
      <c r="C350" s="643" t="s">
        <v>2008</v>
      </c>
      <c r="D350" s="3075">
        <v>3</v>
      </c>
      <c r="E350" s="3076" t="str">
        <f t="shared" si="53"/>
        <v xml:space="preserve">        ----</v>
      </c>
      <c r="F350" s="3077" t="s">
        <v>2009</v>
      </c>
      <c r="G350" s="3078" t="str">
        <f t="shared" si="54"/>
        <v xml:space="preserve">        ----</v>
      </c>
      <c r="H350" s="3079" t="s">
        <v>6795</v>
      </c>
      <c r="I350" s="3081" t="s">
        <v>6799</v>
      </c>
      <c r="J350" s="3060"/>
      <c r="K350" s="3078" t="str">
        <f t="shared" si="45"/>
        <v xml:space="preserve">        ----</v>
      </c>
      <c r="L350" s="3059" t="s">
        <v>6795</v>
      </c>
      <c r="M350" s="3081" t="s">
        <v>6799</v>
      </c>
      <c r="N350" s="3060"/>
      <c r="O350" s="3087"/>
      <c r="P350" s="3088"/>
      <c r="Q350" s="3088"/>
      <c r="R350" s="3088"/>
      <c r="S350" s="3089" t="s">
        <v>295</v>
      </c>
      <c r="T350" s="3089" t="s">
        <v>213</v>
      </c>
      <c r="U350" s="3090"/>
      <c r="V350" s="3090" t="s">
        <v>295</v>
      </c>
      <c r="W350" s="3090" t="s">
        <v>6793</v>
      </c>
      <c r="X350" s="3090" t="s">
        <v>6796</v>
      </c>
      <c r="Y350" s="3091" t="s">
        <v>164</v>
      </c>
    </row>
    <row r="351" spans="1:25" ht="24" hidden="1">
      <c r="A351" s="1304"/>
      <c r="B351" s="643"/>
      <c r="C351" s="643" t="s">
        <v>2010</v>
      </c>
      <c r="D351" s="3075">
        <v>3</v>
      </c>
      <c r="E351" s="3076" t="str">
        <f t="shared" si="53"/>
        <v xml:space="preserve">        ----</v>
      </c>
      <c r="F351" s="3077" t="s">
        <v>2011</v>
      </c>
      <c r="G351" s="3078" t="str">
        <f t="shared" si="54"/>
        <v xml:space="preserve">        ----</v>
      </c>
      <c r="H351" s="3079" t="s">
        <v>6795</v>
      </c>
      <c r="I351" s="3081" t="s">
        <v>6799</v>
      </c>
      <c r="J351" s="3060"/>
      <c r="K351" s="3078" t="str">
        <f t="shared" ref="K351:K408" si="55">IF(ISERROR(VLOOKUP($B351,Sheet_Trialbal,10,0)),"        ----",VLOOKUP($B351,Sheet_Trialbal,10,0))</f>
        <v xml:space="preserve">        ----</v>
      </c>
      <c r="L351" s="3059" t="s">
        <v>6795</v>
      </c>
      <c r="M351" s="3081" t="s">
        <v>6799</v>
      </c>
      <c r="N351" s="3060"/>
      <c r="O351" s="3087"/>
      <c r="P351" s="3088"/>
      <c r="Q351" s="3088"/>
      <c r="R351" s="3088"/>
      <c r="S351" s="3089" t="s">
        <v>295</v>
      </c>
      <c r="T351" s="3089" t="s">
        <v>213</v>
      </c>
      <c r="U351" s="3090"/>
      <c r="V351" s="3090" t="s">
        <v>295</v>
      </c>
      <c r="W351" s="3090" t="s">
        <v>6793</v>
      </c>
      <c r="X351" s="3090" t="s">
        <v>6796</v>
      </c>
      <c r="Y351" s="3091" t="s">
        <v>164</v>
      </c>
    </row>
    <row r="352" spans="1:25" ht="24" hidden="1">
      <c r="A352" s="1304"/>
      <c r="B352" s="643"/>
      <c r="C352" s="643" t="s">
        <v>2003</v>
      </c>
      <c r="D352" s="3075">
        <v>3</v>
      </c>
      <c r="E352" s="3076" t="str">
        <f t="shared" si="53"/>
        <v xml:space="preserve">        ----</v>
      </c>
      <c r="F352" s="3077" t="s">
        <v>2004</v>
      </c>
      <c r="G352" s="3078" t="str">
        <f t="shared" si="54"/>
        <v xml:space="preserve">        ----</v>
      </c>
      <c r="H352" s="3079" t="s">
        <v>6795</v>
      </c>
      <c r="I352" s="3081" t="s">
        <v>6799</v>
      </c>
      <c r="J352" s="3060"/>
      <c r="K352" s="3078" t="str">
        <f t="shared" si="55"/>
        <v xml:space="preserve">        ----</v>
      </c>
      <c r="L352" s="3059" t="s">
        <v>6795</v>
      </c>
      <c r="M352" s="3081" t="s">
        <v>6799</v>
      </c>
      <c r="N352" s="3060"/>
      <c r="O352" s="3087"/>
      <c r="P352" s="3088"/>
      <c r="Q352" s="3088"/>
      <c r="R352" s="3088"/>
      <c r="S352" s="3089" t="s">
        <v>295</v>
      </c>
      <c r="T352" s="3089" t="s">
        <v>213</v>
      </c>
      <c r="U352" s="3090"/>
      <c r="V352" s="3090" t="s">
        <v>295</v>
      </c>
      <c r="W352" s="3090" t="s">
        <v>6793</v>
      </c>
      <c r="X352" s="3090" t="s">
        <v>6794</v>
      </c>
      <c r="Y352" s="3091" t="s">
        <v>164</v>
      </c>
    </row>
    <row r="353" spans="1:25" ht="24" hidden="1">
      <c r="A353" s="1304"/>
      <c r="B353" s="643"/>
      <c r="C353" s="643" t="s">
        <v>2006</v>
      </c>
      <c r="D353" s="3075">
        <v>3</v>
      </c>
      <c r="E353" s="3076" t="str">
        <f t="shared" si="53"/>
        <v xml:space="preserve">        ----</v>
      </c>
      <c r="F353" s="3077" t="s">
        <v>2007</v>
      </c>
      <c r="G353" s="3078" t="str">
        <f t="shared" si="54"/>
        <v xml:space="preserve">        ----</v>
      </c>
      <c r="H353" s="3079" t="s">
        <v>6795</v>
      </c>
      <c r="I353" s="3081" t="s">
        <v>6799</v>
      </c>
      <c r="J353" s="3060"/>
      <c r="K353" s="3078" t="str">
        <f t="shared" si="55"/>
        <v xml:space="preserve">        ----</v>
      </c>
      <c r="L353" s="3059" t="s">
        <v>6795</v>
      </c>
      <c r="M353" s="3081" t="s">
        <v>6799</v>
      </c>
      <c r="N353" s="3060"/>
      <c r="O353" s="3087"/>
      <c r="P353" s="3088"/>
      <c r="Q353" s="3088"/>
      <c r="R353" s="3088"/>
      <c r="S353" s="3089" t="s">
        <v>295</v>
      </c>
      <c r="T353" s="3089" t="s">
        <v>213</v>
      </c>
      <c r="U353" s="3090"/>
      <c r="V353" s="3090" t="s">
        <v>295</v>
      </c>
      <c r="W353" s="3090" t="s">
        <v>6793</v>
      </c>
      <c r="X353" s="3090" t="s">
        <v>213</v>
      </c>
      <c r="Y353" s="3091" t="s">
        <v>164</v>
      </c>
    </row>
    <row r="354" spans="1:25" ht="36" hidden="1">
      <c r="A354" s="1304"/>
      <c r="B354" s="643"/>
      <c r="C354" s="643" t="s">
        <v>2012</v>
      </c>
      <c r="D354" s="3075">
        <v>3</v>
      </c>
      <c r="E354" s="3076" t="str">
        <f t="shared" si="53"/>
        <v xml:space="preserve">        ----</v>
      </c>
      <c r="F354" s="3077" t="s">
        <v>2013</v>
      </c>
      <c r="G354" s="3078" t="str">
        <f t="shared" si="54"/>
        <v xml:space="preserve">        ----</v>
      </c>
      <c r="H354" s="3079">
        <f t="shared" ref="H354:H368" ca="1" si="56">INDIRECT("Notes!CheckA"&amp;$C354)</f>
        <v>0</v>
      </c>
      <c r="I354" s="3081" t="s">
        <v>6799</v>
      </c>
      <c r="J354" s="3060"/>
      <c r="K354" s="3078" t="str">
        <f t="shared" si="55"/>
        <v xml:space="preserve">        ----</v>
      </c>
      <c r="L354" s="3059" t="s">
        <v>6795</v>
      </c>
      <c r="M354" s="3081" t="s">
        <v>6799</v>
      </c>
      <c r="N354" s="3060"/>
      <c r="O354" s="3087"/>
      <c r="P354" s="3088"/>
      <c r="Q354" s="3088"/>
      <c r="R354" s="3088"/>
      <c r="S354" s="3089" t="s">
        <v>295</v>
      </c>
      <c r="T354" s="3089" t="s">
        <v>213</v>
      </c>
      <c r="U354" s="3090"/>
      <c r="V354" s="3090" t="s">
        <v>295</v>
      </c>
      <c r="W354" s="3090" t="s">
        <v>6793</v>
      </c>
      <c r="X354" s="3090" t="s">
        <v>213</v>
      </c>
      <c r="Y354" s="3091" t="s">
        <v>164</v>
      </c>
    </row>
    <row r="355" spans="1:25" ht="48" hidden="1">
      <c r="A355" s="1304"/>
      <c r="B355" s="643"/>
      <c r="C355" s="643" t="s">
        <v>2015</v>
      </c>
      <c r="D355" s="3075">
        <v>3</v>
      </c>
      <c r="E355" s="3076" t="str">
        <f t="shared" si="53"/>
        <v xml:space="preserve">        ----</v>
      </c>
      <c r="F355" s="3077" t="s">
        <v>2016</v>
      </c>
      <c r="G355" s="3078" t="str">
        <f t="shared" si="54"/>
        <v xml:space="preserve">        ----</v>
      </c>
      <c r="H355" s="3079">
        <f t="shared" ca="1" si="56"/>
        <v>0</v>
      </c>
      <c r="I355" s="3081" t="s">
        <v>6799</v>
      </c>
      <c r="J355" s="3060"/>
      <c r="K355" s="3078" t="str">
        <f t="shared" si="55"/>
        <v xml:space="preserve">        ----</v>
      </c>
      <c r="L355" s="3059" t="s">
        <v>6795</v>
      </c>
      <c r="M355" s="3081" t="s">
        <v>6799</v>
      </c>
      <c r="N355" s="3060"/>
      <c r="O355" s="3087"/>
      <c r="P355" s="3088"/>
      <c r="Q355" s="3088"/>
      <c r="R355" s="3088"/>
      <c r="S355" s="3089" t="s">
        <v>295</v>
      </c>
      <c r="T355" s="3089" t="s">
        <v>213</v>
      </c>
      <c r="U355" s="3090"/>
      <c r="V355" s="3090" t="s">
        <v>295</v>
      </c>
      <c r="W355" s="3090" t="s">
        <v>6793</v>
      </c>
      <c r="X355" s="3090" t="s">
        <v>213</v>
      </c>
      <c r="Y355" s="3091" t="s">
        <v>164</v>
      </c>
    </row>
    <row r="356" spans="1:25" ht="36" hidden="1">
      <c r="A356" s="1304"/>
      <c r="B356" s="643"/>
      <c r="C356" s="643" t="s">
        <v>2018</v>
      </c>
      <c r="D356" s="3075">
        <v>3</v>
      </c>
      <c r="E356" s="3076" t="str">
        <f t="shared" si="53"/>
        <v xml:space="preserve">        ----</v>
      </c>
      <c r="F356" s="3077" t="s">
        <v>2019</v>
      </c>
      <c r="G356" s="3078" t="str">
        <f t="shared" si="54"/>
        <v xml:space="preserve">        ----</v>
      </c>
      <c r="H356" s="3079">
        <f t="shared" ca="1" si="56"/>
        <v>0</v>
      </c>
      <c r="I356" s="3081" t="s">
        <v>6799</v>
      </c>
      <c r="J356" s="3060"/>
      <c r="K356" s="3078" t="str">
        <f t="shared" si="55"/>
        <v xml:space="preserve">        ----</v>
      </c>
      <c r="L356" s="3059" t="s">
        <v>6795</v>
      </c>
      <c r="M356" s="3081" t="s">
        <v>6799</v>
      </c>
      <c r="N356" s="3060"/>
      <c r="O356" s="3087"/>
      <c r="P356" s="3088"/>
      <c r="Q356" s="3088"/>
      <c r="R356" s="3088"/>
      <c r="S356" s="3089" t="s">
        <v>295</v>
      </c>
      <c r="T356" s="3089" t="s">
        <v>213</v>
      </c>
      <c r="U356" s="3090"/>
      <c r="V356" s="3090" t="s">
        <v>295</v>
      </c>
      <c r="W356" s="3090" t="s">
        <v>6793</v>
      </c>
      <c r="X356" s="3090" t="s">
        <v>213</v>
      </c>
      <c r="Y356" s="3091" t="s">
        <v>164</v>
      </c>
    </row>
    <row r="357" spans="1:25" ht="36" hidden="1">
      <c r="A357" s="1304"/>
      <c r="B357" s="643"/>
      <c r="C357" s="643" t="s">
        <v>2022</v>
      </c>
      <c r="D357" s="3075">
        <v>3</v>
      </c>
      <c r="E357" s="3076" t="str">
        <f t="shared" si="53"/>
        <v xml:space="preserve">        ----</v>
      </c>
      <c r="F357" s="3077" t="s">
        <v>2023</v>
      </c>
      <c r="G357" s="3078" t="str">
        <f t="shared" si="54"/>
        <v xml:space="preserve">        ----</v>
      </c>
      <c r="H357" s="3079">
        <f t="shared" ca="1" si="56"/>
        <v>0</v>
      </c>
      <c r="I357" s="3081" t="s">
        <v>6799</v>
      </c>
      <c r="J357" s="3060"/>
      <c r="K357" s="3078" t="str">
        <f t="shared" si="55"/>
        <v xml:space="preserve">        ----</v>
      </c>
      <c r="L357" s="3059" t="s">
        <v>6795</v>
      </c>
      <c r="M357" s="3081" t="s">
        <v>6799</v>
      </c>
      <c r="N357" s="3060"/>
      <c r="O357" s="3087"/>
      <c r="P357" s="3088"/>
      <c r="Q357" s="3088"/>
      <c r="R357" s="3088"/>
      <c r="S357" s="3089" t="s">
        <v>295</v>
      </c>
      <c r="T357" s="3089" t="s">
        <v>213</v>
      </c>
      <c r="U357" s="3090"/>
      <c r="V357" s="3090" t="s">
        <v>295</v>
      </c>
      <c r="W357" s="3090" t="s">
        <v>6793</v>
      </c>
      <c r="X357" s="3090" t="s">
        <v>213</v>
      </c>
      <c r="Y357" s="3091" t="s">
        <v>164</v>
      </c>
    </row>
    <row r="358" spans="1:25" ht="48" hidden="1">
      <c r="A358" s="1304"/>
      <c r="B358" s="643"/>
      <c r="C358" s="643" t="s">
        <v>2026</v>
      </c>
      <c r="D358" s="3075">
        <v>3</v>
      </c>
      <c r="E358" s="3076" t="str">
        <f t="shared" si="53"/>
        <v xml:space="preserve">        ----</v>
      </c>
      <c r="F358" s="3077" t="s">
        <v>2027</v>
      </c>
      <c r="G358" s="3078" t="str">
        <f t="shared" si="54"/>
        <v xml:space="preserve">        ----</v>
      </c>
      <c r="H358" s="3079">
        <f t="shared" ca="1" si="56"/>
        <v>0</v>
      </c>
      <c r="I358" s="3081" t="s">
        <v>6799</v>
      </c>
      <c r="J358" s="3060"/>
      <c r="K358" s="3078" t="str">
        <f t="shared" si="55"/>
        <v xml:space="preserve">        ----</v>
      </c>
      <c r="L358" s="3059" t="s">
        <v>6795</v>
      </c>
      <c r="M358" s="3081" t="s">
        <v>6799</v>
      </c>
      <c r="N358" s="3060"/>
      <c r="O358" s="3087"/>
      <c r="P358" s="3088"/>
      <c r="Q358" s="3088"/>
      <c r="R358" s="3088"/>
      <c r="S358" s="3089" t="s">
        <v>295</v>
      </c>
      <c r="T358" s="3089" t="s">
        <v>213</v>
      </c>
      <c r="U358" s="3090"/>
      <c r="V358" s="3090" t="s">
        <v>295</v>
      </c>
      <c r="W358" s="3090" t="s">
        <v>6793</v>
      </c>
      <c r="X358" s="3090" t="s">
        <v>213</v>
      </c>
      <c r="Y358" s="3091" t="s">
        <v>164</v>
      </c>
    </row>
    <row r="359" spans="1:25" ht="36" hidden="1">
      <c r="A359" s="1304"/>
      <c r="B359" s="643"/>
      <c r="C359" s="643" t="s">
        <v>2030</v>
      </c>
      <c r="D359" s="3075">
        <v>3</v>
      </c>
      <c r="E359" s="3076" t="str">
        <f t="shared" si="53"/>
        <v xml:space="preserve">        ----</v>
      </c>
      <c r="F359" s="3077" t="s">
        <v>2031</v>
      </c>
      <c r="G359" s="3078" t="str">
        <f t="shared" si="54"/>
        <v xml:space="preserve">        ----</v>
      </c>
      <c r="H359" s="3079">
        <f t="shared" ca="1" si="56"/>
        <v>0</v>
      </c>
      <c r="I359" s="3081" t="s">
        <v>6799</v>
      </c>
      <c r="J359" s="3060"/>
      <c r="K359" s="3078" t="str">
        <f t="shared" si="55"/>
        <v xml:space="preserve">        ----</v>
      </c>
      <c r="L359" s="3059" t="s">
        <v>6795</v>
      </c>
      <c r="M359" s="3081" t="s">
        <v>6799</v>
      </c>
      <c r="N359" s="3060"/>
      <c r="O359" s="3087"/>
      <c r="P359" s="3088"/>
      <c r="Q359" s="3088"/>
      <c r="R359" s="3088"/>
      <c r="S359" s="3089" t="s">
        <v>295</v>
      </c>
      <c r="T359" s="3089" t="s">
        <v>213</v>
      </c>
      <c r="U359" s="3090"/>
      <c r="V359" s="3090" t="s">
        <v>295</v>
      </c>
      <c r="W359" s="3090" t="s">
        <v>6793</v>
      </c>
      <c r="X359" s="3090" t="s">
        <v>213</v>
      </c>
      <c r="Y359" s="3091" t="s">
        <v>164</v>
      </c>
    </row>
    <row r="360" spans="1:25" ht="36" hidden="1">
      <c r="A360" s="1304"/>
      <c r="B360" s="643"/>
      <c r="C360" s="643" t="s">
        <v>2035</v>
      </c>
      <c r="D360" s="3075">
        <v>3</v>
      </c>
      <c r="E360" s="3076" t="str">
        <f t="shared" si="53"/>
        <v xml:space="preserve">        ----</v>
      </c>
      <c r="F360" s="3077" t="s">
        <v>2036</v>
      </c>
      <c r="G360" s="3078" t="str">
        <f t="shared" si="54"/>
        <v xml:space="preserve">        ----</v>
      </c>
      <c r="H360" s="3079">
        <f t="shared" ca="1" si="56"/>
        <v>0</v>
      </c>
      <c r="I360" s="3081" t="s">
        <v>6799</v>
      </c>
      <c r="J360" s="3060"/>
      <c r="K360" s="3078" t="str">
        <f t="shared" si="55"/>
        <v xml:space="preserve">        ----</v>
      </c>
      <c r="L360" s="3059" t="s">
        <v>6795</v>
      </c>
      <c r="M360" s="3081" t="s">
        <v>6799</v>
      </c>
      <c r="N360" s="3060"/>
      <c r="O360" s="3087"/>
      <c r="P360" s="3088"/>
      <c r="Q360" s="3088"/>
      <c r="R360" s="3088"/>
      <c r="S360" s="3089" t="s">
        <v>295</v>
      </c>
      <c r="T360" s="3089" t="s">
        <v>213</v>
      </c>
      <c r="U360" s="3090"/>
      <c r="V360" s="3090" t="s">
        <v>295</v>
      </c>
      <c r="W360" s="3090" t="s">
        <v>6793</v>
      </c>
      <c r="X360" s="3090" t="s">
        <v>213</v>
      </c>
      <c r="Y360" s="3091" t="s">
        <v>164</v>
      </c>
    </row>
    <row r="361" spans="1:25" ht="36" hidden="1">
      <c r="A361" s="1304"/>
      <c r="B361" s="643"/>
      <c r="C361" s="643" t="s">
        <v>2038</v>
      </c>
      <c r="D361" s="3075">
        <v>3</v>
      </c>
      <c r="E361" s="3076" t="str">
        <f t="shared" si="53"/>
        <v xml:space="preserve">        ----</v>
      </c>
      <c r="F361" s="3077" t="s">
        <v>2039</v>
      </c>
      <c r="G361" s="3078" t="str">
        <f t="shared" si="54"/>
        <v xml:space="preserve">        ----</v>
      </c>
      <c r="H361" s="3079">
        <f t="shared" ca="1" si="56"/>
        <v>0</v>
      </c>
      <c r="I361" s="3081" t="s">
        <v>6799</v>
      </c>
      <c r="J361" s="3060"/>
      <c r="K361" s="3078" t="str">
        <f t="shared" si="55"/>
        <v xml:space="preserve">        ----</v>
      </c>
      <c r="L361" s="3059" t="s">
        <v>6795</v>
      </c>
      <c r="M361" s="3081" t="s">
        <v>6799</v>
      </c>
      <c r="N361" s="3060"/>
      <c r="O361" s="3087"/>
      <c r="P361" s="3088"/>
      <c r="Q361" s="3088"/>
      <c r="R361" s="3088"/>
      <c r="S361" s="3089" t="s">
        <v>295</v>
      </c>
      <c r="T361" s="3089" t="s">
        <v>213</v>
      </c>
      <c r="U361" s="3090"/>
      <c r="V361" s="3090" t="s">
        <v>295</v>
      </c>
      <c r="W361" s="3090" t="s">
        <v>6793</v>
      </c>
      <c r="X361" s="3090" t="s">
        <v>213</v>
      </c>
      <c r="Y361" s="3091" t="s">
        <v>164</v>
      </c>
    </row>
    <row r="362" spans="1:25" ht="24" hidden="1">
      <c r="A362" s="1304"/>
      <c r="B362" s="643"/>
      <c r="C362" s="643" t="s">
        <v>2042</v>
      </c>
      <c r="D362" s="3075">
        <v>3</v>
      </c>
      <c r="E362" s="3076" t="str">
        <f t="shared" si="53"/>
        <v xml:space="preserve">        ----</v>
      </c>
      <c r="F362" s="3077" t="s">
        <v>2043</v>
      </c>
      <c r="G362" s="3078" t="str">
        <f t="shared" si="54"/>
        <v xml:space="preserve">        ----</v>
      </c>
      <c r="H362" s="3079">
        <f t="shared" ca="1" si="56"/>
        <v>0</v>
      </c>
      <c r="I362" s="3081" t="s">
        <v>6799</v>
      </c>
      <c r="J362" s="3060"/>
      <c r="K362" s="3078" t="str">
        <f t="shared" si="55"/>
        <v xml:space="preserve">        ----</v>
      </c>
      <c r="L362" s="3059" t="s">
        <v>6795</v>
      </c>
      <c r="M362" s="3081" t="s">
        <v>6799</v>
      </c>
      <c r="N362" s="3060"/>
      <c r="O362" s="3087"/>
      <c r="P362" s="3088"/>
      <c r="Q362" s="3088"/>
      <c r="R362" s="3088"/>
      <c r="S362" s="3089" t="s">
        <v>295</v>
      </c>
      <c r="T362" s="3089" t="s">
        <v>213</v>
      </c>
      <c r="U362" s="3090"/>
      <c r="V362" s="3090" t="s">
        <v>295</v>
      </c>
      <c r="W362" s="3090" t="s">
        <v>6793</v>
      </c>
      <c r="X362" s="3090" t="s">
        <v>213</v>
      </c>
      <c r="Y362" s="3091" t="s">
        <v>164</v>
      </c>
    </row>
    <row r="363" spans="1:25" ht="36" hidden="1">
      <c r="A363" s="1304"/>
      <c r="B363" s="643"/>
      <c r="C363" s="643" t="s">
        <v>2045</v>
      </c>
      <c r="D363" s="3075">
        <v>3</v>
      </c>
      <c r="E363" s="3076" t="str">
        <f t="shared" si="53"/>
        <v xml:space="preserve">        ----</v>
      </c>
      <c r="F363" s="3077" t="s">
        <v>2046</v>
      </c>
      <c r="G363" s="3078" t="str">
        <f t="shared" si="54"/>
        <v xml:space="preserve">        ----</v>
      </c>
      <c r="H363" s="3079">
        <f t="shared" ca="1" si="56"/>
        <v>0</v>
      </c>
      <c r="I363" s="3081" t="s">
        <v>6799</v>
      </c>
      <c r="J363" s="3060"/>
      <c r="K363" s="3078" t="str">
        <f t="shared" si="55"/>
        <v xml:space="preserve">        ----</v>
      </c>
      <c r="L363" s="3059" t="s">
        <v>6795</v>
      </c>
      <c r="M363" s="3081" t="s">
        <v>6799</v>
      </c>
      <c r="N363" s="3060"/>
      <c r="O363" s="3087"/>
      <c r="P363" s="3088"/>
      <c r="Q363" s="3088"/>
      <c r="R363" s="3088"/>
      <c r="S363" s="3089" t="s">
        <v>295</v>
      </c>
      <c r="T363" s="3089" t="s">
        <v>213</v>
      </c>
      <c r="U363" s="3090"/>
      <c r="V363" s="3090" t="s">
        <v>295</v>
      </c>
      <c r="W363" s="3090" t="s">
        <v>6793</v>
      </c>
      <c r="X363" s="3090" t="s">
        <v>213</v>
      </c>
      <c r="Y363" s="3091" t="s">
        <v>164</v>
      </c>
    </row>
    <row r="364" spans="1:25" ht="36" hidden="1">
      <c r="A364" s="1304"/>
      <c r="B364" s="643"/>
      <c r="C364" s="643" t="s">
        <v>2048</v>
      </c>
      <c r="D364" s="3075">
        <v>3</v>
      </c>
      <c r="E364" s="3076" t="str">
        <f t="shared" si="53"/>
        <v xml:space="preserve">        ----</v>
      </c>
      <c r="F364" s="3077" t="s">
        <v>2049</v>
      </c>
      <c r="G364" s="3078" t="str">
        <f t="shared" si="54"/>
        <v xml:space="preserve">        ----</v>
      </c>
      <c r="H364" s="3079">
        <f t="shared" ca="1" si="56"/>
        <v>0</v>
      </c>
      <c r="I364" s="3081" t="s">
        <v>6799</v>
      </c>
      <c r="J364" s="3060"/>
      <c r="K364" s="3078" t="str">
        <f t="shared" si="55"/>
        <v xml:space="preserve">        ----</v>
      </c>
      <c r="L364" s="3059" t="s">
        <v>6795</v>
      </c>
      <c r="M364" s="3081" t="s">
        <v>6799</v>
      </c>
      <c r="N364" s="3060"/>
      <c r="O364" s="3087"/>
      <c r="P364" s="3088"/>
      <c r="Q364" s="3088"/>
      <c r="R364" s="3088"/>
      <c r="S364" s="3089" t="s">
        <v>295</v>
      </c>
      <c r="T364" s="3089" t="s">
        <v>213</v>
      </c>
      <c r="U364" s="3090"/>
      <c r="V364" s="3090" t="s">
        <v>295</v>
      </c>
      <c r="W364" s="3090" t="s">
        <v>6793</v>
      </c>
      <c r="X364" s="3090" t="s">
        <v>213</v>
      </c>
      <c r="Y364" s="3091" t="s">
        <v>164</v>
      </c>
    </row>
    <row r="365" spans="1:25" ht="36" hidden="1">
      <c r="A365" s="1304"/>
      <c r="B365" s="643"/>
      <c r="C365" s="643" t="s">
        <v>2051</v>
      </c>
      <c r="D365" s="3075">
        <v>3</v>
      </c>
      <c r="E365" s="3076" t="str">
        <f t="shared" si="53"/>
        <v xml:space="preserve">        ----</v>
      </c>
      <c r="F365" s="3077" t="s">
        <v>2052</v>
      </c>
      <c r="G365" s="3078" t="str">
        <f t="shared" si="54"/>
        <v xml:space="preserve">        ----</v>
      </c>
      <c r="H365" s="3079">
        <f t="shared" ca="1" si="56"/>
        <v>0</v>
      </c>
      <c r="I365" s="3081" t="s">
        <v>6799</v>
      </c>
      <c r="J365" s="3060"/>
      <c r="K365" s="3078" t="str">
        <f t="shared" si="55"/>
        <v xml:space="preserve">        ----</v>
      </c>
      <c r="L365" s="3059" t="s">
        <v>6795</v>
      </c>
      <c r="M365" s="3081" t="s">
        <v>6799</v>
      </c>
      <c r="N365" s="3060"/>
      <c r="O365" s="3087"/>
      <c r="P365" s="3088"/>
      <c r="Q365" s="3088"/>
      <c r="R365" s="3088"/>
      <c r="S365" s="3089" t="s">
        <v>295</v>
      </c>
      <c r="T365" s="3089" t="s">
        <v>213</v>
      </c>
      <c r="U365" s="3090"/>
      <c r="V365" s="3090" t="s">
        <v>295</v>
      </c>
      <c r="W365" s="3090" t="s">
        <v>6793</v>
      </c>
      <c r="X365" s="3090" t="s">
        <v>213</v>
      </c>
      <c r="Y365" s="3091" t="s">
        <v>164</v>
      </c>
    </row>
    <row r="366" spans="1:25" ht="36" hidden="1">
      <c r="A366" s="1304"/>
      <c r="B366" s="643"/>
      <c r="C366" s="643" t="s">
        <v>2055</v>
      </c>
      <c r="D366" s="3075">
        <v>3</v>
      </c>
      <c r="E366" s="3076" t="str">
        <f t="shared" si="53"/>
        <v xml:space="preserve">        ----</v>
      </c>
      <c r="F366" s="3077" t="s">
        <v>2056</v>
      </c>
      <c r="G366" s="3078" t="str">
        <f t="shared" si="54"/>
        <v xml:space="preserve">        ----</v>
      </c>
      <c r="H366" s="3079">
        <f t="shared" ca="1" si="56"/>
        <v>0</v>
      </c>
      <c r="I366" s="3081" t="s">
        <v>6799</v>
      </c>
      <c r="J366" s="3060"/>
      <c r="K366" s="3078" t="str">
        <f t="shared" si="55"/>
        <v xml:space="preserve">        ----</v>
      </c>
      <c r="L366" s="3059" t="s">
        <v>6795</v>
      </c>
      <c r="M366" s="3081" t="s">
        <v>6799</v>
      </c>
      <c r="N366" s="3060"/>
      <c r="O366" s="3087"/>
      <c r="P366" s="3088"/>
      <c r="Q366" s="3088"/>
      <c r="R366" s="3088"/>
      <c r="S366" s="3089" t="s">
        <v>295</v>
      </c>
      <c r="T366" s="3089" t="s">
        <v>213</v>
      </c>
      <c r="U366" s="3090"/>
      <c r="V366" s="3090" t="s">
        <v>295</v>
      </c>
      <c r="W366" s="3090" t="s">
        <v>6793</v>
      </c>
      <c r="X366" s="3090" t="s">
        <v>213</v>
      </c>
      <c r="Y366" s="3091" t="s">
        <v>164</v>
      </c>
    </row>
    <row r="367" spans="1:25" ht="36" hidden="1">
      <c r="A367" s="1304"/>
      <c r="B367" s="643"/>
      <c r="C367" s="643" t="s">
        <v>2058</v>
      </c>
      <c r="D367" s="3075">
        <v>3</v>
      </c>
      <c r="E367" s="3076" t="str">
        <f t="shared" si="53"/>
        <v xml:space="preserve">        ----</v>
      </c>
      <c r="F367" s="3077" t="s">
        <v>2059</v>
      </c>
      <c r="G367" s="3078" t="str">
        <f t="shared" si="54"/>
        <v xml:space="preserve">        ----</v>
      </c>
      <c r="H367" s="3079">
        <f t="shared" ca="1" si="56"/>
        <v>0</v>
      </c>
      <c r="I367" s="3081" t="s">
        <v>6799</v>
      </c>
      <c r="J367" s="3060"/>
      <c r="K367" s="3078" t="str">
        <f t="shared" si="55"/>
        <v xml:space="preserve">        ----</v>
      </c>
      <c r="L367" s="3059" t="s">
        <v>6795</v>
      </c>
      <c r="M367" s="3081" t="s">
        <v>6799</v>
      </c>
      <c r="N367" s="3060"/>
      <c r="O367" s="3087"/>
      <c r="P367" s="3088"/>
      <c r="Q367" s="3088"/>
      <c r="R367" s="3088"/>
      <c r="S367" s="3089" t="s">
        <v>295</v>
      </c>
      <c r="T367" s="3089" t="s">
        <v>213</v>
      </c>
      <c r="U367" s="3090"/>
      <c r="V367" s="3090" t="s">
        <v>295</v>
      </c>
      <c r="W367" s="3090" t="s">
        <v>6793</v>
      </c>
      <c r="X367" s="3090" t="s">
        <v>213</v>
      </c>
      <c r="Y367" s="3091" t="s">
        <v>164</v>
      </c>
    </row>
    <row r="368" spans="1:25" ht="24" hidden="1">
      <c r="A368" s="1304"/>
      <c r="B368" s="643"/>
      <c r="C368" s="643" t="s">
        <v>2061</v>
      </c>
      <c r="D368" s="3075">
        <v>3</v>
      </c>
      <c r="E368" s="3076" t="str">
        <f t="shared" si="53"/>
        <v xml:space="preserve">        ----</v>
      </c>
      <c r="F368" s="3077" t="s">
        <v>2062</v>
      </c>
      <c r="G368" s="3078" t="str">
        <f t="shared" si="54"/>
        <v xml:space="preserve">        ----</v>
      </c>
      <c r="H368" s="3079">
        <f t="shared" ca="1" si="56"/>
        <v>0</v>
      </c>
      <c r="I368" s="3081" t="s">
        <v>6799</v>
      </c>
      <c r="J368" s="3060"/>
      <c r="K368" s="3078" t="str">
        <f t="shared" si="55"/>
        <v xml:space="preserve">        ----</v>
      </c>
      <c r="L368" s="3059" t="s">
        <v>6795</v>
      </c>
      <c r="M368" s="3081" t="s">
        <v>6799</v>
      </c>
      <c r="N368" s="3060"/>
      <c r="O368" s="3087"/>
      <c r="P368" s="3088"/>
      <c r="Q368" s="3088"/>
      <c r="R368" s="3088"/>
      <c r="S368" s="3089" t="s">
        <v>295</v>
      </c>
      <c r="T368" s="3089" t="s">
        <v>213</v>
      </c>
      <c r="U368" s="3090"/>
      <c r="V368" s="3090" t="s">
        <v>295</v>
      </c>
      <c r="W368" s="3090" t="s">
        <v>6793</v>
      </c>
      <c r="X368" s="3090" t="s">
        <v>213</v>
      </c>
      <c r="Y368" s="3091" t="s">
        <v>164</v>
      </c>
    </row>
    <row r="369" spans="1:25" ht="24" hidden="1">
      <c r="A369" s="1304"/>
      <c r="B369" s="643"/>
      <c r="C369" s="643" t="s">
        <v>2100</v>
      </c>
      <c r="D369" s="3075">
        <v>3</v>
      </c>
      <c r="E369" s="3076" t="str">
        <f t="shared" si="53"/>
        <v xml:space="preserve">        ----</v>
      </c>
      <c r="F369" s="3077" t="s">
        <v>887</v>
      </c>
      <c r="G369" s="3078" t="str">
        <f t="shared" si="54"/>
        <v xml:space="preserve">        ----</v>
      </c>
      <c r="H369" s="3079" t="s">
        <v>6795</v>
      </c>
      <c r="I369" s="3081" t="s">
        <v>6799</v>
      </c>
      <c r="J369" s="3060"/>
      <c r="K369" s="3078" t="str">
        <f t="shared" si="55"/>
        <v xml:space="preserve">        ----</v>
      </c>
      <c r="L369" s="3059" t="s">
        <v>6795</v>
      </c>
      <c r="M369" s="3081" t="s">
        <v>6799</v>
      </c>
      <c r="N369" s="3060"/>
      <c r="O369" s="3087"/>
      <c r="P369" s="3088"/>
      <c r="Q369" s="3088"/>
      <c r="R369" s="3088"/>
      <c r="S369" s="3089" t="s">
        <v>295</v>
      </c>
      <c r="T369" s="3089" t="s">
        <v>213</v>
      </c>
      <c r="U369" s="3090"/>
      <c r="V369" s="3090" t="s">
        <v>295</v>
      </c>
      <c r="W369" s="3090" t="s">
        <v>6793</v>
      </c>
      <c r="X369" s="3090" t="s">
        <v>6794</v>
      </c>
      <c r="Y369" s="3091" t="s">
        <v>164</v>
      </c>
    </row>
    <row r="370" spans="1:25" ht="24" hidden="1">
      <c r="A370" s="1304"/>
      <c r="B370" s="643"/>
      <c r="C370" s="643" t="s">
        <v>1351</v>
      </c>
      <c r="D370" s="3075">
        <v>3</v>
      </c>
      <c r="E370" s="3076" t="str">
        <f t="shared" si="53"/>
        <v xml:space="preserve">        ----</v>
      </c>
      <c r="F370" s="3077" t="s">
        <v>1352</v>
      </c>
      <c r="G370" s="3078" t="str">
        <f t="shared" si="54"/>
        <v xml:space="preserve">        ----</v>
      </c>
      <c r="H370" s="3079" t="s">
        <v>6795</v>
      </c>
      <c r="I370" s="3081" t="s">
        <v>6799</v>
      </c>
      <c r="J370" s="3060"/>
      <c r="K370" s="3078" t="str">
        <f t="shared" si="55"/>
        <v xml:space="preserve">        ----</v>
      </c>
      <c r="L370" s="3059" t="s">
        <v>6795</v>
      </c>
      <c r="M370" s="3081" t="s">
        <v>6799</v>
      </c>
      <c r="N370" s="3060"/>
      <c r="O370" s="3087"/>
      <c r="P370" s="3088"/>
      <c r="Q370" s="3088"/>
      <c r="R370" s="3088"/>
      <c r="S370" s="3089" t="s">
        <v>295</v>
      </c>
      <c r="T370" s="3089" t="s">
        <v>213</v>
      </c>
      <c r="U370" s="3090"/>
      <c r="V370" s="3090" t="s">
        <v>295</v>
      </c>
      <c r="W370" s="3090" t="s">
        <v>6793</v>
      </c>
      <c r="X370" s="3090" t="s">
        <v>6794</v>
      </c>
      <c r="Y370" s="3091" t="s">
        <v>164</v>
      </c>
    </row>
    <row r="371" spans="1:25" ht="18" hidden="1">
      <c r="A371" s="1304"/>
      <c r="B371" s="643"/>
      <c r="C371" s="643" t="s">
        <v>1347</v>
      </c>
      <c r="D371" s="3075">
        <v>3</v>
      </c>
      <c r="E371" s="3076" t="str">
        <f t="shared" si="53"/>
        <v xml:space="preserve">        ----</v>
      </c>
      <c r="F371" s="3077" t="s">
        <v>6459</v>
      </c>
      <c r="G371" s="3078" t="str">
        <f t="shared" si="54"/>
        <v xml:space="preserve">        ----</v>
      </c>
      <c r="H371" s="3079" t="s">
        <v>6795</v>
      </c>
      <c r="I371" s="3081" t="s">
        <v>6799</v>
      </c>
      <c r="J371" s="3060"/>
      <c r="K371" s="3078" t="str">
        <f t="shared" si="55"/>
        <v xml:space="preserve">        ----</v>
      </c>
      <c r="L371" s="3059" t="s">
        <v>6795</v>
      </c>
      <c r="M371" s="3081" t="s">
        <v>6799</v>
      </c>
      <c r="N371" s="3060"/>
      <c r="O371" s="3087"/>
      <c r="P371" s="3088"/>
      <c r="Q371" s="3088"/>
      <c r="R371" s="3088"/>
      <c r="S371" s="3089" t="s">
        <v>295</v>
      </c>
      <c r="T371" s="3089" t="s">
        <v>213</v>
      </c>
      <c r="U371" s="3090"/>
      <c r="V371" s="3090" t="s">
        <v>295</v>
      </c>
      <c r="W371" s="3090" t="s">
        <v>6793</v>
      </c>
      <c r="X371" s="3090" t="s">
        <v>6796</v>
      </c>
      <c r="Y371" s="3091" t="s">
        <v>164</v>
      </c>
    </row>
    <row r="372" spans="1:25" ht="18" hidden="1">
      <c r="A372" s="1304"/>
      <c r="B372" s="643"/>
      <c r="C372" s="643" t="s">
        <v>2156</v>
      </c>
      <c r="D372" s="3075">
        <v>3</v>
      </c>
      <c r="E372" s="3076" t="str">
        <f t="shared" si="53"/>
        <v xml:space="preserve">        ----</v>
      </c>
      <c r="F372" s="3077" t="s">
        <v>2157</v>
      </c>
      <c r="G372" s="3078" t="str">
        <f t="shared" si="54"/>
        <v xml:space="preserve">        ----</v>
      </c>
      <c r="H372" s="3079">
        <f t="shared" ref="H372:H380" ca="1" si="57">INDIRECT("Notes!CheckA"&amp;$C372)</f>
        <v>0</v>
      </c>
      <c r="I372" s="3081" t="s">
        <v>6799</v>
      </c>
      <c r="J372" s="3060"/>
      <c r="K372" s="3078" t="str">
        <f t="shared" si="55"/>
        <v xml:space="preserve">        ----</v>
      </c>
      <c r="L372" s="3059">
        <f t="shared" ref="L372:L380" ca="1" si="58">INDIRECT("Notes!CheckB"&amp;$C372)</f>
        <v>0</v>
      </c>
      <c r="M372" s="3081" t="s">
        <v>6799</v>
      </c>
      <c r="N372" s="3060"/>
      <c r="O372" s="3087"/>
      <c r="P372" s="3088"/>
      <c r="Q372" s="3088"/>
      <c r="R372" s="3088"/>
      <c r="S372" s="3089" t="s">
        <v>295</v>
      </c>
      <c r="T372" s="3089" t="s">
        <v>213</v>
      </c>
      <c r="U372" s="3090"/>
      <c r="V372" s="3090" t="s">
        <v>295</v>
      </c>
      <c r="W372" s="3090" t="s">
        <v>6793</v>
      </c>
      <c r="X372" s="3090" t="s">
        <v>6794</v>
      </c>
      <c r="Y372" s="3091" t="s">
        <v>164</v>
      </c>
    </row>
    <row r="373" spans="1:25" ht="18" hidden="1">
      <c r="A373" s="1304"/>
      <c r="B373" s="643"/>
      <c r="C373" s="643" t="s">
        <v>2176</v>
      </c>
      <c r="D373" s="3075">
        <v>3</v>
      </c>
      <c r="E373" s="3076" t="str">
        <f t="shared" si="53"/>
        <v xml:space="preserve">        ----</v>
      </c>
      <c r="F373" s="3077" t="s">
        <v>2177</v>
      </c>
      <c r="G373" s="3078" t="str">
        <f t="shared" si="54"/>
        <v xml:space="preserve">        ----</v>
      </c>
      <c r="H373" s="3079">
        <f t="shared" ca="1" si="57"/>
        <v>0</v>
      </c>
      <c r="I373" s="3081" t="s">
        <v>6799</v>
      </c>
      <c r="J373" s="3060"/>
      <c r="K373" s="3078" t="str">
        <f t="shared" si="55"/>
        <v xml:space="preserve">        ----</v>
      </c>
      <c r="L373" s="3059">
        <f t="shared" ca="1" si="58"/>
        <v>0</v>
      </c>
      <c r="M373" s="3081" t="s">
        <v>6799</v>
      </c>
      <c r="N373" s="3060"/>
      <c r="O373" s="3087"/>
      <c r="P373" s="3088"/>
      <c r="Q373" s="3088"/>
      <c r="R373" s="3088"/>
      <c r="S373" s="3089" t="s">
        <v>295</v>
      </c>
      <c r="T373" s="3089" t="s">
        <v>213</v>
      </c>
      <c r="U373" s="3090"/>
      <c r="V373" s="3090" t="s">
        <v>295</v>
      </c>
      <c r="W373" s="3090" t="s">
        <v>6793</v>
      </c>
      <c r="X373" s="3090" t="s">
        <v>6794</v>
      </c>
      <c r="Y373" s="3091" t="s">
        <v>164</v>
      </c>
    </row>
    <row r="374" spans="1:25" ht="18" hidden="1">
      <c r="A374" s="1304"/>
      <c r="B374" s="643"/>
      <c r="C374" s="643" t="s">
        <v>2178</v>
      </c>
      <c r="D374" s="3075">
        <v>3</v>
      </c>
      <c r="E374" s="3076" t="str">
        <f t="shared" si="53"/>
        <v xml:space="preserve">        ----</v>
      </c>
      <c r="F374" s="3077" t="s">
        <v>2179</v>
      </c>
      <c r="G374" s="3078" t="str">
        <f t="shared" si="54"/>
        <v xml:space="preserve">        ----</v>
      </c>
      <c r="H374" s="3079">
        <f t="shared" ca="1" si="57"/>
        <v>0</v>
      </c>
      <c r="I374" s="3081" t="s">
        <v>6799</v>
      </c>
      <c r="J374" s="3060"/>
      <c r="K374" s="3078" t="str">
        <f t="shared" si="55"/>
        <v xml:space="preserve">        ----</v>
      </c>
      <c r="L374" s="3059">
        <f t="shared" ca="1" si="58"/>
        <v>0</v>
      </c>
      <c r="M374" s="3081" t="s">
        <v>6799</v>
      </c>
      <c r="N374" s="3060"/>
      <c r="O374" s="3087"/>
      <c r="P374" s="3088"/>
      <c r="Q374" s="3088"/>
      <c r="R374" s="3088"/>
      <c r="S374" s="3089" t="s">
        <v>295</v>
      </c>
      <c r="T374" s="3089" t="s">
        <v>213</v>
      </c>
      <c r="U374" s="3090"/>
      <c r="V374" s="3090" t="s">
        <v>295</v>
      </c>
      <c r="W374" s="3090" t="s">
        <v>6793</v>
      </c>
      <c r="X374" s="3090" t="s">
        <v>6794</v>
      </c>
      <c r="Y374" s="3091" t="s">
        <v>164</v>
      </c>
    </row>
    <row r="375" spans="1:25" ht="24" hidden="1">
      <c r="A375" s="1304"/>
      <c r="B375" s="643"/>
      <c r="C375" s="643" t="s">
        <v>2111</v>
      </c>
      <c r="D375" s="3075">
        <v>3</v>
      </c>
      <c r="E375" s="3076" t="str">
        <f t="shared" si="53"/>
        <v xml:space="preserve">        ----</v>
      </c>
      <c r="F375" s="3077" t="s">
        <v>2112</v>
      </c>
      <c r="G375" s="3078" t="str">
        <f t="shared" si="54"/>
        <v xml:space="preserve">        ----</v>
      </c>
      <c r="H375" s="3079">
        <f t="shared" ca="1" si="57"/>
        <v>0</v>
      </c>
      <c r="I375" s="3081" t="s">
        <v>6799</v>
      </c>
      <c r="J375" s="3060"/>
      <c r="K375" s="3078" t="str">
        <f t="shared" si="55"/>
        <v xml:space="preserve">        ----</v>
      </c>
      <c r="L375" s="3059">
        <f t="shared" ca="1" si="58"/>
        <v>0</v>
      </c>
      <c r="M375" s="3081" t="s">
        <v>6799</v>
      </c>
      <c r="N375" s="3060"/>
      <c r="O375" s="3087"/>
      <c r="P375" s="3088"/>
      <c r="Q375" s="3088"/>
      <c r="R375" s="3088"/>
      <c r="S375" s="3089" t="s">
        <v>295</v>
      </c>
      <c r="T375" s="3089" t="s">
        <v>213</v>
      </c>
      <c r="U375" s="3090"/>
      <c r="V375" s="3090" t="s">
        <v>295</v>
      </c>
      <c r="W375" s="3090" t="s">
        <v>6793</v>
      </c>
      <c r="X375" s="3090" t="s">
        <v>6794</v>
      </c>
      <c r="Y375" s="3091" t="s">
        <v>119</v>
      </c>
    </row>
    <row r="376" spans="1:25" ht="24" hidden="1">
      <c r="A376" s="1304"/>
      <c r="B376" s="643"/>
      <c r="C376" s="643" t="s">
        <v>2113</v>
      </c>
      <c r="D376" s="3075">
        <v>3</v>
      </c>
      <c r="E376" s="3076" t="str">
        <f t="shared" si="53"/>
        <v xml:space="preserve">        ----</v>
      </c>
      <c r="F376" s="3077" t="s">
        <v>2114</v>
      </c>
      <c r="G376" s="3078" t="str">
        <f t="shared" si="54"/>
        <v xml:space="preserve">        ----</v>
      </c>
      <c r="H376" s="3079">
        <f t="shared" ca="1" si="57"/>
        <v>0</v>
      </c>
      <c r="I376" s="3081" t="s">
        <v>6799</v>
      </c>
      <c r="J376" s="3060"/>
      <c r="K376" s="3078" t="str">
        <f t="shared" si="55"/>
        <v xml:space="preserve">        ----</v>
      </c>
      <c r="L376" s="3059">
        <f t="shared" ca="1" si="58"/>
        <v>0</v>
      </c>
      <c r="M376" s="3081" t="s">
        <v>6799</v>
      </c>
      <c r="N376" s="3060"/>
      <c r="O376" s="3087"/>
      <c r="P376" s="3088"/>
      <c r="Q376" s="3088"/>
      <c r="R376" s="3088"/>
      <c r="S376" s="3089" t="s">
        <v>295</v>
      </c>
      <c r="T376" s="3089" t="s">
        <v>213</v>
      </c>
      <c r="U376" s="3090"/>
      <c r="V376" s="3090" t="s">
        <v>295</v>
      </c>
      <c r="W376" s="3090" t="s">
        <v>6793</v>
      </c>
      <c r="X376" s="3090" t="s">
        <v>6794</v>
      </c>
      <c r="Y376" s="3091" t="s">
        <v>119</v>
      </c>
    </row>
    <row r="377" spans="1:25" ht="24" hidden="1">
      <c r="A377" s="1304"/>
      <c r="B377" s="643"/>
      <c r="C377" s="643" t="s">
        <v>2115</v>
      </c>
      <c r="D377" s="3075">
        <v>3</v>
      </c>
      <c r="E377" s="3076" t="str">
        <f t="shared" si="53"/>
        <v xml:space="preserve">        ----</v>
      </c>
      <c r="F377" s="3077" t="s">
        <v>2116</v>
      </c>
      <c r="G377" s="3078" t="str">
        <f t="shared" si="54"/>
        <v xml:space="preserve">        ----</v>
      </c>
      <c r="H377" s="3079">
        <f t="shared" ca="1" si="57"/>
        <v>0</v>
      </c>
      <c r="I377" s="3081" t="s">
        <v>6799</v>
      </c>
      <c r="J377" s="3060"/>
      <c r="K377" s="3078" t="str">
        <f t="shared" si="55"/>
        <v xml:space="preserve">        ----</v>
      </c>
      <c r="L377" s="3059">
        <f t="shared" ca="1" si="58"/>
        <v>0</v>
      </c>
      <c r="M377" s="3081" t="s">
        <v>6799</v>
      </c>
      <c r="N377" s="3060"/>
      <c r="O377" s="3087"/>
      <c r="P377" s="3088"/>
      <c r="Q377" s="3088"/>
      <c r="R377" s="3088"/>
      <c r="S377" s="3089" t="s">
        <v>295</v>
      </c>
      <c r="T377" s="3089" t="s">
        <v>213</v>
      </c>
      <c r="U377" s="3090"/>
      <c r="V377" s="3090" t="s">
        <v>295</v>
      </c>
      <c r="W377" s="3090" t="s">
        <v>6793</v>
      </c>
      <c r="X377" s="3090" t="s">
        <v>6794</v>
      </c>
      <c r="Y377" s="3091" t="s">
        <v>119</v>
      </c>
    </row>
    <row r="378" spans="1:25" ht="24" hidden="1">
      <c r="A378" s="1304"/>
      <c r="B378" s="643"/>
      <c r="C378" s="643" t="s">
        <v>2117</v>
      </c>
      <c r="D378" s="3075">
        <v>3</v>
      </c>
      <c r="E378" s="3076" t="str">
        <f t="shared" si="53"/>
        <v xml:space="preserve">        ----</v>
      </c>
      <c r="F378" s="3077" t="s">
        <v>2118</v>
      </c>
      <c r="G378" s="3078" t="str">
        <f t="shared" si="54"/>
        <v xml:space="preserve">        ----</v>
      </c>
      <c r="H378" s="3079">
        <f t="shared" ca="1" si="57"/>
        <v>0</v>
      </c>
      <c r="I378" s="3081" t="s">
        <v>6799</v>
      </c>
      <c r="J378" s="3060"/>
      <c r="K378" s="3078" t="str">
        <f t="shared" si="55"/>
        <v xml:space="preserve">        ----</v>
      </c>
      <c r="L378" s="3059">
        <f t="shared" ca="1" si="58"/>
        <v>0</v>
      </c>
      <c r="M378" s="3081" t="s">
        <v>6799</v>
      </c>
      <c r="N378" s="3060"/>
      <c r="O378" s="3087"/>
      <c r="P378" s="3088"/>
      <c r="Q378" s="3088"/>
      <c r="R378" s="3088"/>
      <c r="S378" s="3089" t="s">
        <v>295</v>
      </c>
      <c r="T378" s="3089" t="s">
        <v>213</v>
      </c>
      <c r="U378" s="3090"/>
      <c r="V378" s="3090" t="s">
        <v>295</v>
      </c>
      <c r="W378" s="3090" t="s">
        <v>6793</v>
      </c>
      <c r="X378" s="3090" t="s">
        <v>6794</v>
      </c>
      <c r="Y378" s="3091" t="s">
        <v>119</v>
      </c>
    </row>
    <row r="379" spans="1:25" ht="36" hidden="1">
      <c r="A379" s="1304"/>
      <c r="B379" s="643"/>
      <c r="C379" s="643" t="s">
        <v>2120</v>
      </c>
      <c r="D379" s="3075">
        <v>3</v>
      </c>
      <c r="E379" s="3076" t="str">
        <f t="shared" si="53"/>
        <v xml:space="preserve">        ----</v>
      </c>
      <c r="F379" s="3077" t="s">
        <v>2121</v>
      </c>
      <c r="G379" s="3078" t="str">
        <f t="shared" si="54"/>
        <v xml:space="preserve">        ----</v>
      </c>
      <c r="H379" s="3079">
        <f t="shared" ca="1" si="57"/>
        <v>0</v>
      </c>
      <c r="I379" s="3081" t="s">
        <v>6799</v>
      </c>
      <c r="J379" s="3060"/>
      <c r="K379" s="3078" t="str">
        <f t="shared" si="55"/>
        <v xml:space="preserve">        ----</v>
      </c>
      <c r="L379" s="3059">
        <f t="shared" ca="1" si="58"/>
        <v>0</v>
      </c>
      <c r="M379" s="3081" t="s">
        <v>6799</v>
      </c>
      <c r="N379" s="3060"/>
      <c r="O379" s="3087"/>
      <c r="P379" s="3088"/>
      <c r="Q379" s="3088"/>
      <c r="R379" s="3088"/>
      <c r="S379" s="3089" t="s">
        <v>295</v>
      </c>
      <c r="T379" s="3089" t="s">
        <v>213</v>
      </c>
      <c r="U379" s="3090"/>
      <c r="V379" s="3090" t="s">
        <v>295</v>
      </c>
      <c r="W379" s="3090" t="s">
        <v>6793</v>
      </c>
      <c r="X379" s="3090" t="s">
        <v>6794</v>
      </c>
      <c r="Y379" s="3091" t="s">
        <v>119</v>
      </c>
    </row>
    <row r="380" spans="1:25" ht="36" hidden="1">
      <c r="A380" s="1304"/>
      <c r="B380" s="643"/>
      <c r="C380" s="643" t="s">
        <v>2125</v>
      </c>
      <c r="D380" s="3075">
        <v>3</v>
      </c>
      <c r="E380" s="3076" t="str">
        <f t="shared" si="53"/>
        <v xml:space="preserve">        ----</v>
      </c>
      <c r="F380" s="3077" t="s">
        <v>2126</v>
      </c>
      <c r="G380" s="3078" t="str">
        <f t="shared" si="54"/>
        <v xml:space="preserve">        ----</v>
      </c>
      <c r="H380" s="3079">
        <f t="shared" ca="1" si="57"/>
        <v>0</v>
      </c>
      <c r="I380" s="3081" t="s">
        <v>6799</v>
      </c>
      <c r="J380" s="3060"/>
      <c r="K380" s="3078" t="str">
        <f t="shared" si="55"/>
        <v xml:space="preserve">        ----</v>
      </c>
      <c r="L380" s="3059">
        <f t="shared" ca="1" si="58"/>
        <v>0</v>
      </c>
      <c r="M380" s="3081" t="s">
        <v>6799</v>
      </c>
      <c r="N380" s="3060"/>
      <c r="O380" s="3087"/>
      <c r="P380" s="3088"/>
      <c r="Q380" s="3088"/>
      <c r="R380" s="3088"/>
      <c r="S380" s="3089" t="s">
        <v>295</v>
      </c>
      <c r="T380" s="3089" t="s">
        <v>213</v>
      </c>
      <c r="U380" s="3090"/>
      <c r="V380" s="3090" t="s">
        <v>295</v>
      </c>
      <c r="W380" s="3090" t="s">
        <v>6793</v>
      </c>
      <c r="X380" s="3090" t="s">
        <v>6794</v>
      </c>
      <c r="Y380" s="3091" t="s">
        <v>119</v>
      </c>
    </row>
    <row r="381" spans="1:25" ht="24" hidden="1">
      <c r="A381" s="1304"/>
      <c r="B381" s="643"/>
      <c r="C381" s="643" t="s">
        <v>2127</v>
      </c>
      <c r="D381" s="3075">
        <v>3</v>
      </c>
      <c r="E381" s="3076" t="str">
        <f t="shared" si="53"/>
        <v xml:space="preserve">        ----</v>
      </c>
      <c r="F381" s="3077" t="s">
        <v>2128</v>
      </c>
      <c r="G381" s="3078" t="str">
        <f t="shared" si="54"/>
        <v xml:space="preserve">        ----</v>
      </c>
      <c r="H381" s="3079" t="s">
        <v>6795</v>
      </c>
      <c r="I381" s="3081" t="s">
        <v>6799</v>
      </c>
      <c r="J381" s="3060"/>
      <c r="K381" s="3078" t="str">
        <f t="shared" si="55"/>
        <v xml:space="preserve">        ----</v>
      </c>
      <c r="L381" s="3059" t="s">
        <v>6795</v>
      </c>
      <c r="M381" s="3081" t="s">
        <v>6799</v>
      </c>
      <c r="N381" s="3060"/>
      <c r="O381" s="3087"/>
      <c r="P381" s="3088"/>
      <c r="Q381" s="3088"/>
      <c r="R381" s="3088"/>
      <c r="S381" s="3089" t="s">
        <v>295</v>
      </c>
      <c r="T381" s="3089" t="s">
        <v>213</v>
      </c>
      <c r="U381" s="3090"/>
      <c r="V381" s="3090" t="s">
        <v>295</v>
      </c>
      <c r="W381" s="3090" t="s">
        <v>145</v>
      </c>
      <c r="X381" s="3090" t="s">
        <v>6796</v>
      </c>
      <c r="Y381" s="3091" t="s">
        <v>119</v>
      </c>
    </row>
    <row r="382" spans="1:25" ht="48" hidden="1">
      <c r="A382" s="1304"/>
      <c r="B382" s="643"/>
      <c r="C382" s="643" t="s">
        <v>2149</v>
      </c>
      <c r="D382" s="3075">
        <v>3</v>
      </c>
      <c r="E382" s="3076" t="str">
        <f t="shared" si="53"/>
        <v xml:space="preserve">        ----</v>
      </c>
      <c r="F382" s="3077" t="s">
        <v>2159</v>
      </c>
      <c r="G382" s="3078" t="str">
        <f t="shared" si="54"/>
        <v xml:space="preserve">        ----</v>
      </c>
      <c r="H382" s="3079">
        <f ca="1">INDIRECT("Notes!CheckA"&amp;$C382)</f>
        <v>0</v>
      </c>
      <c r="I382" s="3081" t="s">
        <v>6799</v>
      </c>
      <c r="J382" s="3060"/>
      <c r="K382" s="3078" t="str">
        <f t="shared" si="55"/>
        <v xml:space="preserve">        ----</v>
      </c>
      <c r="L382" s="3059" t="s">
        <v>6795</v>
      </c>
      <c r="M382" s="3081" t="s">
        <v>6799</v>
      </c>
      <c r="N382" s="3060"/>
      <c r="O382" s="3087"/>
      <c r="P382" s="3088"/>
      <c r="Q382" s="3088"/>
      <c r="R382" s="3088"/>
      <c r="S382" s="3089" t="s">
        <v>295</v>
      </c>
      <c r="T382" s="3089" t="s">
        <v>213</v>
      </c>
      <c r="U382" s="3090"/>
      <c r="V382" s="3090" t="s">
        <v>295</v>
      </c>
      <c r="W382" s="3090" t="s">
        <v>6793</v>
      </c>
      <c r="X382" s="3090" t="s">
        <v>6796</v>
      </c>
      <c r="Y382" s="3091" t="s">
        <v>164</v>
      </c>
    </row>
    <row r="383" spans="1:25" ht="48" hidden="1">
      <c r="A383" s="1304"/>
      <c r="B383" s="643"/>
      <c r="C383" s="643" t="s">
        <v>2160</v>
      </c>
      <c r="D383" s="3075">
        <v>3</v>
      </c>
      <c r="E383" s="3076" t="str">
        <f t="shared" si="53"/>
        <v xml:space="preserve">        ----</v>
      </c>
      <c r="F383" s="3077" t="s">
        <v>2161</v>
      </c>
      <c r="G383" s="3078" t="str">
        <f t="shared" si="54"/>
        <v xml:space="preserve">        ----</v>
      </c>
      <c r="H383" s="3079">
        <f ca="1">INDIRECT("Notes!CheckA"&amp;$C383)</f>
        <v>0</v>
      </c>
      <c r="I383" s="3081" t="s">
        <v>6799</v>
      </c>
      <c r="J383" s="3060"/>
      <c r="K383" s="3078" t="str">
        <f t="shared" si="55"/>
        <v xml:space="preserve">        ----</v>
      </c>
      <c r="L383" s="3059" t="s">
        <v>6795</v>
      </c>
      <c r="M383" s="3081" t="s">
        <v>6799</v>
      </c>
      <c r="N383" s="3060"/>
      <c r="O383" s="3087"/>
      <c r="P383" s="3088"/>
      <c r="Q383" s="3088"/>
      <c r="R383" s="3088"/>
      <c r="S383" s="3089" t="s">
        <v>295</v>
      </c>
      <c r="T383" s="3089" t="s">
        <v>213</v>
      </c>
      <c r="U383" s="3090"/>
      <c r="V383" s="3090" t="s">
        <v>295</v>
      </c>
      <c r="W383" s="3090" t="s">
        <v>6793</v>
      </c>
      <c r="X383" s="3090" t="s">
        <v>6796</v>
      </c>
      <c r="Y383" s="3091" t="s">
        <v>164</v>
      </c>
    </row>
    <row r="384" spans="1:25" ht="60" hidden="1">
      <c r="A384" s="1304"/>
      <c r="B384" s="643"/>
      <c r="C384" s="643" t="s">
        <v>2144</v>
      </c>
      <c r="D384" s="3075">
        <v>3</v>
      </c>
      <c r="E384" s="3076" t="str">
        <f t="shared" si="53"/>
        <v xml:space="preserve">        ----</v>
      </c>
      <c r="F384" s="3077" t="s">
        <v>2145</v>
      </c>
      <c r="G384" s="3078" t="str">
        <f t="shared" si="54"/>
        <v xml:space="preserve">        ----</v>
      </c>
      <c r="H384" s="3079" t="s">
        <v>6795</v>
      </c>
      <c r="I384" s="3081" t="s">
        <v>6799</v>
      </c>
      <c r="J384" s="3060"/>
      <c r="K384" s="3078" t="str">
        <f t="shared" si="55"/>
        <v xml:space="preserve">        ----</v>
      </c>
      <c r="L384" s="3059" t="s">
        <v>6795</v>
      </c>
      <c r="M384" s="3081" t="s">
        <v>6799</v>
      </c>
      <c r="N384" s="3060"/>
      <c r="O384" s="3087"/>
      <c r="P384" s="3088"/>
      <c r="Q384" s="3088"/>
      <c r="R384" s="3088"/>
      <c r="S384" s="3089" t="s">
        <v>295</v>
      </c>
      <c r="T384" s="3089" t="s">
        <v>213</v>
      </c>
      <c r="U384" s="3090"/>
      <c r="V384" s="3090" t="s">
        <v>295</v>
      </c>
      <c r="W384" s="3090" t="s">
        <v>6793</v>
      </c>
      <c r="X384" s="3090" t="s">
        <v>6796</v>
      </c>
      <c r="Y384" s="3091" t="s">
        <v>164</v>
      </c>
    </row>
    <row r="385" spans="1:25" ht="36" hidden="1">
      <c r="A385" s="1304"/>
      <c r="B385" s="643"/>
      <c r="C385" s="643" t="s">
        <v>2130</v>
      </c>
      <c r="D385" s="3075">
        <v>3</v>
      </c>
      <c r="E385" s="3076" t="str">
        <f t="shared" si="53"/>
        <v xml:space="preserve">        ----</v>
      </c>
      <c r="F385" s="3077" t="s">
        <v>2131</v>
      </c>
      <c r="G385" s="3078" t="str">
        <f t="shared" si="54"/>
        <v xml:space="preserve">        ----</v>
      </c>
      <c r="H385" s="3079" t="s">
        <v>6795</v>
      </c>
      <c r="I385" s="3081" t="s">
        <v>6799</v>
      </c>
      <c r="J385" s="3060"/>
      <c r="K385" s="3078" t="str">
        <f t="shared" si="55"/>
        <v xml:space="preserve">        ----</v>
      </c>
      <c r="L385" s="3059" t="s">
        <v>6795</v>
      </c>
      <c r="M385" s="3081" t="s">
        <v>6799</v>
      </c>
      <c r="N385" s="3060"/>
      <c r="O385" s="3087"/>
      <c r="P385" s="3088"/>
      <c r="Q385" s="3088"/>
      <c r="R385" s="3088"/>
      <c r="S385" s="3089" t="s">
        <v>295</v>
      </c>
      <c r="T385" s="3089" t="s">
        <v>213</v>
      </c>
      <c r="U385" s="3090"/>
      <c r="V385" s="3090" t="s">
        <v>295</v>
      </c>
      <c r="W385" s="3090" t="s">
        <v>6793</v>
      </c>
      <c r="X385" s="3090" t="s">
        <v>6796</v>
      </c>
      <c r="Y385" s="3091" t="s">
        <v>164</v>
      </c>
    </row>
    <row r="386" spans="1:25" ht="24" hidden="1">
      <c r="A386" s="1304"/>
      <c r="B386" s="643"/>
      <c r="C386" s="643" t="s">
        <v>2064</v>
      </c>
      <c r="D386" s="3075">
        <v>3</v>
      </c>
      <c r="E386" s="3076" t="str">
        <f t="shared" si="53"/>
        <v xml:space="preserve">        ----</v>
      </c>
      <c r="F386" s="3077" t="s">
        <v>2065</v>
      </c>
      <c r="G386" s="3078" t="str">
        <f t="shared" si="54"/>
        <v xml:space="preserve">        ----</v>
      </c>
      <c r="H386" s="3079">
        <f ca="1">INDIRECT("Notes!CheckA"&amp;$C386)</f>
        <v>0</v>
      </c>
      <c r="I386" s="3081" t="s">
        <v>6799</v>
      </c>
      <c r="J386" s="3060"/>
      <c r="K386" s="3078" t="str">
        <f t="shared" si="55"/>
        <v xml:space="preserve">        ----</v>
      </c>
      <c r="L386" s="3059">
        <f ca="1">INDIRECT("Notes!CheckB"&amp;$C386)</f>
        <v>0</v>
      </c>
      <c r="M386" s="3081" t="s">
        <v>6799</v>
      </c>
      <c r="N386" s="3060"/>
      <c r="O386" s="3087"/>
      <c r="P386" s="3088"/>
      <c r="Q386" s="3088"/>
      <c r="R386" s="3088"/>
      <c r="S386" s="3089" t="s">
        <v>295</v>
      </c>
      <c r="T386" s="3089" t="s">
        <v>213</v>
      </c>
      <c r="U386" s="3090"/>
      <c r="V386" s="3090" t="s">
        <v>295</v>
      </c>
      <c r="W386" s="3090" t="s">
        <v>6793</v>
      </c>
      <c r="X386" s="3090" t="s">
        <v>6794</v>
      </c>
      <c r="Y386" s="3091" t="s">
        <v>164</v>
      </c>
    </row>
    <row r="387" spans="1:25" ht="24" hidden="1">
      <c r="A387" s="1304"/>
      <c r="B387" s="643"/>
      <c r="C387" s="643" t="s">
        <v>2067</v>
      </c>
      <c r="D387" s="3075">
        <v>3</v>
      </c>
      <c r="E387" s="3076" t="str">
        <f t="shared" si="53"/>
        <v xml:space="preserve">        ----</v>
      </c>
      <c r="F387" s="3077" t="s">
        <v>2068</v>
      </c>
      <c r="G387" s="3078" t="str">
        <f t="shared" si="54"/>
        <v xml:space="preserve">        ----</v>
      </c>
      <c r="H387" s="3079">
        <f ca="1">INDIRECT("Notes!CheckA"&amp;$C387)</f>
        <v>0</v>
      </c>
      <c r="I387" s="3081" t="s">
        <v>6799</v>
      </c>
      <c r="J387" s="3060"/>
      <c r="K387" s="3078" t="str">
        <f t="shared" si="55"/>
        <v xml:space="preserve">        ----</v>
      </c>
      <c r="L387" s="3059">
        <f ca="1">INDIRECT("Notes!CheckB"&amp;$C387)</f>
        <v>0</v>
      </c>
      <c r="M387" s="3081" t="s">
        <v>6799</v>
      </c>
      <c r="N387" s="3060"/>
      <c r="O387" s="3087"/>
      <c r="P387" s="3088"/>
      <c r="Q387" s="3088"/>
      <c r="R387" s="3088"/>
      <c r="S387" s="3089" t="s">
        <v>295</v>
      </c>
      <c r="T387" s="3089" t="s">
        <v>213</v>
      </c>
      <c r="U387" s="3090"/>
      <c r="V387" s="3090" t="s">
        <v>295</v>
      </c>
      <c r="W387" s="3090" t="s">
        <v>6793</v>
      </c>
      <c r="X387" s="3090" t="s">
        <v>6794</v>
      </c>
      <c r="Y387" s="3091" t="s">
        <v>164</v>
      </c>
    </row>
    <row r="388" spans="1:25" ht="18" hidden="1">
      <c r="A388" s="1304"/>
      <c r="B388" s="643"/>
      <c r="C388" s="643" t="s">
        <v>2069</v>
      </c>
      <c r="D388" s="3075">
        <v>3</v>
      </c>
      <c r="E388" s="3076" t="str">
        <f t="shared" si="53"/>
        <v xml:space="preserve">        ----</v>
      </c>
      <c r="F388" s="3077" t="s">
        <v>2070</v>
      </c>
      <c r="G388" s="3078" t="str">
        <f t="shared" si="54"/>
        <v xml:space="preserve">        ----</v>
      </c>
      <c r="H388" s="3079" t="s">
        <v>6795</v>
      </c>
      <c r="I388" s="3081" t="s">
        <v>6799</v>
      </c>
      <c r="J388" s="3060"/>
      <c r="K388" s="3078" t="str">
        <f t="shared" si="55"/>
        <v xml:space="preserve">        ----</v>
      </c>
      <c r="L388" s="3059" t="s">
        <v>6795</v>
      </c>
      <c r="M388" s="3081" t="s">
        <v>6799</v>
      </c>
      <c r="N388" s="3060"/>
      <c r="O388" s="3087"/>
      <c r="P388" s="3088"/>
      <c r="Q388" s="3088"/>
      <c r="R388" s="3088"/>
      <c r="S388" s="3089" t="s">
        <v>295</v>
      </c>
      <c r="T388" s="3089" t="s">
        <v>213</v>
      </c>
      <c r="U388" s="3090"/>
      <c r="V388" s="3090" t="s">
        <v>295</v>
      </c>
      <c r="W388" s="3090" t="s">
        <v>6793</v>
      </c>
      <c r="X388" s="3090" t="s">
        <v>6794</v>
      </c>
      <c r="Y388" s="3091" t="s">
        <v>164</v>
      </c>
    </row>
    <row r="389" spans="1:25" ht="18" hidden="1">
      <c r="A389" s="1304"/>
      <c r="B389" s="643"/>
      <c r="C389" s="643" t="s">
        <v>2072</v>
      </c>
      <c r="D389" s="3075">
        <v>3</v>
      </c>
      <c r="E389" s="3076" t="str">
        <f t="shared" si="53"/>
        <v xml:space="preserve">        ----</v>
      </c>
      <c r="F389" s="3077" t="s">
        <v>2073</v>
      </c>
      <c r="G389" s="3078" t="str">
        <f t="shared" si="54"/>
        <v xml:space="preserve">        ----</v>
      </c>
      <c r="H389" s="3079" t="s">
        <v>6795</v>
      </c>
      <c r="I389" s="3081" t="s">
        <v>6799</v>
      </c>
      <c r="J389" s="3060"/>
      <c r="K389" s="3078" t="str">
        <f t="shared" si="55"/>
        <v xml:space="preserve">        ----</v>
      </c>
      <c r="L389" s="3059" t="s">
        <v>6795</v>
      </c>
      <c r="M389" s="3081" t="s">
        <v>6799</v>
      </c>
      <c r="N389" s="3060"/>
      <c r="O389" s="3087"/>
      <c r="P389" s="3088"/>
      <c r="Q389" s="3088"/>
      <c r="R389" s="3088"/>
      <c r="S389" s="3089" t="s">
        <v>295</v>
      </c>
      <c r="T389" s="3089" t="s">
        <v>213</v>
      </c>
      <c r="U389" s="3090"/>
      <c r="V389" s="3090" t="s">
        <v>295</v>
      </c>
      <c r="W389" s="3090" t="s">
        <v>6793</v>
      </c>
      <c r="X389" s="3090" t="s">
        <v>6794</v>
      </c>
      <c r="Y389" s="3091" t="s">
        <v>164</v>
      </c>
    </row>
    <row r="390" spans="1:25" ht="24" hidden="1">
      <c r="A390" s="1304"/>
      <c r="B390" s="643"/>
      <c r="C390" s="643" t="s">
        <v>2075</v>
      </c>
      <c r="D390" s="3075">
        <v>3</v>
      </c>
      <c r="E390" s="3076" t="str">
        <f t="shared" si="53"/>
        <v xml:space="preserve">        ----</v>
      </c>
      <c r="F390" s="3077" t="s">
        <v>2076</v>
      </c>
      <c r="G390" s="3078" t="str">
        <f t="shared" si="54"/>
        <v xml:space="preserve">        ----</v>
      </c>
      <c r="H390" s="3079" t="s">
        <v>6795</v>
      </c>
      <c r="I390" s="3081" t="s">
        <v>6799</v>
      </c>
      <c r="J390" s="3060"/>
      <c r="K390" s="3078" t="str">
        <f t="shared" si="55"/>
        <v xml:space="preserve">        ----</v>
      </c>
      <c r="L390" s="3059" t="s">
        <v>6795</v>
      </c>
      <c r="M390" s="3081" t="s">
        <v>6799</v>
      </c>
      <c r="N390" s="3060"/>
      <c r="O390" s="3087"/>
      <c r="P390" s="3088"/>
      <c r="Q390" s="3088"/>
      <c r="R390" s="3088"/>
      <c r="S390" s="3089" t="s">
        <v>295</v>
      </c>
      <c r="T390" s="3089" t="s">
        <v>213</v>
      </c>
      <c r="U390" s="3090"/>
      <c r="V390" s="3090" t="s">
        <v>295</v>
      </c>
      <c r="W390" s="3090" t="s">
        <v>6793</v>
      </c>
      <c r="X390" s="3090" t="s">
        <v>6794</v>
      </c>
      <c r="Y390" s="3091" t="s">
        <v>164</v>
      </c>
    </row>
    <row r="391" spans="1:25" ht="24" hidden="1">
      <c r="A391" s="1304"/>
      <c r="B391" s="643"/>
      <c r="C391" s="643" t="s">
        <v>2077</v>
      </c>
      <c r="D391" s="3075">
        <v>3</v>
      </c>
      <c r="E391" s="3076" t="str">
        <f t="shared" si="53"/>
        <v xml:space="preserve">        ----</v>
      </c>
      <c r="F391" s="3077" t="s">
        <v>2078</v>
      </c>
      <c r="G391" s="3078" t="str">
        <f t="shared" si="54"/>
        <v xml:space="preserve">        ----</v>
      </c>
      <c r="H391" s="3079" t="s">
        <v>6795</v>
      </c>
      <c r="I391" s="3081" t="s">
        <v>6799</v>
      </c>
      <c r="J391" s="3060"/>
      <c r="K391" s="3078" t="str">
        <f t="shared" si="55"/>
        <v xml:space="preserve">        ----</v>
      </c>
      <c r="L391" s="3059" t="s">
        <v>6795</v>
      </c>
      <c r="M391" s="3081" t="s">
        <v>6799</v>
      </c>
      <c r="N391" s="3060"/>
      <c r="O391" s="3087"/>
      <c r="P391" s="3088"/>
      <c r="Q391" s="3088"/>
      <c r="R391" s="3088"/>
      <c r="S391" s="3089" t="s">
        <v>295</v>
      </c>
      <c r="T391" s="3089" t="s">
        <v>213</v>
      </c>
      <c r="U391" s="3090"/>
      <c r="V391" s="3090" t="s">
        <v>295</v>
      </c>
      <c r="W391" s="3090" t="s">
        <v>6793</v>
      </c>
      <c r="X391" s="3090" t="s">
        <v>6794</v>
      </c>
      <c r="Y391" s="3091" t="s">
        <v>164</v>
      </c>
    </row>
    <row r="392" spans="1:25" ht="24" hidden="1">
      <c r="A392" s="1304"/>
      <c r="B392" s="643"/>
      <c r="C392" s="643" t="s">
        <v>2079</v>
      </c>
      <c r="D392" s="3075">
        <v>3</v>
      </c>
      <c r="E392" s="3076" t="str">
        <f t="shared" si="53"/>
        <v xml:space="preserve">        ----</v>
      </c>
      <c r="F392" s="3077" t="s">
        <v>2080</v>
      </c>
      <c r="G392" s="3078" t="str">
        <f t="shared" si="54"/>
        <v xml:space="preserve">        ----</v>
      </c>
      <c r="H392" s="3079" t="s">
        <v>6795</v>
      </c>
      <c r="I392" s="3081" t="s">
        <v>6799</v>
      </c>
      <c r="J392" s="3060"/>
      <c r="K392" s="3078" t="str">
        <f t="shared" si="55"/>
        <v xml:space="preserve">        ----</v>
      </c>
      <c r="L392" s="3059" t="s">
        <v>6795</v>
      </c>
      <c r="M392" s="3081" t="s">
        <v>6799</v>
      </c>
      <c r="N392" s="3060"/>
      <c r="O392" s="3087"/>
      <c r="P392" s="3088"/>
      <c r="Q392" s="3088"/>
      <c r="R392" s="3088"/>
      <c r="S392" s="3089" t="s">
        <v>295</v>
      </c>
      <c r="T392" s="3089" t="s">
        <v>213</v>
      </c>
      <c r="U392" s="3090"/>
      <c r="V392" s="3090" t="s">
        <v>295</v>
      </c>
      <c r="W392" s="3090" t="s">
        <v>6793</v>
      </c>
      <c r="X392" s="3090" t="s">
        <v>6794</v>
      </c>
      <c r="Y392" s="3091" t="s">
        <v>164</v>
      </c>
    </row>
    <row r="393" spans="1:25" ht="24" hidden="1">
      <c r="A393" s="1304"/>
      <c r="B393" s="643"/>
      <c r="C393" s="643" t="s">
        <v>2081</v>
      </c>
      <c r="D393" s="3075">
        <v>3</v>
      </c>
      <c r="E393" s="3076" t="str">
        <f t="shared" ref="E393:E408" si="59">IF(ISERROR(VLOOKUP($B393,Sheet_Items,2,0)),"        ----",VLOOKUP($B393,Sheet_Items,2,0))</f>
        <v xml:space="preserve">        ----</v>
      </c>
      <c r="F393" s="3077" t="s">
        <v>2082</v>
      </c>
      <c r="G393" s="3078" t="str">
        <f t="shared" ref="G393:G408" si="60">IF(ISERROR(VLOOKUP($B393,Sheet_Trialbal,6,0)),"        ----",VLOOKUP($B393,Sheet_Trialbal,6,0))</f>
        <v xml:space="preserve">        ----</v>
      </c>
      <c r="H393" s="3079" t="s">
        <v>6795</v>
      </c>
      <c r="I393" s="3081" t="s">
        <v>6799</v>
      </c>
      <c r="J393" s="3060"/>
      <c r="K393" s="3078" t="str">
        <f t="shared" si="55"/>
        <v xml:space="preserve">        ----</v>
      </c>
      <c r="L393" s="3059" t="s">
        <v>6795</v>
      </c>
      <c r="M393" s="3081" t="s">
        <v>6799</v>
      </c>
      <c r="N393" s="3060"/>
      <c r="O393" s="3087"/>
      <c r="P393" s="3088"/>
      <c r="Q393" s="3088"/>
      <c r="R393" s="3088"/>
      <c r="S393" s="3089" t="s">
        <v>295</v>
      </c>
      <c r="T393" s="3089" t="s">
        <v>213</v>
      </c>
      <c r="U393" s="3090"/>
      <c r="V393" s="3090" t="s">
        <v>295</v>
      </c>
      <c r="W393" s="3090" t="s">
        <v>6793</v>
      </c>
      <c r="X393" s="3090" t="s">
        <v>6794</v>
      </c>
      <c r="Y393" s="3091" t="s">
        <v>164</v>
      </c>
    </row>
    <row r="394" spans="1:25" ht="24" hidden="1">
      <c r="A394" s="1304"/>
      <c r="B394" s="643"/>
      <c r="C394" s="643" t="s">
        <v>2083</v>
      </c>
      <c r="D394" s="3075">
        <v>3</v>
      </c>
      <c r="E394" s="3076" t="str">
        <f t="shared" si="59"/>
        <v xml:space="preserve">        ----</v>
      </c>
      <c r="F394" s="3077" t="s">
        <v>2084</v>
      </c>
      <c r="G394" s="3078" t="str">
        <f t="shared" si="60"/>
        <v xml:space="preserve">        ----</v>
      </c>
      <c r="H394" s="3079" t="s">
        <v>6795</v>
      </c>
      <c r="I394" s="3081" t="s">
        <v>6799</v>
      </c>
      <c r="J394" s="3060"/>
      <c r="K394" s="3078" t="str">
        <f t="shared" si="55"/>
        <v xml:space="preserve">        ----</v>
      </c>
      <c r="L394" s="3059" t="s">
        <v>6795</v>
      </c>
      <c r="M394" s="3081" t="s">
        <v>6799</v>
      </c>
      <c r="N394" s="3060"/>
      <c r="O394" s="3087"/>
      <c r="P394" s="3088"/>
      <c r="Q394" s="3088"/>
      <c r="R394" s="3088"/>
      <c r="S394" s="3089" t="s">
        <v>295</v>
      </c>
      <c r="T394" s="3089" t="s">
        <v>213</v>
      </c>
      <c r="U394" s="3090"/>
      <c r="V394" s="3090" t="s">
        <v>295</v>
      </c>
      <c r="W394" s="3090" t="s">
        <v>6793</v>
      </c>
      <c r="X394" s="3090" t="s">
        <v>6794</v>
      </c>
      <c r="Y394" s="3091" t="s">
        <v>164</v>
      </c>
    </row>
    <row r="395" spans="1:25" ht="24" hidden="1">
      <c r="A395" s="1304"/>
      <c r="B395" s="643"/>
      <c r="C395" s="643" t="s">
        <v>2085</v>
      </c>
      <c r="D395" s="3075">
        <v>3</v>
      </c>
      <c r="E395" s="3076" t="str">
        <f t="shared" si="59"/>
        <v xml:space="preserve">        ----</v>
      </c>
      <c r="F395" s="3077" t="s">
        <v>2086</v>
      </c>
      <c r="G395" s="3078" t="str">
        <f t="shared" si="60"/>
        <v xml:space="preserve">        ----</v>
      </c>
      <c r="H395" s="3079" t="s">
        <v>6795</v>
      </c>
      <c r="I395" s="3081" t="s">
        <v>6799</v>
      </c>
      <c r="J395" s="3060"/>
      <c r="K395" s="3078" t="str">
        <f t="shared" si="55"/>
        <v xml:space="preserve">        ----</v>
      </c>
      <c r="L395" s="3059" t="s">
        <v>6795</v>
      </c>
      <c r="M395" s="3081" t="s">
        <v>6799</v>
      </c>
      <c r="N395" s="3060"/>
      <c r="O395" s="3087"/>
      <c r="P395" s="3088"/>
      <c r="Q395" s="3088"/>
      <c r="R395" s="3088"/>
      <c r="S395" s="3089" t="s">
        <v>295</v>
      </c>
      <c r="T395" s="3089" t="s">
        <v>213</v>
      </c>
      <c r="U395" s="3090"/>
      <c r="V395" s="3090" t="s">
        <v>295</v>
      </c>
      <c r="W395" s="3090" t="s">
        <v>6793</v>
      </c>
      <c r="X395" s="3090" t="s">
        <v>6794</v>
      </c>
      <c r="Y395" s="3091" t="s">
        <v>164</v>
      </c>
    </row>
    <row r="396" spans="1:25" ht="24" hidden="1">
      <c r="A396" s="1304"/>
      <c r="B396" s="643"/>
      <c r="C396" s="643" t="s">
        <v>2088</v>
      </c>
      <c r="D396" s="3075">
        <v>3</v>
      </c>
      <c r="E396" s="3076" t="str">
        <f t="shared" si="59"/>
        <v xml:space="preserve">        ----</v>
      </c>
      <c r="F396" s="3077" t="s">
        <v>2089</v>
      </c>
      <c r="G396" s="3078" t="str">
        <f t="shared" si="60"/>
        <v xml:space="preserve">        ----</v>
      </c>
      <c r="H396" s="3079" t="s">
        <v>6795</v>
      </c>
      <c r="I396" s="3081" t="s">
        <v>6799</v>
      </c>
      <c r="J396" s="3060"/>
      <c r="K396" s="3078" t="str">
        <f t="shared" si="55"/>
        <v xml:space="preserve">        ----</v>
      </c>
      <c r="L396" s="3059" t="s">
        <v>6795</v>
      </c>
      <c r="M396" s="3081" t="s">
        <v>6799</v>
      </c>
      <c r="N396" s="3060"/>
      <c r="O396" s="3087"/>
      <c r="P396" s="3088"/>
      <c r="Q396" s="3088"/>
      <c r="R396" s="3088"/>
      <c r="S396" s="3089" t="s">
        <v>295</v>
      </c>
      <c r="T396" s="3089" t="s">
        <v>213</v>
      </c>
      <c r="U396" s="3090"/>
      <c r="V396" s="3090" t="s">
        <v>295</v>
      </c>
      <c r="W396" s="3090" t="s">
        <v>6793</v>
      </c>
      <c r="X396" s="3090" t="s">
        <v>6794</v>
      </c>
      <c r="Y396" s="3091" t="s">
        <v>164</v>
      </c>
    </row>
    <row r="397" spans="1:25" ht="18" hidden="1">
      <c r="A397" s="1304"/>
      <c r="B397" s="643"/>
      <c r="C397" s="643" t="s">
        <v>2091</v>
      </c>
      <c r="D397" s="3075">
        <v>3</v>
      </c>
      <c r="E397" s="3076" t="str">
        <f t="shared" si="59"/>
        <v xml:space="preserve">        ----</v>
      </c>
      <c r="F397" s="3077" t="s">
        <v>2092</v>
      </c>
      <c r="G397" s="3078" t="str">
        <f t="shared" si="60"/>
        <v xml:space="preserve">        ----</v>
      </c>
      <c r="H397" s="3079" t="s">
        <v>6795</v>
      </c>
      <c r="I397" s="3081" t="s">
        <v>6799</v>
      </c>
      <c r="J397" s="3060"/>
      <c r="K397" s="3078" t="str">
        <f t="shared" si="55"/>
        <v xml:space="preserve">        ----</v>
      </c>
      <c r="L397" s="3059" t="s">
        <v>6795</v>
      </c>
      <c r="M397" s="3081" t="s">
        <v>6799</v>
      </c>
      <c r="N397" s="3060"/>
      <c r="O397" s="3087"/>
      <c r="P397" s="3088"/>
      <c r="Q397" s="3088"/>
      <c r="R397" s="3088"/>
      <c r="S397" s="3089" t="s">
        <v>295</v>
      </c>
      <c r="T397" s="3089" t="s">
        <v>213</v>
      </c>
      <c r="U397" s="3090"/>
      <c r="V397" s="3090" t="s">
        <v>295</v>
      </c>
      <c r="W397" s="3090" t="s">
        <v>6793</v>
      </c>
      <c r="X397" s="3090" t="s">
        <v>6794</v>
      </c>
      <c r="Y397" s="3091" t="s">
        <v>164</v>
      </c>
    </row>
    <row r="398" spans="1:25" ht="24" hidden="1">
      <c r="A398" s="1304"/>
      <c r="B398" s="643"/>
      <c r="C398" s="643" t="s">
        <v>2094</v>
      </c>
      <c r="D398" s="3075">
        <v>3</v>
      </c>
      <c r="E398" s="3076" t="str">
        <f t="shared" si="59"/>
        <v xml:space="preserve">        ----</v>
      </c>
      <c r="F398" s="3077" t="s">
        <v>2095</v>
      </c>
      <c r="G398" s="3078" t="str">
        <f t="shared" si="60"/>
        <v xml:space="preserve">        ----</v>
      </c>
      <c r="H398" s="3079">
        <f ca="1">INDIRECT("Notes!CheckA"&amp;$C398)</f>
        <v>0</v>
      </c>
      <c r="I398" s="3081" t="s">
        <v>6799</v>
      </c>
      <c r="J398" s="3060"/>
      <c r="K398" s="3078" t="str">
        <f t="shared" si="55"/>
        <v xml:space="preserve">        ----</v>
      </c>
      <c r="L398" s="3059">
        <f ca="1">INDIRECT("Notes!CheckB"&amp;$C398)</f>
        <v>0</v>
      </c>
      <c r="M398" s="3081" t="s">
        <v>6799</v>
      </c>
      <c r="N398" s="3060"/>
      <c r="O398" s="3087"/>
      <c r="P398" s="3088"/>
      <c r="Q398" s="3088"/>
      <c r="R398" s="3088"/>
      <c r="S398" s="3089" t="s">
        <v>295</v>
      </c>
      <c r="T398" s="3089" t="s">
        <v>213</v>
      </c>
      <c r="U398" s="3090"/>
      <c r="V398" s="3090" t="s">
        <v>295</v>
      </c>
      <c r="W398" s="3090" t="s">
        <v>6793</v>
      </c>
      <c r="X398" s="3090" t="s">
        <v>6794</v>
      </c>
      <c r="Y398" s="3091" t="s">
        <v>164</v>
      </c>
    </row>
    <row r="399" spans="1:25" ht="24" hidden="1">
      <c r="A399" s="1304"/>
      <c r="B399" s="643"/>
      <c r="C399" s="643" t="s">
        <v>2096</v>
      </c>
      <c r="D399" s="3075">
        <v>3</v>
      </c>
      <c r="E399" s="3076" t="str">
        <f t="shared" si="59"/>
        <v xml:space="preserve">        ----</v>
      </c>
      <c r="F399" s="3077" t="s">
        <v>2097</v>
      </c>
      <c r="G399" s="3078" t="str">
        <f t="shared" si="60"/>
        <v xml:space="preserve">        ----</v>
      </c>
      <c r="H399" s="3079">
        <f ca="1">INDIRECT("Notes!CheckA"&amp;$C399)</f>
        <v>0</v>
      </c>
      <c r="I399" s="3081" t="s">
        <v>6799</v>
      </c>
      <c r="J399" s="3060"/>
      <c r="K399" s="3078" t="str">
        <f t="shared" si="55"/>
        <v xml:space="preserve">        ----</v>
      </c>
      <c r="L399" s="3059">
        <f ca="1">INDIRECT("Notes!CheckB"&amp;$C399)</f>
        <v>0</v>
      </c>
      <c r="M399" s="3081" t="s">
        <v>6799</v>
      </c>
      <c r="N399" s="3060"/>
      <c r="O399" s="3087"/>
      <c r="P399" s="3088"/>
      <c r="Q399" s="3088"/>
      <c r="R399" s="3088"/>
      <c r="S399" s="3089" t="s">
        <v>295</v>
      </c>
      <c r="T399" s="3089" t="s">
        <v>213</v>
      </c>
      <c r="U399" s="3090"/>
      <c r="V399" s="3090" t="s">
        <v>295</v>
      </c>
      <c r="W399" s="3090" t="s">
        <v>6793</v>
      </c>
      <c r="X399" s="3090" t="s">
        <v>6794</v>
      </c>
      <c r="Y399" s="3091" t="s">
        <v>164</v>
      </c>
    </row>
    <row r="400" spans="1:25" ht="24" hidden="1">
      <c r="A400" s="1304"/>
      <c r="B400" s="643"/>
      <c r="C400" s="643" t="s">
        <v>2153</v>
      </c>
      <c r="D400" s="3075">
        <v>3</v>
      </c>
      <c r="E400" s="3076" t="str">
        <f t="shared" si="59"/>
        <v xml:space="preserve">        ----</v>
      </c>
      <c r="F400" s="3077" t="s">
        <v>2154</v>
      </c>
      <c r="G400" s="3078" t="str">
        <f t="shared" si="60"/>
        <v xml:space="preserve">        ----</v>
      </c>
      <c r="H400" s="3079" t="s">
        <v>6795</v>
      </c>
      <c r="I400" s="3081" t="s">
        <v>6799</v>
      </c>
      <c r="J400" s="3060"/>
      <c r="K400" s="3078" t="str">
        <f t="shared" si="55"/>
        <v xml:space="preserve">        ----</v>
      </c>
      <c r="L400" s="3059" t="s">
        <v>6795</v>
      </c>
      <c r="M400" s="3081" t="s">
        <v>6799</v>
      </c>
      <c r="N400" s="3060"/>
      <c r="O400" s="3087"/>
      <c r="P400" s="3088"/>
      <c r="Q400" s="3088"/>
      <c r="R400" s="3088"/>
      <c r="S400" s="3089" t="s">
        <v>295</v>
      </c>
      <c r="T400" s="3089" t="s">
        <v>213</v>
      </c>
      <c r="U400" s="3090"/>
      <c r="V400" s="3090" t="s">
        <v>295</v>
      </c>
      <c r="W400" s="3090" t="s">
        <v>145</v>
      </c>
      <c r="X400" s="3090" t="s">
        <v>6796</v>
      </c>
      <c r="Y400" s="3091" t="s">
        <v>164</v>
      </c>
    </row>
    <row r="401" spans="1:25" ht="24" hidden="1">
      <c r="A401" s="1304"/>
      <c r="B401" s="643"/>
      <c r="C401" s="643" t="s">
        <v>6103</v>
      </c>
      <c r="D401" s="3075">
        <v>3</v>
      </c>
      <c r="E401" s="3076" t="str">
        <f t="shared" si="59"/>
        <v xml:space="preserve">        ----</v>
      </c>
      <c r="F401" s="3077" t="s">
        <v>6102</v>
      </c>
      <c r="G401" s="3078" t="str">
        <f t="shared" si="60"/>
        <v xml:space="preserve">        ----</v>
      </c>
      <c r="H401" s="3079">
        <f ca="1">INDIRECT("Notes!CheckA"&amp;$C401)</f>
        <v>0</v>
      </c>
      <c r="I401" s="3081" t="s">
        <v>6799</v>
      </c>
      <c r="J401" s="3060"/>
      <c r="K401" s="3078" t="str">
        <f t="shared" si="55"/>
        <v xml:space="preserve">        ----</v>
      </c>
      <c r="L401" s="3059">
        <f ca="1">INDIRECT("Notes!CheckB"&amp;$C401)</f>
        <v>0</v>
      </c>
      <c r="M401" s="3081" t="s">
        <v>6799</v>
      </c>
      <c r="N401" s="3060"/>
      <c r="O401" s="3087"/>
      <c r="P401" s="3088"/>
      <c r="Q401" s="3088"/>
      <c r="R401" s="3088"/>
      <c r="S401" s="3089" t="s">
        <v>213</v>
      </c>
      <c r="T401" s="3089" t="s">
        <v>213</v>
      </c>
      <c r="U401" s="3090"/>
      <c r="V401" s="3090" t="s">
        <v>295</v>
      </c>
      <c r="W401" s="3090" t="s">
        <v>6798</v>
      </c>
      <c r="X401" s="3090" t="s">
        <v>6797</v>
      </c>
      <c r="Y401" s="3091" t="s">
        <v>164</v>
      </c>
    </row>
    <row r="402" spans="1:25" ht="24" hidden="1">
      <c r="A402" s="1304"/>
      <c r="B402" s="643"/>
      <c r="C402" s="643" t="s">
        <v>2181</v>
      </c>
      <c r="D402" s="3075">
        <v>3</v>
      </c>
      <c r="E402" s="3076" t="str">
        <f t="shared" si="59"/>
        <v xml:space="preserve">        ----</v>
      </c>
      <c r="F402" s="3077" t="s">
        <v>912</v>
      </c>
      <c r="G402" s="3078" t="str">
        <f t="shared" si="60"/>
        <v xml:space="preserve">        ----</v>
      </c>
      <c r="H402" s="3079">
        <f ca="1">INDIRECT("Notes!CheckA"&amp;$C402)</f>
        <v>0</v>
      </c>
      <c r="I402" s="3081" t="s">
        <v>6799</v>
      </c>
      <c r="J402" s="3060"/>
      <c r="K402" s="3078" t="str">
        <f t="shared" si="55"/>
        <v xml:space="preserve">        ----</v>
      </c>
      <c r="L402" s="3059">
        <f ca="1">INDIRECT("Notes!CheckB"&amp;$C402)</f>
        <v>0</v>
      </c>
      <c r="M402" s="3081" t="s">
        <v>6799</v>
      </c>
      <c r="N402" s="3060"/>
      <c r="O402" s="3087"/>
      <c r="P402" s="3088"/>
      <c r="Q402" s="3088"/>
      <c r="R402" s="3088"/>
      <c r="S402" s="3089" t="s">
        <v>295</v>
      </c>
      <c r="T402" s="3089" t="s">
        <v>213</v>
      </c>
      <c r="U402" s="3090"/>
      <c r="V402" s="3090" t="s">
        <v>295</v>
      </c>
      <c r="W402" s="3090" t="s">
        <v>6793</v>
      </c>
      <c r="X402" s="3090" t="s">
        <v>6796</v>
      </c>
      <c r="Y402" s="3091" t="s">
        <v>164</v>
      </c>
    </row>
    <row r="403" spans="1:25" ht="72" hidden="1">
      <c r="A403" s="1304"/>
      <c r="B403" s="643"/>
      <c r="C403" s="643" t="s">
        <v>2187</v>
      </c>
      <c r="D403" s="150">
        <v>3</v>
      </c>
      <c r="E403" s="1310" t="str">
        <f t="shared" si="59"/>
        <v xml:space="preserve">        ----</v>
      </c>
      <c r="F403" s="163" t="s">
        <v>2188</v>
      </c>
      <c r="G403" s="1311" t="str">
        <f t="shared" si="60"/>
        <v xml:space="preserve">        ----</v>
      </c>
      <c r="H403" s="70" t="s">
        <v>6795</v>
      </c>
      <c r="I403" s="3080" t="s">
        <v>6799</v>
      </c>
      <c r="J403" s="1293"/>
      <c r="K403" s="1311" t="str">
        <f t="shared" si="55"/>
        <v xml:space="preserve">        ----</v>
      </c>
      <c r="L403" s="70" t="s">
        <v>6795</v>
      </c>
      <c r="M403" s="3080" t="s">
        <v>6799</v>
      </c>
      <c r="N403" s="1293"/>
      <c r="O403" s="3087"/>
      <c r="P403" s="3088"/>
      <c r="Q403" s="3088"/>
      <c r="R403" s="3088"/>
      <c r="S403" s="3089" t="s">
        <v>295</v>
      </c>
      <c r="T403" s="3089" t="s">
        <v>213</v>
      </c>
      <c r="U403" s="3090"/>
      <c r="V403" s="3090" t="s">
        <v>295</v>
      </c>
      <c r="W403" s="3090" t="s">
        <v>6793</v>
      </c>
      <c r="X403" s="3090" t="s">
        <v>6796</v>
      </c>
      <c r="Y403" s="3091" t="s">
        <v>164</v>
      </c>
    </row>
    <row r="404" spans="1:25" ht="24" hidden="1">
      <c r="A404" s="1304"/>
      <c r="B404" s="643"/>
      <c r="C404" s="643" t="s">
        <v>2184</v>
      </c>
      <c r="D404" s="150">
        <v>3</v>
      </c>
      <c r="E404" s="1310" t="str">
        <f t="shared" si="59"/>
        <v xml:space="preserve">        ----</v>
      </c>
      <c r="F404" s="163" t="s">
        <v>2185</v>
      </c>
      <c r="G404" s="1311" t="str">
        <f t="shared" si="60"/>
        <v xml:space="preserve">        ----</v>
      </c>
      <c r="H404" s="70" t="s">
        <v>6795</v>
      </c>
      <c r="I404" s="3080" t="s">
        <v>6799</v>
      </c>
      <c r="J404" s="1293"/>
      <c r="K404" s="1311" t="str">
        <f t="shared" si="55"/>
        <v xml:space="preserve">        ----</v>
      </c>
      <c r="L404" s="70" t="s">
        <v>6795</v>
      </c>
      <c r="M404" s="3080" t="s">
        <v>6799</v>
      </c>
      <c r="N404" s="1293"/>
      <c r="O404" s="3087"/>
      <c r="P404" s="3088"/>
      <c r="Q404" s="3088"/>
      <c r="R404" s="3088"/>
      <c r="S404" s="3089" t="s">
        <v>295</v>
      </c>
      <c r="T404" s="3089" t="s">
        <v>213</v>
      </c>
      <c r="U404" s="3090"/>
      <c r="V404" s="3090" t="s">
        <v>295</v>
      </c>
      <c r="W404" s="3090" t="s">
        <v>6793</v>
      </c>
      <c r="X404" s="3090" t="s">
        <v>213</v>
      </c>
      <c r="Y404" s="3091" t="s">
        <v>164</v>
      </c>
    </row>
    <row r="405" spans="1:25" ht="24" hidden="1">
      <c r="A405" s="1304"/>
      <c r="B405" s="643"/>
      <c r="C405" s="643" t="s">
        <v>2190</v>
      </c>
      <c r="D405" s="150">
        <v>3</v>
      </c>
      <c r="E405" s="1310" t="str">
        <f t="shared" si="59"/>
        <v xml:space="preserve">        ----</v>
      </c>
      <c r="F405" s="163" t="s">
        <v>2191</v>
      </c>
      <c r="G405" s="1311" t="str">
        <f t="shared" si="60"/>
        <v xml:space="preserve">        ----</v>
      </c>
      <c r="H405" s="70" t="s">
        <v>6795</v>
      </c>
      <c r="I405" s="3080" t="s">
        <v>6799</v>
      </c>
      <c r="J405" s="1293"/>
      <c r="K405" s="1311" t="str">
        <f t="shared" si="55"/>
        <v xml:space="preserve">        ----</v>
      </c>
      <c r="L405" s="70" t="s">
        <v>6795</v>
      </c>
      <c r="M405" s="3080" t="s">
        <v>6799</v>
      </c>
      <c r="N405" s="1293"/>
      <c r="O405" s="3087"/>
      <c r="P405" s="3088"/>
      <c r="Q405" s="3088"/>
      <c r="R405" s="3088"/>
      <c r="S405" s="3089" t="s">
        <v>295</v>
      </c>
      <c r="T405" s="3089" t="s">
        <v>213</v>
      </c>
      <c r="U405" s="3090"/>
      <c r="V405" s="3090" t="s">
        <v>295</v>
      </c>
      <c r="W405" s="3090" t="s">
        <v>6793</v>
      </c>
      <c r="X405" s="3090" t="s">
        <v>213</v>
      </c>
      <c r="Y405" s="3091"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80" t="s">
        <v>6799</v>
      </c>
      <c r="J406" s="1293"/>
      <c r="K406" s="1311" t="str">
        <f t="shared" si="55"/>
        <v xml:space="preserve">        ----</v>
      </c>
      <c r="L406" s="70">
        <f ca="1">INDIRECT("Notes!CheckB"&amp;$C406)</f>
        <v>0</v>
      </c>
      <c r="M406" s="3080" t="s">
        <v>6799</v>
      </c>
      <c r="N406" s="1293"/>
      <c r="O406" s="3087"/>
      <c r="P406" s="3088"/>
      <c r="Q406" s="3088"/>
      <c r="R406" s="3088"/>
      <c r="S406" s="3089" t="s">
        <v>295</v>
      </c>
      <c r="T406" s="3089" t="s">
        <v>213</v>
      </c>
      <c r="U406" s="3090"/>
      <c r="V406" s="3090" t="s">
        <v>295</v>
      </c>
      <c r="W406" s="3090" t="s">
        <v>6793</v>
      </c>
      <c r="X406" s="3090" t="s">
        <v>213</v>
      </c>
      <c r="Y406" s="3091" t="s">
        <v>164</v>
      </c>
    </row>
    <row r="407" spans="1:25" ht="18" hidden="1">
      <c r="A407" s="1304"/>
      <c r="B407" s="643"/>
      <c r="C407" s="643" t="s">
        <v>2197</v>
      </c>
      <c r="D407" s="150">
        <v>3</v>
      </c>
      <c r="E407" s="1310" t="str">
        <f t="shared" si="59"/>
        <v xml:space="preserve">        ----</v>
      </c>
      <c r="F407" s="163" t="s">
        <v>2198</v>
      </c>
      <c r="G407" s="1311" t="str">
        <f t="shared" si="60"/>
        <v xml:space="preserve">        ----</v>
      </c>
      <c r="H407" s="70" t="s">
        <v>6795</v>
      </c>
      <c r="I407" s="3080" t="s">
        <v>6799</v>
      </c>
      <c r="J407" s="1293"/>
      <c r="K407" s="1311" t="str">
        <f t="shared" si="55"/>
        <v xml:space="preserve">        ----</v>
      </c>
      <c r="L407" s="70" t="s">
        <v>6795</v>
      </c>
      <c r="M407" s="3080" t="s">
        <v>6799</v>
      </c>
      <c r="N407" s="1293"/>
      <c r="O407" s="3087"/>
      <c r="P407" s="3088"/>
      <c r="Q407" s="3088"/>
      <c r="R407" s="3088"/>
      <c r="S407" s="3089" t="s">
        <v>295</v>
      </c>
      <c r="T407" s="3089" t="s">
        <v>213</v>
      </c>
      <c r="U407" s="3090"/>
      <c r="V407" s="3090" t="s">
        <v>295</v>
      </c>
      <c r="W407" s="3090" t="s">
        <v>6793</v>
      </c>
      <c r="X407" s="3090" t="s">
        <v>213</v>
      </c>
      <c r="Y407" s="3091" t="s">
        <v>164</v>
      </c>
    </row>
    <row r="408" spans="1:25" ht="18" hidden="1">
      <c r="A408" s="1304"/>
      <c r="B408" s="643"/>
      <c r="C408" s="643" t="s">
        <v>2200</v>
      </c>
      <c r="D408" s="1313">
        <v>3</v>
      </c>
      <c r="E408" s="1310" t="str">
        <f t="shared" si="59"/>
        <v xml:space="preserve">        ----</v>
      </c>
      <c r="F408" s="163" t="s">
        <v>2201</v>
      </c>
      <c r="G408" s="1314" t="str">
        <f t="shared" si="60"/>
        <v xml:space="preserve">        ----</v>
      </c>
      <c r="H408" s="1315" t="s">
        <v>6795</v>
      </c>
      <c r="I408" s="3080" t="s">
        <v>6799</v>
      </c>
      <c r="J408" s="1293"/>
      <c r="K408" s="1314" t="str">
        <f t="shared" si="55"/>
        <v xml:space="preserve">        ----</v>
      </c>
      <c r="L408" s="1315" t="s">
        <v>6795</v>
      </c>
      <c r="M408" s="3080" t="s">
        <v>6799</v>
      </c>
      <c r="N408" s="1293"/>
      <c r="O408" s="3087"/>
      <c r="P408" s="3088"/>
      <c r="Q408" s="3088"/>
      <c r="R408" s="3088"/>
      <c r="S408" s="3089" t="s">
        <v>295</v>
      </c>
      <c r="T408" s="3089" t="s">
        <v>213</v>
      </c>
      <c r="U408" s="3090"/>
      <c r="V408" s="3090" t="s">
        <v>295</v>
      </c>
      <c r="W408" s="3090" t="s">
        <v>6793</v>
      </c>
      <c r="X408" s="3090" t="s">
        <v>213</v>
      </c>
      <c r="Y408" s="3091" t="s">
        <v>164</v>
      </c>
    </row>
    <row r="409" spans="1:25" ht="18.75" thickBot="1">
      <c r="A409" s="1304"/>
      <c r="B409" s="643"/>
      <c r="C409" s="643"/>
      <c r="D409" s="1316"/>
      <c r="E409" s="1316"/>
      <c r="F409" s="1316"/>
      <c r="G409" s="1316"/>
      <c r="H409" s="1316"/>
      <c r="I409" s="3082"/>
      <c r="J409" s="3082"/>
      <c r="K409" s="1316"/>
      <c r="L409" s="1316"/>
      <c r="M409" s="3082"/>
      <c r="N409" s="3082"/>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v+tX+0RPlqjyGfpcx9j112nGGHg7GUuzrSdoDui5iQuOWVsigJVh3H+RH2UcviVh7zRmISv4XCu/qvuivNJ9vQ==" saltValue="n1dJ5RybPq8IeaHJdnOL4A==" spinCount="100000" sheet="1" scenarios="1" formatCells="0" autoFilter="0"/>
  <autoFilter ref="B8:Y408">
    <filterColumn colId="2">
      <filters>
        <filter val="1"/>
      </filters>
    </filterColumn>
  </autoFilter>
  <phoneticPr fontId="163" type="noConversion"/>
  <conditionalFormatting sqref="I9:I408 M9:M408">
    <cfRule type="expression" dxfId="4092"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华软金信科技（北京）有限公司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43861</v>
      </c>
      <c r="M3" s="1286" t="s">
        <v>2524</v>
      </c>
      <c r="N3" s="2790" t="s">
        <v>6591</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61" t="str">
        <f t="shared" ref="E9:E40" si="0">VLOOKUP(D9,Sheet_Items,2,0)</f>
        <v>资产</v>
      </c>
      <c r="F9" s="1270">
        <f>Area_RepDate</f>
        <v>43830</v>
      </c>
      <c r="G9" s="3066">
        <f ca="1">INDIRECT(C9&amp;"!CheckA"&amp;D9)</f>
        <v>0</v>
      </c>
      <c r="H9" s="1271" t="s">
        <v>59</v>
      </c>
      <c r="I9" s="1269">
        <v>5000</v>
      </c>
      <c r="J9" s="3061" t="str">
        <f t="shared" ref="J9:J40" si="1">VLOOKUP(I9,Sheet_Items,2,0)</f>
        <v>负债和所有者权益</v>
      </c>
      <c r="K9" s="1270">
        <f>Area_RepDate</f>
        <v>43830</v>
      </c>
      <c r="L9" s="3066">
        <f ca="1">INDIRECT(H9&amp;"!CheckA"&amp;I9)</f>
        <v>-25297789.149999999</v>
      </c>
      <c r="M9" s="70">
        <f t="shared" ref="M9:M40" ca="1" si="2">ROUND(G9-L9,2)</f>
        <v>25297789.149999999</v>
      </c>
      <c r="N9" s="1293" t="str">
        <f t="shared" ref="N9:N40" ca="1" si="3">IF(M9=0,"√","×")</f>
        <v>×</v>
      </c>
      <c r="O9" s="641"/>
      <c r="P9" s="641"/>
      <c r="Q9" s="641"/>
      <c r="R9" s="641"/>
    </row>
    <row r="10" spans="1:18" ht="18">
      <c r="A10" s="30"/>
      <c r="B10" s="3054" t="s">
        <v>79</v>
      </c>
      <c r="C10" s="3055" t="s">
        <v>59</v>
      </c>
      <c r="D10" s="3056">
        <v>1999</v>
      </c>
      <c r="E10" s="3062" t="str">
        <f t="shared" si="0"/>
        <v>资产</v>
      </c>
      <c r="F10" s="3057">
        <f>Area_RepDate1</f>
        <v>43465</v>
      </c>
      <c r="G10" s="3067">
        <f ca="1">INDIRECT(C10&amp;"!CheckB"&amp;D10)</f>
        <v>451984233.54000002</v>
      </c>
      <c r="H10" s="3058" t="s">
        <v>59</v>
      </c>
      <c r="I10" s="3056">
        <v>5000</v>
      </c>
      <c r="J10" s="3062" t="str">
        <f t="shared" si="1"/>
        <v>负债和所有者权益</v>
      </c>
      <c r="K10" s="3057">
        <f>Area_RepDate1</f>
        <v>43465</v>
      </c>
      <c r="L10" s="3067">
        <f ca="1">INDIRECT(H10&amp;"!CheckB"&amp;I10)</f>
        <v>451984233.54000002</v>
      </c>
      <c r="M10" s="3059">
        <f t="shared" ca="1" si="2"/>
        <v>0</v>
      </c>
      <c r="N10" s="3060" t="str">
        <f t="shared" ca="1" si="3"/>
        <v>√</v>
      </c>
      <c r="O10" s="641"/>
      <c r="P10" s="641"/>
      <c r="Q10" s="641"/>
      <c r="R10" s="641"/>
    </row>
    <row r="11" spans="1:18" ht="24">
      <c r="A11" s="30"/>
      <c r="B11" s="3054" t="s">
        <v>96</v>
      </c>
      <c r="C11" s="3055" t="s">
        <v>97</v>
      </c>
      <c r="D11" s="3056">
        <v>6811</v>
      </c>
      <c r="E11" s="3063" t="str">
        <f t="shared" si="0"/>
        <v>归属于母公司所有者的净利润</v>
      </c>
      <c r="F11" s="3057" t="str">
        <f>Area_RepDuration</f>
        <v>2019年度</v>
      </c>
      <c r="G11" s="3068">
        <f ca="1">INDIRECT(C11&amp;"!CheckA"&amp;D11)</f>
        <v>-25297789.149999999</v>
      </c>
      <c r="H11" s="3058" t="s">
        <v>99</v>
      </c>
      <c r="I11" s="3056">
        <v>8740</v>
      </c>
      <c r="J11" s="3063" t="str">
        <f t="shared" si="1"/>
        <v>未分配利润_综合收益总额增加权益</v>
      </c>
      <c r="K11" s="3057" t="str">
        <f>Area_RepDuration</f>
        <v>2019年度</v>
      </c>
      <c r="L11" s="3068">
        <f ca="1">INDIRECT(H11&amp;"!CheckA"&amp;I11)</f>
        <v>-25297789.149999999</v>
      </c>
      <c r="M11" s="3059">
        <f t="shared" ca="1" si="2"/>
        <v>0</v>
      </c>
      <c r="N11" s="3060" t="str">
        <f t="shared" ca="1" si="3"/>
        <v>√</v>
      </c>
      <c r="O11" s="641"/>
      <c r="P11" s="641"/>
      <c r="Q11" s="641"/>
      <c r="R11" s="641"/>
    </row>
    <row r="12" spans="1:18" ht="24">
      <c r="A12" s="30"/>
      <c r="B12" s="3054" t="s">
        <v>115</v>
      </c>
      <c r="C12" s="3055" t="s">
        <v>97</v>
      </c>
      <c r="D12" s="3056">
        <v>6811</v>
      </c>
      <c r="E12" s="3062" t="str">
        <f t="shared" si="0"/>
        <v>归属于母公司所有者的净利润</v>
      </c>
      <c r="F12" s="3057" t="str">
        <f>Area_RepDuration1</f>
        <v>2018年度</v>
      </c>
      <c r="G12" s="3067">
        <f ca="1">INDIRECT(C12&amp;"!CheckB"&amp;D12)</f>
        <v>-22510882.850000001</v>
      </c>
      <c r="H12" s="3058" t="s">
        <v>99</v>
      </c>
      <c r="I12" s="3056">
        <v>8740</v>
      </c>
      <c r="J12" s="3062" t="str">
        <f t="shared" si="1"/>
        <v>未分配利润_综合收益总额增加权益</v>
      </c>
      <c r="K12" s="3057" t="str">
        <f>Area_RepDuration1</f>
        <v>2018年度</v>
      </c>
      <c r="L12" s="3067">
        <f ca="1">INDIRECT(H12&amp;"!CheckB"&amp;I12)</f>
        <v>-22510882.850000001</v>
      </c>
      <c r="M12" s="3059">
        <f t="shared" ca="1" si="2"/>
        <v>0</v>
      </c>
      <c r="N12" s="3060" t="str">
        <f t="shared" ca="1" si="3"/>
        <v>√</v>
      </c>
      <c r="O12" s="641"/>
      <c r="P12" s="641"/>
      <c r="Q12" s="641"/>
      <c r="R12" s="641"/>
    </row>
    <row r="13" spans="1:18" ht="24">
      <c r="A13" s="30"/>
      <c r="B13" s="3054" t="s">
        <v>130</v>
      </c>
      <c r="C13" s="3055" t="s">
        <v>97</v>
      </c>
      <c r="D13" s="3056">
        <v>6839</v>
      </c>
      <c r="E13" s="3063" t="str">
        <f t="shared" si="0"/>
        <v>综合收益总额</v>
      </c>
      <c r="F13" s="3057" t="str">
        <f>Area_RepDuration</f>
        <v>2019年度</v>
      </c>
      <c r="G13" s="3068">
        <f ca="1">INDIRECT(C13&amp;"!CheckA"&amp;D13)</f>
        <v>-25297789.149999999</v>
      </c>
      <c r="H13" s="3058" t="s">
        <v>99</v>
      </c>
      <c r="I13" s="3056">
        <v>8040</v>
      </c>
      <c r="J13" s="3063" t="str">
        <f t="shared" si="1"/>
        <v>所有者权益_综合收益总额增加权益</v>
      </c>
      <c r="K13" s="3057" t="str">
        <f>Area_RepDuration</f>
        <v>2019年度</v>
      </c>
      <c r="L13" s="3068">
        <f ca="1">INDIRECT(H13&amp;"!CheckA"&amp;I13)</f>
        <v>-25297789.149999999</v>
      </c>
      <c r="M13" s="3059">
        <f t="shared" ca="1" si="2"/>
        <v>0</v>
      </c>
      <c r="N13" s="3060" t="str">
        <f t="shared" ca="1" si="3"/>
        <v>√</v>
      </c>
      <c r="O13" s="641"/>
      <c r="P13" s="641"/>
      <c r="Q13" s="641"/>
      <c r="R13" s="641"/>
    </row>
    <row r="14" spans="1:18" ht="24">
      <c r="A14" s="30"/>
      <c r="B14" s="3054" t="s">
        <v>143</v>
      </c>
      <c r="C14" s="3055" t="s">
        <v>97</v>
      </c>
      <c r="D14" s="3056">
        <v>6839</v>
      </c>
      <c r="E14" s="3062" t="str">
        <f t="shared" si="0"/>
        <v>综合收益总额</v>
      </c>
      <c r="F14" s="3057" t="str">
        <f>Area_RepDuration1</f>
        <v>2018年度</v>
      </c>
      <c r="G14" s="3067">
        <f ca="1">INDIRECT(C14&amp;"!CheckB"&amp;D14)</f>
        <v>-22510882.850000001</v>
      </c>
      <c r="H14" s="3058" t="s">
        <v>99</v>
      </c>
      <c r="I14" s="3056">
        <v>8040</v>
      </c>
      <c r="J14" s="3062" t="str">
        <f t="shared" si="1"/>
        <v>所有者权益_综合收益总额增加权益</v>
      </c>
      <c r="K14" s="3057" t="str">
        <f>Area_RepDuration1</f>
        <v>2018年度</v>
      </c>
      <c r="L14" s="3067">
        <f ca="1">INDIRECT(H14&amp;"!CheckB"&amp;I14)</f>
        <v>-22510882.850000001</v>
      </c>
      <c r="M14" s="3059">
        <f t="shared" ca="1" si="2"/>
        <v>0</v>
      </c>
      <c r="N14" s="3060" t="str">
        <f t="shared" ca="1" si="3"/>
        <v>√</v>
      </c>
      <c r="O14" s="641"/>
      <c r="P14" s="641"/>
      <c r="Q14" s="641"/>
      <c r="R14" s="641"/>
    </row>
    <row r="15" spans="1:18" ht="36">
      <c r="A15" s="30"/>
      <c r="B15" s="3054" t="s">
        <v>155</v>
      </c>
      <c r="C15" s="3055" t="s">
        <v>97</v>
      </c>
      <c r="D15" s="3056">
        <v>6842</v>
      </c>
      <c r="E15" s="3063" t="str">
        <f t="shared" si="0"/>
        <v>归属于少数股东的综合收益总额</v>
      </c>
      <c r="F15" s="3057" t="str">
        <f>Area_RepDuration</f>
        <v>2019年度</v>
      </c>
      <c r="G15" s="3068">
        <f ca="1">INDIRECT(C15&amp;"!CheckA"&amp;D15)</f>
        <v>0</v>
      </c>
      <c r="H15" s="3058" t="s">
        <v>99</v>
      </c>
      <c r="I15" s="3056">
        <v>8940</v>
      </c>
      <c r="J15" s="3063" t="str">
        <f t="shared" si="1"/>
        <v>少数股东权益_综合收益总额增加权益</v>
      </c>
      <c r="K15" s="3057" t="str">
        <f>Area_RepDuration</f>
        <v>2019年度</v>
      </c>
      <c r="L15" s="3068">
        <f ca="1">INDIRECT(H15&amp;"!CheckA"&amp;I15)</f>
        <v>0</v>
      </c>
      <c r="M15" s="3059">
        <f t="shared" ca="1" si="2"/>
        <v>0</v>
      </c>
      <c r="N15" s="3060" t="str">
        <f t="shared" ca="1" si="3"/>
        <v>√</v>
      </c>
      <c r="O15" s="641"/>
      <c r="P15" s="641"/>
      <c r="Q15" s="641"/>
      <c r="R15" s="641"/>
    </row>
    <row r="16" spans="1:18" ht="36">
      <c r="A16" s="30"/>
      <c r="B16" s="3054" t="s">
        <v>166</v>
      </c>
      <c r="C16" s="3055" t="s">
        <v>97</v>
      </c>
      <c r="D16" s="3056">
        <v>6842</v>
      </c>
      <c r="E16" s="3062" t="str">
        <f t="shared" si="0"/>
        <v>归属于少数股东的综合收益总额</v>
      </c>
      <c r="F16" s="3057" t="str">
        <f>Area_RepDuration1</f>
        <v>2018年度</v>
      </c>
      <c r="G16" s="3067">
        <f ca="1">INDIRECT(C16&amp;"!CheckB"&amp;D16)</f>
        <v>0</v>
      </c>
      <c r="H16" s="3058" t="s">
        <v>99</v>
      </c>
      <c r="I16" s="3056">
        <v>8940</v>
      </c>
      <c r="J16" s="3062" t="str">
        <f t="shared" si="1"/>
        <v>少数股东权益_综合收益总额增加权益</v>
      </c>
      <c r="K16" s="3057" t="str">
        <f t="shared" ref="K16:K25" si="4">Area_RepDuration1</f>
        <v>2018年度</v>
      </c>
      <c r="L16" s="3067">
        <f t="shared" ref="L16:L25" ca="1" si="5">INDIRECT(H16&amp;"!CheckB"&amp;I16)</f>
        <v>0</v>
      </c>
      <c r="M16" s="3059">
        <f t="shared" ca="1" si="2"/>
        <v>0</v>
      </c>
      <c r="N16" s="3060" t="str">
        <f t="shared" ca="1" si="3"/>
        <v>√</v>
      </c>
      <c r="O16" s="641"/>
      <c r="P16" s="641"/>
      <c r="Q16" s="641"/>
      <c r="R16" s="641"/>
    </row>
    <row r="17" spans="1:18" ht="24">
      <c r="A17" s="30"/>
      <c r="B17" s="3054" t="s">
        <v>175</v>
      </c>
      <c r="C17" s="3055" t="s">
        <v>99</v>
      </c>
      <c r="D17" s="3056">
        <v>8110</v>
      </c>
      <c r="E17" s="3063" t="str">
        <f t="shared" si="0"/>
        <v>实收资本_本年年初余额</v>
      </c>
      <c r="F17" s="3057" t="str">
        <f t="shared" ref="F17:F26" si="6">Area_RepDuration</f>
        <v>2019年度</v>
      </c>
      <c r="G17" s="3068">
        <f t="shared" ref="G17:G26" ca="1" si="7">INDIRECT(C17&amp;"!CheckA"&amp;D17)</f>
        <v>0</v>
      </c>
      <c r="H17" s="3058" t="s">
        <v>99</v>
      </c>
      <c r="I17" s="3056">
        <v>8199</v>
      </c>
      <c r="J17" s="3062" t="str">
        <f t="shared" si="1"/>
        <v>实收资本_本期期末余额</v>
      </c>
      <c r="K17" s="3057" t="str">
        <f t="shared" si="4"/>
        <v>2018年度</v>
      </c>
      <c r="L17" s="3067">
        <f t="shared" ca="1" si="5"/>
        <v>100000000</v>
      </c>
      <c r="M17" s="3059">
        <f t="shared" ca="1" si="2"/>
        <v>-100000000</v>
      </c>
      <c r="N17" s="3060" t="str">
        <f t="shared" ca="1" si="3"/>
        <v>×</v>
      </c>
      <c r="O17" s="641"/>
      <c r="P17" s="641"/>
      <c r="Q17" s="641"/>
      <c r="R17" s="641"/>
    </row>
    <row r="18" spans="1:18" ht="24">
      <c r="A18" s="30"/>
      <c r="B18" s="3054" t="s">
        <v>184</v>
      </c>
      <c r="C18" s="3055" t="s">
        <v>99</v>
      </c>
      <c r="D18" s="3056">
        <v>8210</v>
      </c>
      <c r="E18" s="3063" t="str">
        <f t="shared" si="0"/>
        <v>资本公积_本年年初余额</v>
      </c>
      <c r="F18" s="3057" t="str">
        <f t="shared" si="6"/>
        <v>2019年度</v>
      </c>
      <c r="G18" s="3068">
        <f t="shared" ca="1" si="7"/>
        <v>0</v>
      </c>
      <c r="H18" s="3058" t="s">
        <v>99</v>
      </c>
      <c r="I18" s="3056">
        <v>8299</v>
      </c>
      <c r="J18" s="3062" t="str">
        <f t="shared" si="1"/>
        <v>资本公积_本期期末余额</v>
      </c>
      <c r="K18" s="3057" t="str">
        <f t="shared" si="4"/>
        <v>2018年度</v>
      </c>
      <c r="L18" s="3067">
        <f t="shared" ca="1" si="5"/>
        <v>0</v>
      </c>
      <c r="M18" s="3059">
        <f t="shared" ca="1" si="2"/>
        <v>0</v>
      </c>
      <c r="N18" s="3060" t="str">
        <f t="shared" ca="1" si="3"/>
        <v>√</v>
      </c>
      <c r="O18" s="641"/>
      <c r="P18" s="641"/>
      <c r="Q18" s="641"/>
      <c r="R18" s="641"/>
    </row>
    <row r="19" spans="1:18" ht="24">
      <c r="A19" s="30"/>
      <c r="B19" s="3054" t="s">
        <v>195</v>
      </c>
      <c r="C19" s="3055" t="s">
        <v>99</v>
      </c>
      <c r="D19" s="3056">
        <v>8310</v>
      </c>
      <c r="E19" s="3063" t="str">
        <f t="shared" si="0"/>
        <v>库存股_本年年初余额</v>
      </c>
      <c r="F19" s="3057" t="str">
        <f t="shared" si="6"/>
        <v>2019年度</v>
      </c>
      <c r="G19" s="3068">
        <f t="shared" ca="1" si="7"/>
        <v>0</v>
      </c>
      <c r="H19" s="3058" t="s">
        <v>99</v>
      </c>
      <c r="I19" s="3056">
        <v>8399</v>
      </c>
      <c r="J19" s="3062" t="str">
        <f t="shared" si="1"/>
        <v>库存股_本期期末余额</v>
      </c>
      <c r="K19" s="3057" t="str">
        <f t="shared" si="4"/>
        <v>2018年度</v>
      </c>
      <c r="L19" s="3067">
        <f t="shared" ca="1" si="5"/>
        <v>0</v>
      </c>
      <c r="M19" s="3059">
        <f t="shared" ca="1" si="2"/>
        <v>0</v>
      </c>
      <c r="N19" s="3060" t="str">
        <f t="shared" ca="1" si="3"/>
        <v>√</v>
      </c>
      <c r="O19" s="641"/>
      <c r="P19" s="641"/>
      <c r="Q19" s="641"/>
      <c r="R19" s="641"/>
    </row>
    <row r="20" spans="1:18" ht="24">
      <c r="A20" s="30"/>
      <c r="B20" s="3054" t="s">
        <v>204</v>
      </c>
      <c r="C20" s="3055" t="s">
        <v>99</v>
      </c>
      <c r="D20" s="3056">
        <v>8410</v>
      </c>
      <c r="E20" s="3063" t="str">
        <f t="shared" si="0"/>
        <v>专项储备_本年年初余额</v>
      </c>
      <c r="F20" s="3057" t="str">
        <f t="shared" si="6"/>
        <v>2019年度</v>
      </c>
      <c r="G20" s="3068">
        <f t="shared" ca="1" si="7"/>
        <v>0</v>
      </c>
      <c r="H20" s="3058" t="s">
        <v>99</v>
      </c>
      <c r="I20" s="3056">
        <v>8499</v>
      </c>
      <c r="J20" s="3062" t="str">
        <f t="shared" si="1"/>
        <v>专项储备_本期期末余额</v>
      </c>
      <c r="K20" s="3057" t="str">
        <f t="shared" si="4"/>
        <v>2018年度</v>
      </c>
      <c r="L20" s="3067">
        <f t="shared" ca="1" si="5"/>
        <v>0</v>
      </c>
      <c r="M20" s="3059">
        <f t="shared" ca="1" si="2"/>
        <v>0</v>
      </c>
      <c r="N20" s="3060" t="str">
        <f t="shared" ca="1" si="3"/>
        <v>√</v>
      </c>
      <c r="O20" s="641"/>
      <c r="P20" s="641"/>
      <c r="Q20" s="641"/>
      <c r="R20" s="641"/>
    </row>
    <row r="21" spans="1:18" ht="24">
      <c r="A21" s="30"/>
      <c r="B21" s="3054" t="s">
        <v>214</v>
      </c>
      <c r="C21" s="3055" t="s">
        <v>99</v>
      </c>
      <c r="D21" s="3056">
        <v>8510</v>
      </c>
      <c r="E21" s="3063" t="str">
        <f t="shared" si="0"/>
        <v>盈余公积_本年年初余额</v>
      </c>
      <c r="F21" s="3057" t="str">
        <f t="shared" si="6"/>
        <v>2019年度</v>
      </c>
      <c r="G21" s="3068">
        <f t="shared" ca="1" si="7"/>
        <v>0</v>
      </c>
      <c r="H21" s="3058" t="s">
        <v>99</v>
      </c>
      <c r="I21" s="3056">
        <v>8599</v>
      </c>
      <c r="J21" s="3062" t="str">
        <f t="shared" si="1"/>
        <v>盈余公积_本期期末余额</v>
      </c>
      <c r="K21" s="3057" t="str">
        <f t="shared" si="4"/>
        <v>2018年度</v>
      </c>
      <c r="L21" s="3067">
        <f t="shared" ca="1" si="5"/>
        <v>0</v>
      </c>
      <c r="M21" s="3059">
        <f t="shared" ca="1" si="2"/>
        <v>0</v>
      </c>
      <c r="N21" s="3060" t="str">
        <f t="shared" ca="1" si="3"/>
        <v>√</v>
      </c>
      <c r="O21" s="641"/>
      <c r="P21" s="641"/>
      <c r="Q21" s="641"/>
      <c r="R21" s="641"/>
    </row>
    <row r="22" spans="1:18" ht="24">
      <c r="A22" s="30"/>
      <c r="B22" s="3054" t="s">
        <v>224</v>
      </c>
      <c r="C22" s="3055" t="s">
        <v>99</v>
      </c>
      <c r="D22" s="3056">
        <v>8610</v>
      </c>
      <c r="E22" s="3063" t="str">
        <f t="shared" si="0"/>
        <v>一般风险准备_本年年初余额</v>
      </c>
      <c r="F22" s="3057" t="str">
        <f t="shared" si="6"/>
        <v>2019年度</v>
      </c>
      <c r="G22" s="3068">
        <f t="shared" ca="1" si="7"/>
        <v>0</v>
      </c>
      <c r="H22" s="3058" t="s">
        <v>99</v>
      </c>
      <c r="I22" s="3056">
        <v>8699</v>
      </c>
      <c r="J22" s="3062" t="str">
        <f t="shared" si="1"/>
        <v>一般风险准备_本期期末余额</v>
      </c>
      <c r="K22" s="3057" t="str">
        <f t="shared" si="4"/>
        <v>2018年度</v>
      </c>
      <c r="L22" s="3067">
        <f t="shared" ca="1" si="5"/>
        <v>0</v>
      </c>
      <c r="M22" s="3059">
        <f t="shared" ca="1" si="2"/>
        <v>0</v>
      </c>
      <c r="N22" s="3060" t="str">
        <f t="shared" ca="1" si="3"/>
        <v>√</v>
      </c>
      <c r="O22" s="641"/>
      <c r="P22" s="641"/>
      <c r="Q22" s="641"/>
      <c r="R22" s="641"/>
    </row>
    <row r="23" spans="1:18" ht="24">
      <c r="A23" s="30"/>
      <c r="B23" s="3054" t="s">
        <v>232</v>
      </c>
      <c r="C23" s="3055" t="s">
        <v>99</v>
      </c>
      <c r="D23" s="3056">
        <v>8710</v>
      </c>
      <c r="E23" s="3063" t="str">
        <f t="shared" si="0"/>
        <v>未分配利润_本年年初余额</v>
      </c>
      <c r="F23" s="3057" t="str">
        <f t="shared" si="6"/>
        <v>2019年度</v>
      </c>
      <c r="G23" s="3068">
        <f t="shared" ca="1" si="7"/>
        <v>0</v>
      </c>
      <c r="H23" s="3058" t="s">
        <v>99</v>
      </c>
      <c r="I23" s="3056">
        <v>8799</v>
      </c>
      <c r="J23" s="3062" t="str">
        <f t="shared" si="1"/>
        <v>未分配利润_本期期末余额</v>
      </c>
      <c r="K23" s="3057" t="str">
        <f t="shared" si="4"/>
        <v>2018年度</v>
      </c>
      <c r="L23" s="3067">
        <f t="shared" ca="1" si="5"/>
        <v>-47230884.140000001</v>
      </c>
      <c r="M23" s="3059">
        <f t="shared" ca="1" si="2"/>
        <v>47230884.140000001</v>
      </c>
      <c r="N23" s="3060" t="str">
        <f t="shared" ca="1" si="3"/>
        <v>×</v>
      </c>
      <c r="O23" s="641"/>
      <c r="P23" s="641"/>
      <c r="Q23" s="641"/>
      <c r="R23" s="641"/>
    </row>
    <row r="24" spans="1:18" ht="36">
      <c r="A24" s="30"/>
      <c r="B24" s="3054" t="s">
        <v>240</v>
      </c>
      <c r="C24" s="3055" t="s">
        <v>99</v>
      </c>
      <c r="D24" s="3056">
        <v>8810</v>
      </c>
      <c r="E24" s="3063" t="str">
        <f t="shared" si="0"/>
        <v>其他归属于母公司所有者权益_本年年初余额</v>
      </c>
      <c r="F24" s="3057" t="str">
        <f t="shared" si="6"/>
        <v>2019年度</v>
      </c>
      <c r="G24" s="3068">
        <f t="shared" ca="1" si="7"/>
        <v>0</v>
      </c>
      <c r="H24" s="3058" t="s">
        <v>99</v>
      </c>
      <c r="I24" s="3056">
        <v>8899</v>
      </c>
      <c r="J24" s="3062" t="str">
        <f t="shared" si="1"/>
        <v>其他归属于母公司所有者权益_本期期末余额</v>
      </c>
      <c r="K24" s="3057" t="str">
        <f t="shared" si="4"/>
        <v>2018年度</v>
      </c>
      <c r="L24" s="3067">
        <f t="shared" ca="1" si="5"/>
        <v>0</v>
      </c>
      <c r="M24" s="3059">
        <f t="shared" ca="1" si="2"/>
        <v>0</v>
      </c>
      <c r="N24" s="3060" t="str">
        <f t="shared" ca="1" si="3"/>
        <v>√</v>
      </c>
      <c r="O24" s="641"/>
      <c r="P24" s="641"/>
      <c r="Q24" s="641"/>
      <c r="R24" s="641"/>
    </row>
    <row r="25" spans="1:18" ht="24">
      <c r="A25" s="30"/>
      <c r="B25" s="3054" t="s">
        <v>250</v>
      </c>
      <c r="C25" s="3055" t="s">
        <v>99</v>
      </c>
      <c r="D25" s="3056">
        <v>8010</v>
      </c>
      <c r="E25" s="3063" t="str">
        <f t="shared" si="0"/>
        <v>所有者权益_本年年初余额</v>
      </c>
      <c r="F25" s="3057" t="str">
        <f t="shared" si="6"/>
        <v>2019年度</v>
      </c>
      <c r="G25" s="3068">
        <f t="shared" ca="1" si="7"/>
        <v>0</v>
      </c>
      <c r="H25" s="3058" t="s">
        <v>99</v>
      </c>
      <c r="I25" s="3056">
        <v>8099</v>
      </c>
      <c r="J25" s="3062" t="str">
        <f t="shared" si="1"/>
        <v>所有者权益_本期期末余额</v>
      </c>
      <c r="K25" s="3057" t="str">
        <f t="shared" si="4"/>
        <v>2018年度</v>
      </c>
      <c r="L25" s="3067">
        <f t="shared" ca="1" si="5"/>
        <v>52769115.859999999</v>
      </c>
      <c r="M25" s="3059">
        <f t="shared" ca="1" si="2"/>
        <v>-52769115.859999999</v>
      </c>
      <c r="N25" s="3060" t="str">
        <f t="shared" ca="1" si="3"/>
        <v>×</v>
      </c>
      <c r="O25" s="641"/>
      <c r="P25" s="641"/>
      <c r="Q25" s="641"/>
      <c r="R25" s="641"/>
    </row>
    <row r="26" spans="1:18" ht="24">
      <c r="A26" s="30"/>
      <c r="B26" s="3054" t="s">
        <v>260</v>
      </c>
      <c r="C26" s="3055" t="s">
        <v>99</v>
      </c>
      <c r="D26" s="3056">
        <v>8199</v>
      </c>
      <c r="E26" s="3063" t="str">
        <f t="shared" si="0"/>
        <v>实收资本_本期期末余额</v>
      </c>
      <c r="F26" s="3057" t="str">
        <f t="shared" si="6"/>
        <v>2019年度</v>
      </c>
      <c r="G26" s="3068">
        <f t="shared" ca="1" si="7"/>
        <v>0</v>
      </c>
      <c r="H26" s="3058" t="s">
        <v>59</v>
      </c>
      <c r="I26" s="3056">
        <v>4001</v>
      </c>
      <c r="J26" s="3063" t="str">
        <f t="shared" si="1"/>
        <v>实收资本</v>
      </c>
      <c r="K26" s="3057">
        <f>Area_RepDate</f>
        <v>43830</v>
      </c>
      <c r="L26" s="3068">
        <f ca="1">INDIRECT(H26&amp;"!CheckA"&amp;I26)</f>
        <v>0</v>
      </c>
      <c r="M26" s="3059">
        <f t="shared" ca="1" si="2"/>
        <v>0</v>
      </c>
      <c r="N26" s="3060" t="str">
        <f t="shared" ca="1" si="3"/>
        <v>√</v>
      </c>
      <c r="O26" s="641"/>
      <c r="P26" s="641"/>
      <c r="Q26" s="641"/>
      <c r="R26" s="641"/>
    </row>
    <row r="27" spans="1:18" ht="24">
      <c r="A27" s="30"/>
      <c r="B27" s="3054" t="s">
        <v>268</v>
      </c>
      <c r="C27" s="3055" t="s">
        <v>99</v>
      </c>
      <c r="D27" s="3056">
        <v>8199</v>
      </c>
      <c r="E27" s="3062" t="str">
        <f t="shared" si="0"/>
        <v>实收资本_本期期末余额</v>
      </c>
      <c r="F27" s="3057" t="str">
        <f>Area_RepDuration1</f>
        <v>2018年度</v>
      </c>
      <c r="G27" s="3067">
        <f ca="1">INDIRECT(C27&amp;"!CheckB"&amp;D27)</f>
        <v>100000000</v>
      </c>
      <c r="H27" s="3058" t="s">
        <v>59</v>
      </c>
      <c r="I27" s="3056">
        <v>4001</v>
      </c>
      <c r="J27" s="3062" t="str">
        <f t="shared" si="1"/>
        <v>实收资本</v>
      </c>
      <c r="K27" s="3057">
        <f>Area_RepDate1</f>
        <v>43465</v>
      </c>
      <c r="L27" s="3067">
        <f ca="1">INDIRECT(H27&amp;"!CheckB"&amp;I27)</f>
        <v>100000000</v>
      </c>
      <c r="M27" s="3059">
        <f t="shared" ca="1" si="2"/>
        <v>0</v>
      </c>
      <c r="N27" s="3060" t="str">
        <f t="shared" ca="1" si="3"/>
        <v>√</v>
      </c>
      <c r="O27" s="641"/>
      <c r="P27" s="641"/>
      <c r="Q27" s="641"/>
      <c r="R27" s="641"/>
    </row>
    <row r="28" spans="1:18" ht="24">
      <c r="A28" s="30"/>
      <c r="B28" s="3054" t="s">
        <v>277</v>
      </c>
      <c r="C28" s="3055" t="s">
        <v>99</v>
      </c>
      <c r="D28" s="3056">
        <v>8299</v>
      </c>
      <c r="E28" s="3063" t="str">
        <f t="shared" si="0"/>
        <v>资本公积_本期期末余额</v>
      </c>
      <c r="F28" s="3057" t="str">
        <f>Area_RepDuration</f>
        <v>2019年度</v>
      </c>
      <c r="G28" s="3068">
        <f ca="1">INDIRECT(C28&amp;"!CheckA"&amp;D28)</f>
        <v>0</v>
      </c>
      <c r="H28" s="3058" t="s">
        <v>59</v>
      </c>
      <c r="I28" s="3056">
        <v>4002</v>
      </c>
      <c r="J28" s="3063" t="str">
        <f t="shared" si="1"/>
        <v>资本公积</v>
      </c>
      <c r="K28" s="3057">
        <f>Area_RepDate</f>
        <v>43830</v>
      </c>
      <c r="L28" s="3068">
        <f ca="1">INDIRECT(H28&amp;"!CheckA"&amp;I28)</f>
        <v>0</v>
      </c>
      <c r="M28" s="3059">
        <f t="shared" ca="1" si="2"/>
        <v>0</v>
      </c>
      <c r="N28" s="3060" t="str">
        <f t="shared" ca="1" si="3"/>
        <v>√</v>
      </c>
      <c r="O28" s="641"/>
      <c r="P28" s="641"/>
      <c r="Q28" s="641"/>
      <c r="R28" s="641"/>
    </row>
    <row r="29" spans="1:18" ht="24">
      <c r="A29" s="30"/>
      <c r="B29" s="3054" t="s">
        <v>285</v>
      </c>
      <c r="C29" s="3055" t="s">
        <v>99</v>
      </c>
      <c r="D29" s="3056">
        <v>8299</v>
      </c>
      <c r="E29" s="3062" t="str">
        <f t="shared" si="0"/>
        <v>资本公积_本期期末余额</v>
      </c>
      <c r="F29" s="3057" t="str">
        <f>Area_RepDuration1</f>
        <v>2018年度</v>
      </c>
      <c r="G29" s="3067">
        <f ca="1">INDIRECT(C29&amp;"!CheckB"&amp;D29)</f>
        <v>0</v>
      </c>
      <c r="H29" s="3058" t="s">
        <v>59</v>
      </c>
      <c r="I29" s="3056">
        <v>4002</v>
      </c>
      <c r="J29" s="3062" t="str">
        <f t="shared" si="1"/>
        <v>资本公积</v>
      </c>
      <c r="K29" s="3057">
        <f>Area_RepDate1</f>
        <v>43465</v>
      </c>
      <c r="L29" s="3067">
        <f ca="1">INDIRECT(H29&amp;"!CheckB"&amp;I29)</f>
        <v>0</v>
      </c>
      <c r="M29" s="3059">
        <f t="shared" ca="1" si="2"/>
        <v>0</v>
      </c>
      <c r="N29" s="3060" t="str">
        <f t="shared" ca="1" si="3"/>
        <v>√</v>
      </c>
      <c r="O29" s="641"/>
      <c r="P29" s="641"/>
      <c r="Q29" s="641"/>
      <c r="R29" s="641"/>
    </row>
    <row r="30" spans="1:18" ht="24">
      <c r="A30" s="30"/>
      <c r="B30" s="3054" t="s">
        <v>296</v>
      </c>
      <c r="C30" s="3055" t="s">
        <v>99</v>
      </c>
      <c r="D30" s="3056">
        <v>8399</v>
      </c>
      <c r="E30" s="3063" t="str">
        <f t="shared" si="0"/>
        <v>库存股_本期期末余额</v>
      </c>
      <c r="F30" s="3057" t="str">
        <f>Area_RepDuration</f>
        <v>2019年度</v>
      </c>
      <c r="G30" s="3068">
        <f ca="1">INDIRECT(C30&amp;"!CheckA"&amp;D30)</f>
        <v>0</v>
      </c>
      <c r="H30" s="3058" t="s">
        <v>59</v>
      </c>
      <c r="I30" s="3056">
        <v>4201</v>
      </c>
      <c r="J30" s="3063" t="str">
        <f t="shared" si="1"/>
        <v>库存股</v>
      </c>
      <c r="K30" s="3057">
        <f>Area_RepDate</f>
        <v>43830</v>
      </c>
      <c r="L30" s="3068">
        <f ca="1">INDIRECT(H30&amp;"!CheckA"&amp;I30)</f>
        <v>0</v>
      </c>
      <c r="M30" s="3059">
        <f t="shared" ca="1" si="2"/>
        <v>0</v>
      </c>
      <c r="N30" s="3060" t="str">
        <f t="shared" ca="1" si="3"/>
        <v>√</v>
      </c>
      <c r="O30" s="641"/>
      <c r="P30" s="641"/>
      <c r="Q30" s="641"/>
      <c r="R30" s="641"/>
    </row>
    <row r="31" spans="1:18" ht="24">
      <c r="A31" s="30"/>
      <c r="B31" s="3054" t="s">
        <v>306</v>
      </c>
      <c r="C31" s="3055" t="s">
        <v>99</v>
      </c>
      <c r="D31" s="3056">
        <v>8399</v>
      </c>
      <c r="E31" s="3062" t="str">
        <f t="shared" si="0"/>
        <v>库存股_本期期末余额</v>
      </c>
      <c r="F31" s="3057" t="str">
        <f>Area_RepDuration1</f>
        <v>2018年度</v>
      </c>
      <c r="G31" s="3067">
        <f ca="1">INDIRECT(C31&amp;"!CheckB"&amp;D31)</f>
        <v>0</v>
      </c>
      <c r="H31" s="3058" t="s">
        <v>59</v>
      </c>
      <c r="I31" s="3056">
        <v>4201</v>
      </c>
      <c r="J31" s="3062" t="str">
        <f t="shared" si="1"/>
        <v>库存股</v>
      </c>
      <c r="K31" s="3057">
        <f>Area_RepDate1</f>
        <v>43465</v>
      </c>
      <c r="L31" s="3067">
        <f ca="1">INDIRECT(H31&amp;"!CheckB"&amp;I31)</f>
        <v>0</v>
      </c>
      <c r="M31" s="3059">
        <f t="shared" ca="1" si="2"/>
        <v>0</v>
      </c>
      <c r="N31" s="3060" t="str">
        <f t="shared" ca="1" si="3"/>
        <v>√</v>
      </c>
      <c r="O31" s="641"/>
      <c r="P31" s="641"/>
      <c r="Q31" s="641"/>
      <c r="R31" s="641"/>
    </row>
    <row r="32" spans="1:18" ht="24">
      <c r="A32" s="30"/>
      <c r="B32" s="3054" t="s">
        <v>312</v>
      </c>
      <c r="C32" s="3055" t="s">
        <v>99</v>
      </c>
      <c r="D32" s="3056">
        <v>8499</v>
      </c>
      <c r="E32" s="3063" t="str">
        <f t="shared" si="0"/>
        <v>专项储备_本期期末余额</v>
      </c>
      <c r="F32" s="3057" t="str">
        <f>Area_RepDuration</f>
        <v>2019年度</v>
      </c>
      <c r="G32" s="3068">
        <f ca="1">INDIRECT(C32&amp;"!CheckA"&amp;D32)</f>
        <v>0</v>
      </c>
      <c r="H32" s="3058" t="s">
        <v>59</v>
      </c>
      <c r="I32" s="3056">
        <v>4301</v>
      </c>
      <c r="J32" s="3063" t="str">
        <f t="shared" si="1"/>
        <v>专项储备</v>
      </c>
      <c r="K32" s="3057">
        <f>Area_RepDate</f>
        <v>43830</v>
      </c>
      <c r="L32" s="3068">
        <f ca="1">INDIRECT(H32&amp;"!CheckA"&amp;I32)</f>
        <v>0</v>
      </c>
      <c r="M32" s="3059">
        <f t="shared" ca="1" si="2"/>
        <v>0</v>
      </c>
      <c r="N32" s="3060" t="str">
        <f t="shared" ca="1" si="3"/>
        <v>√</v>
      </c>
      <c r="O32" s="641"/>
      <c r="P32" s="641"/>
      <c r="Q32" s="641"/>
      <c r="R32" s="641"/>
    </row>
    <row r="33" spans="1:18" ht="24">
      <c r="A33" s="30"/>
      <c r="B33" s="3054" t="s">
        <v>318</v>
      </c>
      <c r="C33" s="3055" t="s">
        <v>99</v>
      </c>
      <c r="D33" s="3056">
        <v>8499</v>
      </c>
      <c r="E33" s="3062" t="str">
        <f t="shared" si="0"/>
        <v>专项储备_本期期末余额</v>
      </c>
      <c r="F33" s="3057" t="str">
        <f>Area_RepDuration1</f>
        <v>2018年度</v>
      </c>
      <c r="G33" s="3067">
        <f ca="1">INDIRECT(C33&amp;"!CheckB"&amp;D33)</f>
        <v>0</v>
      </c>
      <c r="H33" s="3058" t="s">
        <v>59</v>
      </c>
      <c r="I33" s="3056">
        <v>4301</v>
      </c>
      <c r="J33" s="3062" t="str">
        <f t="shared" si="1"/>
        <v>专项储备</v>
      </c>
      <c r="K33" s="3057">
        <f>Area_RepDate1</f>
        <v>43465</v>
      </c>
      <c r="L33" s="3067">
        <f ca="1">INDIRECT(H33&amp;"!CheckB"&amp;I33)</f>
        <v>0</v>
      </c>
      <c r="M33" s="3059">
        <f t="shared" ca="1" si="2"/>
        <v>0</v>
      </c>
      <c r="N33" s="3060" t="str">
        <f t="shared" ca="1" si="3"/>
        <v>√</v>
      </c>
      <c r="O33" s="641"/>
      <c r="P33" s="641"/>
      <c r="Q33" s="641"/>
      <c r="R33" s="641"/>
    </row>
    <row r="34" spans="1:18" ht="24">
      <c r="A34" s="30"/>
      <c r="B34" s="3054" t="s">
        <v>324</v>
      </c>
      <c r="C34" s="3055" t="s">
        <v>99</v>
      </c>
      <c r="D34" s="3056">
        <v>8599</v>
      </c>
      <c r="E34" s="3063" t="str">
        <f t="shared" si="0"/>
        <v>盈余公积_本期期末余额</v>
      </c>
      <c r="F34" s="3057" t="str">
        <f>Area_RepDuration</f>
        <v>2019年度</v>
      </c>
      <c r="G34" s="3068">
        <f ca="1">INDIRECT(C34&amp;"!CheckA"&amp;D34)</f>
        <v>0</v>
      </c>
      <c r="H34" s="3058" t="s">
        <v>59</v>
      </c>
      <c r="I34" s="3056">
        <v>4101</v>
      </c>
      <c r="J34" s="3063" t="str">
        <f t="shared" si="1"/>
        <v>盈余公积</v>
      </c>
      <c r="K34" s="3057">
        <f>Area_RepDate</f>
        <v>43830</v>
      </c>
      <c r="L34" s="3068">
        <f ca="1">INDIRECT(H34&amp;"!CheckA"&amp;I34)</f>
        <v>0</v>
      </c>
      <c r="M34" s="3059">
        <f t="shared" ca="1" si="2"/>
        <v>0</v>
      </c>
      <c r="N34" s="3060" t="str">
        <f t="shared" ca="1" si="3"/>
        <v>√</v>
      </c>
      <c r="O34" s="641"/>
      <c r="P34" s="641"/>
      <c r="Q34" s="641"/>
      <c r="R34" s="641"/>
    </row>
    <row r="35" spans="1:18" ht="24">
      <c r="A35" s="30"/>
      <c r="B35" s="3054" t="s">
        <v>330</v>
      </c>
      <c r="C35" s="3055" t="s">
        <v>99</v>
      </c>
      <c r="D35" s="3056">
        <v>8599</v>
      </c>
      <c r="E35" s="3062" t="str">
        <f t="shared" si="0"/>
        <v>盈余公积_本期期末余额</v>
      </c>
      <c r="F35" s="3057" t="str">
        <f>Area_RepDuration1</f>
        <v>2018年度</v>
      </c>
      <c r="G35" s="3067">
        <f ca="1">INDIRECT(C35&amp;"!CheckB"&amp;D35)</f>
        <v>0</v>
      </c>
      <c r="H35" s="3058" t="s">
        <v>59</v>
      </c>
      <c r="I35" s="3056">
        <v>4101</v>
      </c>
      <c r="J35" s="3062" t="str">
        <f t="shared" si="1"/>
        <v>盈余公积</v>
      </c>
      <c r="K35" s="3057">
        <f>Area_RepDate1</f>
        <v>43465</v>
      </c>
      <c r="L35" s="3067">
        <f ca="1">INDIRECT(H35&amp;"!CheckB"&amp;I35)</f>
        <v>0</v>
      </c>
      <c r="M35" s="3059">
        <f t="shared" ca="1" si="2"/>
        <v>0</v>
      </c>
      <c r="N35" s="3060" t="str">
        <f t="shared" ca="1" si="3"/>
        <v>√</v>
      </c>
      <c r="O35" s="641"/>
      <c r="P35" s="641"/>
      <c r="Q35" s="641"/>
      <c r="R35" s="641"/>
    </row>
    <row r="36" spans="1:18" ht="24">
      <c r="A36" s="30"/>
      <c r="B36" s="3054" t="s">
        <v>338</v>
      </c>
      <c r="C36" s="3055" t="s">
        <v>99</v>
      </c>
      <c r="D36" s="3056">
        <v>8699</v>
      </c>
      <c r="E36" s="3063" t="str">
        <f t="shared" si="0"/>
        <v>一般风险准备_本期期末余额</v>
      </c>
      <c r="F36" s="3057" t="str">
        <f>Area_RepDuration</f>
        <v>2019年度</v>
      </c>
      <c r="G36" s="3068">
        <f ca="1">INDIRECT(C36&amp;"!CheckA"&amp;D36)</f>
        <v>0</v>
      </c>
      <c r="H36" s="3058" t="s">
        <v>59</v>
      </c>
      <c r="I36" s="3056">
        <v>4102</v>
      </c>
      <c r="J36" s="3063" t="str">
        <f t="shared" si="1"/>
        <v>一般风险准备</v>
      </c>
      <c r="K36" s="3057">
        <f>Area_RepDate</f>
        <v>43830</v>
      </c>
      <c r="L36" s="3068">
        <f ca="1">INDIRECT(H36&amp;"!CheckA"&amp;I36)</f>
        <v>0</v>
      </c>
      <c r="M36" s="3059">
        <f t="shared" ca="1" si="2"/>
        <v>0</v>
      </c>
      <c r="N36" s="3060" t="str">
        <f t="shared" ca="1" si="3"/>
        <v>√</v>
      </c>
      <c r="O36" s="641"/>
      <c r="P36" s="641"/>
      <c r="Q36" s="641"/>
      <c r="R36" s="641"/>
    </row>
    <row r="37" spans="1:18" ht="24">
      <c r="A37" s="30"/>
      <c r="B37" s="3054" t="s">
        <v>345</v>
      </c>
      <c r="C37" s="3055" t="s">
        <v>99</v>
      </c>
      <c r="D37" s="3056">
        <v>8699</v>
      </c>
      <c r="E37" s="3062" t="str">
        <f t="shared" si="0"/>
        <v>一般风险准备_本期期末余额</v>
      </c>
      <c r="F37" s="3057" t="str">
        <f>Area_RepDuration1</f>
        <v>2018年度</v>
      </c>
      <c r="G37" s="3067">
        <f ca="1">INDIRECT(C37&amp;"!CheckB"&amp;D37)</f>
        <v>0</v>
      </c>
      <c r="H37" s="3058" t="s">
        <v>59</v>
      </c>
      <c r="I37" s="3056">
        <v>4102</v>
      </c>
      <c r="J37" s="3062" t="str">
        <f t="shared" si="1"/>
        <v>一般风险准备</v>
      </c>
      <c r="K37" s="3057">
        <f>Area_RepDate1</f>
        <v>43465</v>
      </c>
      <c r="L37" s="3067">
        <f ca="1">INDIRECT(H37&amp;"!CheckB"&amp;I37)</f>
        <v>0</v>
      </c>
      <c r="M37" s="3059">
        <f t="shared" ca="1" si="2"/>
        <v>0</v>
      </c>
      <c r="N37" s="3060" t="str">
        <f t="shared" ca="1" si="3"/>
        <v>√</v>
      </c>
      <c r="O37" s="641"/>
      <c r="P37" s="641"/>
      <c r="Q37" s="641"/>
      <c r="R37" s="641"/>
    </row>
    <row r="38" spans="1:18" ht="24">
      <c r="A38" s="30"/>
      <c r="B38" s="3054" t="s">
        <v>352</v>
      </c>
      <c r="C38" s="3055" t="s">
        <v>99</v>
      </c>
      <c r="D38" s="3056">
        <v>8799</v>
      </c>
      <c r="E38" s="3063" t="str">
        <f t="shared" si="0"/>
        <v>未分配利润_本期期末余额</v>
      </c>
      <c r="F38" s="3057" t="str">
        <f>Area_RepDuration</f>
        <v>2019年度</v>
      </c>
      <c r="G38" s="3068">
        <f ca="1">INDIRECT(C38&amp;"!CheckA"&amp;D38)</f>
        <v>-25297789.149999999</v>
      </c>
      <c r="H38" s="3058" t="s">
        <v>59</v>
      </c>
      <c r="I38" s="3056">
        <v>4200</v>
      </c>
      <c r="J38" s="3063" t="str">
        <f t="shared" si="1"/>
        <v>未分配利润</v>
      </c>
      <c r="K38" s="3057">
        <f>Area_RepDate</f>
        <v>43830</v>
      </c>
      <c r="L38" s="3068">
        <f ca="1">INDIRECT(H38&amp;"!CheckA"&amp;I38)</f>
        <v>-25297789.149999999</v>
      </c>
      <c r="M38" s="3059">
        <f t="shared" ca="1" si="2"/>
        <v>0</v>
      </c>
      <c r="N38" s="3060" t="str">
        <f t="shared" ca="1" si="3"/>
        <v>√</v>
      </c>
      <c r="O38" s="641"/>
      <c r="P38" s="641"/>
      <c r="Q38" s="641"/>
      <c r="R38" s="641"/>
    </row>
    <row r="39" spans="1:18" ht="24">
      <c r="A39" s="30"/>
      <c r="B39" s="3054" t="s">
        <v>360</v>
      </c>
      <c r="C39" s="3055" t="s">
        <v>99</v>
      </c>
      <c r="D39" s="3056">
        <v>8799</v>
      </c>
      <c r="E39" s="3062" t="str">
        <f t="shared" si="0"/>
        <v>未分配利润_本期期末余额</v>
      </c>
      <c r="F39" s="3057" t="str">
        <f>Area_RepDuration1</f>
        <v>2018年度</v>
      </c>
      <c r="G39" s="3067">
        <f ca="1">INDIRECT(C39&amp;"!CheckB"&amp;D39)</f>
        <v>-47230884.140000001</v>
      </c>
      <c r="H39" s="3058" t="s">
        <v>59</v>
      </c>
      <c r="I39" s="3056">
        <v>4200</v>
      </c>
      <c r="J39" s="3062" t="str">
        <f t="shared" si="1"/>
        <v>未分配利润</v>
      </c>
      <c r="K39" s="3057">
        <f>Area_RepDate1</f>
        <v>43465</v>
      </c>
      <c r="L39" s="3067">
        <f ca="1">INDIRECT(H39&amp;"!CheckB"&amp;I39)</f>
        <v>-47230884.140000001</v>
      </c>
      <c r="M39" s="3059">
        <f t="shared" ca="1" si="2"/>
        <v>0</v>
      </c>
      <c r="N39" s="3060" t="str">
        <f t="shared" ca="1" si="3"/>
        <v>√</v>
      </c>
      <c r="O39" s="641"/>
      <c r="P39" s="641"/>
      <c r="Q39" s="641"/>
      <c r="R39" s="641"/>
    </row>
    <row r="40" spans="1:18" ht="24">
      <c r="A40" s="30"/>
      <c r="B40" s="3054" t="s">
        <v>368</v>
      </c>
      <c r="C40" s="3055" t="s">
        <v>99</v>
      </c>
      <c r="D40" s="3056">
        <v>8099</v>
      </c>
      <c r="E40" s="3063" t="str">
        <f t="shared" si="0"/>
        <v>所有者权益_本期期末余额</v>
      </c>
      <c r="F40" s="3057" t="str">
        <f>Area_RepDuration</f>
        <v>2019年度</v>
      </c>
      <c r="G40" s="3068">
        <f ca="1">INDIRECT(C40&amp;"!CheckA"&amp;D40)</f>
        <v>-25297789.149999999</v>
      </c>
      <c r="H40" s="3058" t="s">
        <v>59</v>
      </c>
      <c r="I40" s="3056">
        <v>4999</v>
      </c>
      <c r="J40" s="3063" t="str">
        <f t="shared" si="1"/>
        <v>所有者权益</v>
      </c>
      <c r="K40" s="3057">
        <f>Area_RepDate</f>
        <v>43830</v>
      </c>
      <c r="L40" s="3068">
        <f ca="1">INDIRECT(H40&amp;"!CheckA"&amp;I40)</f>
        <v>-25297789.149999999</v>
      </c>
      <c r="M40" s="3059">
        <f t="shared" ca="1" si="2"/>
        <v>0</v>
      </c>
      <c r="N40" s="3060" t="str">
        <f t="shared" ca="1" si="3"/>
        <v>√</v>
      </c>
      <c r="O40" s="641"/>
      <c r="P40" s="641"/>
      <c r="Q40" s="641"/>
      <c r="R40" s="641"/>
    </row>
    <row r="41" spans="1:18" ht="24">
      <c r="A41" s="30"/>
      <c r="B41" s="3054" t="s">
        <v>375</v>
      </c>
      <c r="C41" s="3055" t="s">
        <v>99</v>
      </c>
      <c r="D41" s="3056">
        <v>8099</v>
      </c>
      <c r="E41" s="3062" t="str">
        <f t="shared" ref="E41:E72" si="8">VLOOKUP(D41,Sheet_Items,2,0)</f>
        <v>所有者权益_本期期末余额</v>
      </c>
      <c r="F41" s="3057" t="str">
        <f>Area_RepDuration1</f>
        <v>2018年度</v>
      </c>
      <c r="G41" s="3067">
        <f ca="1">INDIRECT(C41&amp;"!CheckB"&amp;D41)</f>
        <v>52769115.859999999</v>
      </c>
      <c r="H41" s="3058" t="s">
        <v>59</v>
      </c>
      <c r="I41" s="3056">
        <v>4999</v>
      </c>
      <c r="J41" s="3062" t="str">
        <f t="shared" ref="J41:J72" si="9">VLOOKUP(I41,Sheet_Items,2,0)</f>
        <v>所有者权益</v>
      </c>
      <c r="K41" s="3057">
        <f>Area_RepDate1</f>
        <v>43465</v>
      </c>
      <c r="L41" s="3067">
        <f ca="1">INDIRECT(H41&amp;"!CheckB"&amp;I41)</f>
        <v>52769115.859999999</v>
      </c>
      <c r="M41" s="3059">
        <f t="shared" ref="M41:M72" ca="1" si="10">ROUND(G41-L41,2)</f>
        <v>0</v>
      </c>
      <c r="N41" s="3060" t="str">
        <f t="shared" ref="N41:N72" ca="1" si="11">IF(M41=0,"√","×")</f>
        <v>√</v>
      </c>
      <c r="O41" s="641"/>
      <c r="P41" s="641"/>
      <c r="Q41" s="641"/>
      <c r="R41" s="641"/>
    </row>
    <row r="42" spans="1:18" ht="24">
      <c r="A42" s="30"/>
      <c r="B42" s="3054" t="s">
        <v>382</v>
      </c>
      <c r="C42" s="3055" t="s">
        <v>383</v>
      </c>
      <c r="D42" s="3056">
        <v>7349</v>
      </c>
      <c r="E42" s="3063" t="str">
        <f t="shared" si="8"/>
        <v>期初现金及现金等价物余额</v>
      </c>
      <c r="F42" s="3057" t="str">
        <f>Area_RepDuration</f>
        <v>2019年度</v>
      </c>
      <c r="G42" s="3068">
        <f ca="1">INDIRECT(C42&amp;"!CheckA"&amp;D42)</f>
        <v>340266.93</v>
      </c>
      <c r="H42" s="3058" t="s">
        <v>383</v>
      </c>
      <c r="I42" s="3056">
        <v>7399</v>
      </c>
      <c r="J42" s="3062" t="str">
        <f t="shared" si="9"/>
        <v>期末现金及现金等价物余额</v>
      </c>
      <c r="K42" s="3057" t="str">
        <f>Area_RepDuration1</f>
        <v>2018年度</v>
      </c>
      <c r="L42" s="3067">
        <f ca="1">INDIRECT(H42&amp;"!CheckB"&amp;I42)</f>
        <v>340266.93</v>
      </c>
      <c r="M42" s="3059">
        <f t="shared" ca="1" si="10"/>
        <v>0</v>
      </c>
      <c r="N42" s="3060" t="str">
        <f t="shared" ca="1" si="11"/>
        <v>√</v>
      </c>
      <c r="O42" s="641"/>
      <c r="P42" s="641"/>
      <c r="Q42" s="641"/>
      <c r="R42" s="641"/>
    </row>
    <row r="43" spans="1:18" ht="18">
      <c r="A43" s="30"/>
      <c r="B43" s="3054" t="s">
        <v>389</v>
      </c>
      <c r="C43" s="3055" t="s">
        <v>383</v>
      </c>
      <c r="D43" s="3056">
        <v>7502</v>
      </c>
      <c r="E43" s="3063" t="str">
        <f t="shared" si="8"/>
        <v>净利润金额</v>
      </c>
      <c r="F43" s="3057" t="str">
        <f>Area_RepDuration</f>
        <v>2019年度</v>
      </c>
      <c r="G43" s="3068">
        <f ca="1">INDIRECT(C43&amp;"!CheckA"&amp;D43)</f>
        <v>-25297789.149999999</v>
      </c>
      <c r="H43" s="3058" t="s">
        <v>97</v>
      </c>
      <c r="I43" s="3056">
        <v>6799</v>
      </c>
      <c r="J43" s="3063" t="str">
        <f t="shared" si="9"/>
        <v>净利润</v>
      </c>
      <c r="K43" s="3057" t="str">
        <f>Area_RepDuration</f>
        <v>2019年度</v>
      </c>
      <c r="L43" s="3068">
        <f ca="1">INDIRECT(H43&amp;"!CheckA"&amp;I43)</f>
        <v>-25297789.149999999</v>
      </c>
      <c r="M43" s="3059">
        <f t="shared" ca="1" si="10"/>
        <v>0</v>
      </c>
      <c r="N43" s="3060" t="str">
        <f t="shared" ca="1" si="11"/>
        <v>√</v>
      </c>
      <c r="O43" s="641"/>
      <c r="P43" s="641"/>
      <c r="Q43" s="641"/>
      <c r="R43" s="641"/>
    </row>
    <row r="44" spans="1:18" ht="18">
      <c r="A44" s="30"/>
      <c r="B44" s="3054" t="s">
        <v>395</v>
      </c>
      <c r="C44" s="3055" t="s">
        <v>383</v>
      </c>
      <c r="D44" s="3056">
        <v>7502</v>
      </c>
      <c r="E44" s="3062" t="str">
        <f t="shared" si="8"/>
        <v>净利润金额</v>
      </c>
      <c r="F44" s="3057" t="str">
        <f>Area_RepDuration1</f>
        <v>2018年度</v>
      </c>
      <c r="G44" s="3067">
        <f ca="1">INDIRECT(C44&amp;"!CheckB"&amp;D44)</f>
        <v>-22510882.850000001</v>
      </c>
      <c r="H44" s="3058" t="s">
        <v>97</v>
      </c>
      <c r="I44" s="3056">
        <v>6799</v>
      </c>
      <c r="J44" s="3062" t="str">
        <f t="shared" si="9"/>
        <v>净利润</v>
      </c>
      <c r="K44" s="3057" t="str">
        <f>Area_RepDuration1</f>
        <v>2018年度</v>
      </c>
      <c r="L44" s="3067">
        <f ca="1">INDIRECT(H44&amp;"!CheckB"&amp;I44)</f>
        <v>-22510882.850000001</v>
      </c>
      <c r="M44" s="3059">
        <f t="shared" ca="1" si="10"/>
        <v>0</v>
      </c>
      <c r="N44" s="3060" t="str">
        <f t="shared" ca="1" si="11"/>
        <v>√</v>
      </c>
      <c r="O44" s="641"/>
      <c r="P44" s="641"/>
      <c r="Q44" s="641"/>
      <c r="R44" s="641"/>
    </row>
    <row r="45" spans="1:18" ht="24">
      <c r="A45" s="30"/>
      <c r="B45" s="3054" t="s">
        <v>401</v>
      </c>
      <c r="C45" s="3055" t="s">
        <v>383</v>
      </c>
      <c r="D45" s="3056">
        <v>7525</v>
      </c>
      <c r="E45" s="3063" t="str">
        <f t="shared" si="8"/>
        <v>经营活动产生的现金流量净额</v>
      </c>
      <c r="F45" s="3057" t="str">
        <f>Area_RepDuration</f>
        <v>2019年度</v>
      </c>
      <c r="G45" s="3068">
        <f ca="1">INDIRECT(C45&amp;"!CheckA"&amp;D45)</f>
        <v>-30666355.469999999</v>
      </c>
      <c r="H45" s="3058" t="s">
        <v>383</v>
      </c>
      <c r="I45" s="3056">
        <v>7099</v>
      </c>
      <c r="J45" s="3063" t="str">
        <f t="shared" si="9"/>
        <v>经营活动产生的现金流量净额</v>
      </c>
      <c r="K45" s="3057" t="str">
        <f>Area_RepDuration</f>
        <v>2019年度</v>
      </c>
      <c r="L45" s="3068">
        <f ca="1">INDIRECT(H45&amp;"!CheckA"&amp;I45)</f>
        <v>-30666355.469999999</v>
      </c>
      <c r="M45" s="3059">
        <f t="shared" ca="1" si="10"/>
        <v>0</v>
      </c>
      <c r="N45" s="3060" t="str">
        <f t="shared" ca="1" si="11"/>
        <v>√</v>
      </c>
      <c r="O45" s="641"/>
      <c r="P45" s="641"/>
      <c r="Q45" s="641"/>
      <c r="R45" s="641"/>
    </row>
    <row r="46" spans="1:18" ht="24">
      <c r="A46" s="30"/>
      <c r="B46" s="3054" t="s">
        <v>408</v>
      </c>
      <c r="C46" s="3055" t="s">
        <v>383</v>
      </c>
      <c r="D46" s="3056">
        <v>7525</v>
      </c>
      <c r="E46" s="3062" t="str">
        <f t="shared" si="8"/>
        <v>经营活动产生的现金流量净额</v>
      </c>
      <c r="F46" s="3057" t="str">
        <f>Area_RepDuration1</f>
        <v>2018年度</v>
      </c>
      <c r="G46" s="3067">
        <f ca="1">INDIRECT(C46&amp;"!CheckB"&amp;D46)</f>
        <v>54079648.780000001</v>
      </c>
      <c r="H46" s="3058" t="s">
        <v>383</v>
      </c>
      <c r="I46" s="3056">
        <v>7099</v>
      </c>
      <c r="J46" s="3062" t="str">
        <f t="shared" si="9"/>
        <v>经营活动产生的现金流量净额</v>
      </c>
      <c r="K46" s="3057" t="str">
        <f>Area_RepDuration1</f>
        <v>2018年度</v>
      </c>
      <c r="L46" s="3067">
        <f ca="1">INDIRECT(H46&amp;"!CheckB"&amp;I46)</f>
        <v>54079648.780000001</v>
      </c>
      <c r="M46" s="3059">
        <f t="shared" ca="1" si="10"/>
        <v>0</v>
      </c>
      <c r="N46" s="3060" t="str">
        <f t="shared" ca="1" si="11"/>
        <v>√</v>
      </c>
      <c r="O46" s="641"/>
      <c r="P46" s="641"/>
      <c r="Q46" s="641"/>
      <c r="R46" s="641"/>
    </row>
    <row r="47" spans="1:18" ht="24">
      <c r="A47" s="30"/>
      <c r="B47" s="3054" t="s">
        <v>414</v>
      </c>
      <c r="C47" s="3055" t="s">
        <v>383</v>
      </c>
      <c r="D47" s="3056">
        <v>7539</v>
      </c>
      <c r="E47" s="3063" t="str">
        <f t="shared" si="8"/>
        <v>现金及现金等价物净增加额</v>
      </c>
      <c r="F47" s="3057" t="str">
        <f>Area_RepDuration</f>
        <v>2019年度</v>
      </c>
      <c r="G47" s="3068">
        <f ca="1">INDIRECT(C47&amp;"!CheckA"&amp;D47)</f>
        <v>-281457.98</v>
      </c>
      <c r="H47" s="3058" t="s">
        <v>383</v>
      </c>
      <c r="I47" s="3056">
        <v>7348</v>
      </c>
      <c r="J47" s="3063" t="str">
        <f t="shared" si="9"/>
        <v>现金及现金等价物净增加额</v>
      </c>
      <c r="K47" s="3057" t="str">
        <f>Area_RepDuration</f>
        <v>2019年度</v>
      </c>
      <c r="L47" s="3068">
        <f ca="1">INDIRECT(H47&amp;"!CheckA"&amp;I47)</f>
        <v>-281457.98</v>
      </c>
      <c r="M47" s="3059">
        <f t="shared" ca="1" si="10"/>
        <v>0</v>
      </c>
      <c r="N47" s="3060" t="str">
        <f t="shared" ca="1" si="11"/>
        <v>√</v>
      </c>
      <c r="O47" s="641"/>
      <c r="P47" s="641"/>
      <c r="Q47" s="641"/>
      <c r="R47" s="641"/>
    </row>
    <row r="48" spans="1:18" ht="24">
      <c r="A48" s="30"/>
      <c r="B48" s="3054" t="s">
        <v>421</v>
      </c>
      <c r="C48" s="3055" t="s">
        <v>383</v>
      </c>
      <c r="D48" s="3056">
        <v>7539</v>
      </c>
      <c r="E48" s="3062" t="str">
        <f t="shared" si="8"/>
        <v>现金及现金等价物净增加额</v>
      </c>
      <c r="F48" s="3057" t="str">
        <f>Area_RepDuration1</f>
        <v>2018年度</v>
      </c>
      <c r="G48" s="3067">
        <f ca="1">INDIRECT(C48&amp;"!CheckB"&amp;D48)</f>
        <v>-373677.21</v>
      </c>
      <c r="H48" s="3058" t="s">
        <v>383</v>
      </c>
      <c r="I48" s="3056">
        <v>7348</v>
      </c>
      <c r="J48" s="3062" t="str">
        <f t="shared" si="9"/>
        <v>现金及现金等价物净增加额</v>
      </c>
      <c r="K48" s="3057" t="str">
        <f>Area_RepDuration1</f>
        <v>2018年度</v>
      </c>
      <c r="L48" s="3067">
        <f ca="1">INDIRECT(H48&amp;"!CheckB"&amp;I48)</f>
        <v>-373677.21</v>
      </c>
      <c r="M48" s="3059">
        <f t="shared" ca="1" si="10"/>
        <v>0</v>
      </c>
      <c r="N48" s="3060" t="str">
        <f t="shared" ca="1" si="11"/>
        <v>√</v>
      </c>
      <c r="O48" s="641"/>
      <c r="P48" s="641"/>
      <c r="Q48" s="641"/>
      <c r="R48" s="641"/>
    </row>
    <row r="49" spans="1:18" ht="18">
      <c r="A49" s="30"/>
      <c r="B49" s="3054" t="s">
        <v>427</v>
      </c>
      <c r="C49" s="3055" t="s">
        <v>428</v>
      </c>
      <c r="D49" s="3056">
        <v>1999</v>
      </c>
      <c r="E49" s="3063" t="str">
        <f t="shared" si="8"/>
        <v>资产</v>
      </c>
      <c r="F49" s="3057">
        <f>Area_RepDate</f>
        <v>43830</v>
      </c>
      <c r="G49" s="3068">
        <f ca="1">INDIRECT(C49&amp;"!CheckA"&amp;D49)</f>
        <v>0</v>
      </c>
      <c r="H49" s="3058" t="s">
        <v>428</v>
      </c>
      <c r="I49" s="3056">
        <v>5000</v>
      </c>
      <c r="J49" s="3063" t="str">
        <f t="shared" si="9"/>
        <v>负债和所有者权益</v>
      </c>
      <c r="K49" s="3057">
        <f>Area_RepDate</f>
        <v>43830</v>
      </c>
      <c r="L49" s="3068">
        <f ca="1">INDIRECT(H49&amp;"!CheckA"&amp;I49)</f>
        <v>-25297789.149999999</v>
      </c>
      <c r="M49" s="3059">
        <f t="shared" ca="1" si="10"/>
        <v>25297789.149999999</v>
      </c>
      <c r="N49" s="3060" t="str">
        <f t="shared" ca="1" si="11"/>
        <v>×</v>
      </c>
      <c r="O49" s="641"/>
      <c r="P49" s="641"/>
      <c r="Q49" s="641"/>
      <c r="R49" s="641"/>
    </row>
    <row r="50" spans="1:18" ht="18">
      <c r="A50" s="30"/>
      <c r="B50" s="3054" t="s">
        <v>435</v>
      </c>
      <c r="C50" s="3055" t="s">
        <v>428</v>
      </c>
      <c r="D50" s="3056">
        <v>1999</v>
      </c>
      <c r="E50" s="3062" t="str">
        <f t="shared" si="8"/>
        <v>资产</v>
      </c>
      <c r="F50" s="3057">
        <f>Area_RepDate1</f>
        <v>43465</v>
      </c>
      <c r="G50" s="3067">
        <f ca="1">INDIRECT(C50&amp;"!CheckB"&amp;D50)</f>
        <v>451984233.54000002</v>
      </c>
      <c r="H50" s="3058" t="s">
        <v>428</v>
      </c>
      <c r="I50" s="3056">
        <v>5000</v>
      </c>
      <c r="J50" s="3062" t="str">
        <f t="shared" si="9"/>
        <v>负债和所有者权益</v>
      </c>
      <c r="K50" s="3057">
        <f>Area_RepDate1</f>
        <v>43465</v>
      </c>
      <c r="L50" s="3067">
        <f ca="1">INDIRECT(H50&amp;"!CheckB"&amp;I50)</f>
        <v>451984233.54000002</v>
      </c>
      <c r="M50" s="3059">
        <f t="shared" ca="1" si="10"/>
        <v>0</v>
      </c>
      <c r="N50" s="3060" t="str">
        <f t="shared" ca="1" si="11"/>
        <v>√</v>
      </c>
      <c r="O50" s="641"/>
      <c r="P50" s="641"/>
      <c r="Q50" s="641"/>
      <c r="R50" s="641"/>
    </row>
    <row r="51" spans="1:18" ht="24">
      <c r="A51" s="30"/>
      <c r="B51" s="3054" t="s">
        <v>440</v>
      </c>
      <c r="C51" s="3055" t="s">
        <v>441</v>
      </c>
      <c r="D51" s="3056">
        <v>6839</v>
      </c>
      <c r="E51" s="3063" t="str">
        <f t="shared" si="8"/>
        <v>综合收益总额</v>
      </c>
      <c r="F51" s="3057" t="str">
        <f>Area_RepDuration</f>
        <v>2019年度</v>
      </c>
      <c r="G51" s="3068">
        <f ca="1">INDIRECT(C51&amp;"!CheckA"&amp;D51)</f>
        <v>-25297789.149999999</v>
      </c>
      <c r="H51" s="3058" t="s">
        <v>442</v>
      </c>
      <c r="I51" s="3056">
        <v>8040</v>
      </c>
      <c r="J51" s="3063" t="str">
        <f t="shared" si="9"/>
        <v>所有者权益_综合收益总额增加权益</v>
      </c>
      <c r="K51" s="3057" t="str">
        <f>Area_RepDuration</f>
        <v>2019年度</v>
      </c>
      <c r="L51" s="3068">
        <f ca="1">INDIRECT(H51&amp;"!CheckA"&amp;I51)</f>
        <v>-25297789.149999999</v>
      </c>
      <c r="M51" s="3059">
        <f t="shared" ca="1" si="10"/>
        <v>0</v>
      </c>
      <c r="N51" s="3060" t="str">
        <f t="shared" ca="1" si="11"/>
        <v>√</v>
      </c>
      <c r="O51" s="641"/>
      <c r="P51" s="641"/>
      <c r="Q51" s="641"/>
      <c r="R51" s="641"/>
    </row>
    <row r="52" spans="1:18" ht="24">
      <c r="A52" s="30"/>
      <c r="B52" s="3054" t="s">
        <v>450</v>
      </c>
      <c r="C52" s="3055" t="s">
        <v>441</v>
      </c>
      <c r="D52" s="3056">
        <v>6839</v>
      </c>
      <c r="E52" s="3062" t="str">
        <f t="shared" si="8"/>
        <v>综合收益总额</v>
      </c>
      <c r="F52" s="3057" t="str">
        <f>Area_RepDuration1</f>
        <v>2018年度</v>
      </c>
      <c r="G52" s="3067">
        <f ca="1">INDIRECT(C52&amp;"!CheckB"&amp;D52)</f>
        <v>-22510882.850000001</v>
      </c>
      <c r="H52" s="3058" t="s">
        <v>442</v>
      </c>
      <c r="I52" s="3056">
        <v>8040</v>
      </c>
      <c r="J52" s="3062" t="str">
        <f t="shared" si="9"/>
        <v>所有者权益_综合收益总额增加权益</v>
      </c>
      <c r="K52" s="3057" t="str">
        <f t="shared" ref="K52:K61" si="12">Area_RepDuration1</f>
        <v>2018年度</v>
      </c>
      <c r="L52" s="3067">
        <f t="shared" ref="L52:L61" ca="1" si="13">INDIRECT(H52&amp;"!CheckB"&amp;I52)</f>
        <v>-22510882.850000001</v>
      </c>
      <c r="M52" s="3059">
        <f t="shared" ca="1" si="10"/>
        <v>0</v>
      </c>
      <c r="N52" s="3060" t="str">
        <f t="shared" ca="1" si="11"/>
        <v>√</v>
      </c>
      <c r="O52" s="641"/>
      <c r="P52" s="641"/>
      <c r="Q52" s="641"/>
      <c r="R52" s="641"/>
    </row>
    <row r="53" spans="1:18" ht="24">
      <c r="A53" s="30"/>
      <c r="B53" s="3054" t="s">
        <v>455</v>
      </c>
      <c r="C53" s="3055" t="s">
        <v>442</v>
      </c>
      <c r="D53" s="3056">
        <v>8110</v>
      </c>
      <c r="E53" s="3063" t="str">
        <f t="shared" si="8"/>
        <v>实收资本_本年年初余额</v>
      </c>
      <c r="F53" s="3057" t="str">
        <f t="shared" ref="F53:F62" si="14">Area_RepDuration</f>
        <v>2019年度</v>
      </c>
      <c r="G53" s="3068">
        <f t="shared" ref="G53:G62" ca="1" si="15">INDIRECT(C53&amp;"!CheckA"&amp;D53)</f>
        <v>0</v>
      </c>
      <c r="H53" s="3058" t="s">
        <v>442</v>
      </c>
      <c r="I53" s="3056">
        <v>8199</v>
      </c>
      <c r="J53" s="3062" t="str">
        <f t="shared" si="9"/>
        <v>实收资本_本期期末余额</v>
      </c>
      <c r="K53" s="3057" t="str">
        <f t="shared" si="12"/>
        <v>2018年度</v>
      </c>
      <c r="L53" s="3067">
        <f t="shared" ca="1" si="13"/>
        <v>100000000</v>
      </c>
      <c r="M53" s="3059">
        <f t="shared" ca="1" si="10"/>
        <v>-100000000</v>
      </c>
      <c r="N53" s="3060" t="str">
        <f t="shared" ca="1" si="11"/>
        <v>×</v>
      </c>
      <c r="O53" s="641"/>
      <c r="P53" s="641"/>
      <c r="Q53" s="641"/>
      <c r="R53" s="641"/>
    </row>
    <row r="54" spans="1:18" ht="24">
      <c r="A54" s="30"/>
      <c r="B54" s="3054" t="s">
        <v>458</v>
      </c>
      <c r="C54" s="3055" t="s">
        <v>442</v>
      </c>
      <c r="D54" s="3056">
        <v>8210</v>
      </c>
      <c r="E54" s="3063" t="str">
        <f t="shared" si="8"/>
        <v>资本公积_本年年初余额</v>
      </c>
      <c r="F54" s="3057" t="str">
        <f t="shared" si="14"/>
        <v>2019年度</v>
      </c>
      <c r="G54" s="3068">
        <f t="shared" ca="1" si="15"/>
        <v>0</v>
      </c>
      <c r="H54" s="3058" t="s">
        <v>442</v>
      </c>
      <c r="I54" s="3056">
        <v>8299</v>
      </c>
      <c r="J54" s="3062" t="str">
        <f t="shared" si="9"/>
        <v>资本公积_本期期末余额</v>
      </c>
      <c r="K54" s="3057" t="str">
        <f t="shared" si="12"/>
        <v>2018年度</v>
      </c>
      <c r="L54" s="3067">
        <f t="shared" ca="1" si="13"/>
        <v>0</v>
      </c>
      <c r="M54" s="3059">
        <f t="shared" ca="1" si="10"/>
        <v>0</v>
      </c>
      <c r="N54" s="3060" t="str">
        <f t="shared" ca="1" si="11"/>
        <v>√</v>
      </c>
      <c r="O54" s="641"/>
      <c r="P54" s="641"/>
      <c r="Q54" s="641"/>
      <c r="R54" s="641"/>
    </row>
    <row r="55" spans="1:18" ht="24">
      <c r="A55" s="30"/>
      <c r="B55" s="3054" t="s">
        <v>463</v>
      </c>
      <c r="C55" s="3055" t="s">
        <v>442</v>
      </c>
      <c r="D55" s="3056">
        <v>8310</v>
      </c>
      <c r="E55" s="3063" t="str">
        <f t="shared" si="8"/>
        <v>库存股_本年年初余额</v>
      </c>
      <c r="F55" s="3057" t="str">
        <f t="shared" si="14"/>
        <v>2019年度</v>
      </c>
      <c r="G55" s="3068">
        <f t="shared" ca="1" si="15"/>
        <v>0</v>
      </c>
      <c r="H55" s="3058" t="s">
        <v>442</v>
      </c>
      <c r="I55" s="3056">
        <v>8399</v>
      </c>
      <c r="J55" s="3062" t="str">
        <f t="shared" si="9"/>
        <v>库存股_本期期末余额</v>
      </c>
      <c r="K55" s="3057" t="str">
        <f t="shared" si="12"/>
        <v>2018年度</v>
      </c>
      <c r="L55" s="3067">
        <f t="shared" ca="1" si="13"/>
        <v>0</v>
      </c>
      <c r="M55" s="3059">
        <f t="shared" ca="1" si="10"/>
        <v>0</v>
      </c>
      <c r="N55" s="3060" t="str">
        <f t="shared" ca="1" si="11"/>
        <v>√</v>
      </c>
      <c r="O55" s="641"/>
      <c r="P55" s="641"/>
      <c r="Q55" s="641"/>
      <c r="R55" s="641"/>
    </row>
    <row r="56" spans="1:18" ht="24">
      <c r="A56" s="30"/>
      <c r="B56" s="3054" t="s">
        <v>468</v>
      </c>
      <c r="C56" s="3055" t="s">
        <v>442</v>
      </c>
      <c r="D56" s="3056">
        <v>8410</v>
      </c>
      <c r="E56" s="3063" t="str">
        <f t="shared" si="8"/>
        <v>专项储备_本年年初余额</v>
      </c>
      <c r="F56" s="3057" t="str">
        <f t="shared" si="14"/>
        <v>2019年度</v>
      </c>
      <c r="G56" s="3068">
        <f t="shared" ca="1" si="15"/>
        <v>0</v>
      </c>
      <c r="H56" s="3058" t="s">
        <v>442</v>
      </c>
      <c r="I56" s="3056">
        <v>8499</v>
      </c>
      <c r="J56" s="3062" t="str">
        <f t="shared" si="9"/>
        <v>专项储备_本期期末余额</v>
      </c>
      <c r="K56" s="3057" t="str">
        <f t="shared" si="12"/>
        <v>2018年度</v>
      </c>
      <c r="L56" s="3067">
        <f t="shared" ca="1" si="13"/>
        <v>0</v>
      </c>
      <c r="M56" s="3059">
        <f t="shared" ca="1" si="10"/>
        <v>0</v>
      </c>
      <c r="N56" s="3060" t="str">
        <f t="shared" ca="1" si="11"/>
        <v>√</v>
      </c>
      <c r="O56" s="641"/>
      <c r="P56" s="641"/>
      <c r="Q56" s="641"/>
      <c r="R56" s="641"/>
    </row>
    <row r="57" spans="1:18" ht="24">
      <c r="A57" s="30"/>
      <c r="B57" s="3054" t="s">
        <v>472</v>
      </c>
      <c r="C57" s="3055" t="s">
        <v>442</v>
      </c>
      <c r="D57" s="3056">
        <v>8510</v>
      </c>
      <c r="E57" s="3063" t="str">
        <f t="shared" si="8"/>
        <v>盈余公积_本年年初余额</v>
      </c>
      <c r="F57" s="3057" t="str">
        <f t="shared" si="14"/>
        <v>2019年度</v>
      </c>
      <c r="G57" s="3068">
        <f t="shared" ca="1" si="15"/>
        <v>0</v>
      </c>
      <c r="H57" s="3058" t="s">
        <v>442</v>
      </c>
      <c r="I57" s="3056">
        <v>8599</v>
      </c>
      <c r="J57" s="3062" t="str">
        <f t="shared" si="9"/>
        <v>盈余公积_本期期末余额</v>
      </c>
      <c r="K57" s="3057" t="str">
        <f t="shared" si="12"/>
        <v>2018年度</v>
      </c>
      <c r="L57" s="3067">
        <f t="shared" ca="1" si="13"/>
        <v>0</v>
      </c>
      <c r="M57" s="3059">
        <f t="shared" ca="1" si="10"/>
        <v>0</v>
      </c>
      <c r="N57" s="3060" t="str">
        <f t="shared" ca="1" si="11"/>
        <v>√</v>
      </c>
      <c r="O57" s="641"/>
      <c r="P57" s="641"/>
      <c r="Q57" s="641"/>
      <c r="R57" s="641"/>
    </row>
    <row r="58" spans="1:18" ht="24">
      <c r="A58" s="30"/>
      <c r="B58" s="3054" t="s">
        <v>477</v>
      </c>
      <c r="C58" s="3055" t="s">
        <v>442</v>
      </c>
      <c r="D58" s="3056">
        <v>8610</v>
      </c>
      <c r="E58" s="3063" t="str">
        <f t="shared" si="8"/>
        <v>一般风险准备_本年年初余额</v>
      </c>
      <c r="F58" s="3057" t="str">
        <f t="shared" si="14"/>
        <v>2019年度</v>
      </c>
      <c r="G58" s="3068" t="e">
        <f t="shared" ca="1" si="15"/>
        <v>#REF!</v>
      </c>
      <c r="H58" s="3058" t="s">
        <v>442</v>
      </c>
      <c r="I58" s="3056">
        <v>8699</v>
      </c>
      <c r="J58" s="3062" t="str">
        <f t="shared" si="9"/>
        <v>一般风险准备_本期期末余额</v>
      </c>
      <c r="K58" s="3057" t="str">
        <f t="shared" si="12"/>
        <v>2018年度</v>
      </c>
      <c r="L58" s="3067">
        <f t="shared" ca="1" si="13"/>
        <v>0</v>
      </c>
      <c r="M58" s="3059" t="e">
        <f t="shared" ca="1" si="10"/>
        <v>#REF!</v>
      </c>
      <c r="N58" s="3060" t="e">
        <f t="shared" ca="1" si="11"/>
        <v>#REF!</v>
      </c>
      <c r="O58" s="641"/>
      <c r="P58" s="641"/>
      <c r="Q58" s="641"/>
      <c r="R58" s="641"/>
    </row>
    <row r="59" spans="1:18" ht="24">
      <c r="A59" s="30"/>
      <c r="B59" s="3054" t="s">
        <v>481</v>
      </c>
      <c r="C59" s="3055" t="s">
        <v>442</v>
      </c>
      <c r="D59" s="3056">
        <v>8710</v>
      </c>
      <c r="E59" s="3063" t="str">
        <f t="shared" si="8"/>
        <v>未分配利润_本年年初余额</v>
      </c>
      <c r="F59" s="3057" t="str">
        <f t="shared" si="14"/>
        <v>2019年度</v>
      </c>
      <c r="G59" s="3068">
        <f t="shared" ca="1" si="15"/>
        <v>0</v>
      </c>
      <c r="H59" s="3058" t="s">
        <v>442</v>
      </c>
      <c r="I59" s="3056">
        <v>8799</v>
      </c>
      <c r="J59" s="3062" t="str">
        <f t="shared" si="9"/>
        <v>未分配利润_本期期末余额</v>
      </c>
      <c r="K59" s="3057" t="str">
        <f t="shared" si="12"/>
        <v>2018年度</v>
      </c>
      <c r="L59" s="3067">
        <f t="shared" ca="1" si="13"/>
        <v>-47230884.140000001</v>
      </c>
      <c r="M59" s="3059">
        <f t="shared" ca="1" si="10"/>
        <v>47230884.140000001</v>
      </c>
      <c r="N59" s="3060" t="str">
        <f t="shared" ca="1" si="11"/>
        <v>×</v>
      </c>
      <c r="O59" s="641"/>
      <c r="P59" s="641"/>
      <c r="Q59" s="641"/>
      <c r="R59" s="641"/>
    </row>
    <row r="60" spans="1:18" ht="36">
      <c r="A60" s="30"/>
      <c r="B60" s="3054" t="s">
        <v>485</v>
      </c>
      <c r="C60" s="3055" t="s">
        <v>442</v>
      </c>
      <c r="D60" s="3056">
        <v>8810</v>
      </c>
      <c r="E60" s="3063" t="str">
        <f t="shared" si="8"/>
        <v>其他归属于母公司所有者权益_本年年初余额</v>
      </c>
      <c r="F60" s="3057" t="str">
        <f t="shared" si="14"/>
        <v>2019年度</v>
      </c>
      <c r="G60" s="3068">
        <f t="shared" ca="1" si="15"/>
        <v>0</v>
      </c>
      <c r="H60" s="3058" t="s">
        <v>442</v>
      </c>
      <c r="I60" s="3056">
        <v>8899</v>
      </c>
      <c r="J60" s="3062" t="str">
        <f t="shared" si="9"/>
        <v>其他归属于母公司所有者权益_本期期末余额</v>
      </c>
      <c r="K60" s="3057" t="str">
        <f t="shared" si="12"/>
        <v>2018年度</v>
      </c>
      <c r="L60" s="3067">
        <f t="shared" ca="1" si="13"/>
        <v>0</v>
      </c>
      <c r="M60" s="3059">
        <f t="shared" ca="1" si="10"/>
        <v>0</v>
      </c>
      <c r="N60" s="3060" t="str">
        <f t="shared" ca="1" si="11"/>
        <v>√</v>
      </c>
      <c r="O60" s="641"/>
      <c r="P60" s="641"/>
      <c r="Q60" s="641"/>
      <c r="R60" s="641"/>
    </row>
    <row r="61" spans="1:18" ht="24">
      <c r="A61" s="30"/>
      <c r="B61" s="3054" t="s">
        <v>490</v>
      </c>
      <c r="C61" s="3055" t="s">
        <v>442</v>
      </c>
      <c r="D61" s="3056">
        <v>8010</v>
      </c>
      <c r="E61" s="3063" t="str">
        <f t="shared" si="8"/>
        <v>所有者权益_本年年初余额</v>
      </c>
      <c r="F61" s="3057" t="str">
        <f t="shared" si="14"/>
        <v>2019年度</v>
      </c>
      <c r="G61" s="3068">
        <f t="shared" ca="1" si="15"/>
        <v>0</v>
      </c>
      <c r="H61" s="3058" t="s">
        <v>442</v>
      </c>
      <c r="I61" s="3056">
        <v>8099</v>
      </c>
      <c r="J61" s="3062" t="str">
        <f t="shared" si="9"/>
        <v>所有者权益_本期期末余额</v>
      </c>
      <c r="K61" s="3057" t="str">
        <f t="shared" si="12"/>
        <v>2018年度</v>
      </c>
      <c r="L61" s="3067">
        <f t="shared" ca="1" si="13"/>
        <v>52769115.859999999</v>
      </c>
      <c r="M61" s="3059">
        <f t="shared" ca="1" si="10"/>
        <v>-52769115.859999999</v>
      </c>
      <c r="N61" s="3060" t="str">
        <f t="shared" ca="1" si="11"/>
        <v>×</v>
      </c>
      <c r="O61" s="641"/>
      <c r="P61" s="641"/>
      <c r="Q61" s="641"/>
      <c r="R61" s="641"/>
    </row>
    <row r="62" spans="1:18" ht="24">
      <c r="A62" s="30"/>
      <c r="B62" s="3054" t="s">
        <v>495</v>
      </c>
      <c r="C62" s="3055" t="s">
        <v>442</v>
      </c>
      <c r="D62" s="3056">
        <v>8199</v>
      </c>
      <c r="E62" s="3063" t="str">
        <f t="shared" si="8"/>
        <v>实收资本_本期期末余额</v>
      </c>
      <c r="F62" s="3057" t="str">
        <f t="shared" si="14"/>
        <v>2019年度</v>
      </c>
      <c r="G62" s="3068">
        <f t="shared" ca="1" si="15"/>
        <v>0</v>
      </c>
      <c r="H62" s="3058" t="s">
        <v>428</v>
      </c>
      <c r="I62" s="3056">
        <v>4001</v>
      </c>
      <c r="J62" s="3063" t="str">
        <f t="shared" si="9"/>
        <v>实收资本</v>
      </c>
      <c r="K62" s="3057">
        <f>Area_RepDate</f>
        <v>43830</v>
      </c>
      <c r="L62" s="3068">
        <f ca="1">INDIRECT(H62&amp;"!CheckA"&amp;I62)</f>
        <v>0</v>
      </c>
      <c r="M62" s="3059">
        <f t="shared" ca="1" si="10"/>
        <v>0</v>
      </c>
      <c r="N62" s="3060" t="str">
        <f t="shared" ca="1" si="11"/>
        <v>√</v>
      </c>
      <c r="O62" s="641"/>
      <c r="P62" s="641"/>
      <c r="Q62" s="641"/>
      <c r="R62" s="641"/>
    </row>
    <row r="63" spans="1:18" ht="24">
      <c r="A63" s="30"/>
      <c r="B63" s="3054" t="s">
        <v>500</v>
      </c>
      <c r="C63" s="3055" t="s">
        <v>442</v>
      </c>
      <c r="D63" s="3056">
        <v>8199</v>
      </c>
      <c r="E63" s="3062" t="str">
        <f t="shared" si="8"/>
        <v>实收资本_本期期末余额</v>
      </c>
      <c r="F63" s="3057" t="str">
        <f>Area_RepDuration1</f>
        <v>2018年度</v>
      </c>
      <c r="G63" s="3067">
        <f ca="1">INDIRECT(C63&amp;"!CheckB"&amp;D63)</f>
        <v>100000000</v>
      </c>
      <c r="H63" s="3058" t="s">
        <v>428</v>
      </c>
      <c r="I63" s="3056">
        <v>4001</v>
      </c>
      <c r="J63" s="3062" t="str">
        <f t="shared" si="9"/>
        <v>实收资本</v>
      </c>
      <c r="K63" s="3057">
        <f>Area_RepDate1</f>
        <v>43465</v>
      </c>
      <c r="L63" s="3067">
        <f ca="1">INDIRECT(H63&amp;"!CheckB"&amp;I63)</f>
        <v>100000000</v>
      </c>
      <c r="M63" s="3059">
        <f t="shared" ca="1" si="10"/>
        <v>0</v>
      </c>
      <c r="N63" s="3060" t="str">
        <f t="shared" ca="1" si="11"/>
        <v>√</v>
      </c>
      <c r="O63" s="641"/>
      <c r="P63" s="641"/>
      <c r="Q63" s="641"/>
      <c r="R63" s="641"/>
    </row>
    <row r="64" spans="1:18" ht="24">
      <c r="A64" s="30"/>
      <c r="B64" s="3054" t="s">
        <v>508</v>
      </c>
      <c r="C64" s="3055" t="s">
        <v>442</v>
      </c>
      <c r="D64" s="3056">
        <v>8299</v>
      </c>
      <c r="E64" s="3063" t="str">
        <f t="shared" si="8"/>
        <v>资本公积_本期期末余额</v>
      </c>
      <c r="F64" s="3057" t="str">
        <f>Area_RepDuration</f>
        <v>2019年度</v>
      </c>
      <c r="G64" s="3068">
        <f ca="1">INDIRECT(C64&amp;"!CheckA"&amp;D64)</f>
        <v>0</v>
      </c>
      <c r="H64" s="3058" t="s">
        <v>428</v>
      </c>
      <c r="I64" s="3056">
        <v>4002</v>
      </c>
      <c r="J64" s="3063" t="str">
        <f t="shared" si="9"/>
        <v>资本公积</v>
      </c>
      <c r="K64" s="3057">
        <f>Area_RepDate</f>
        <v>43830</v>
      </c>
      <c r="L64" s="3068">
        <f ca="1">INDIRECT(H64&amp;"!CheckA"&amp;I64)</f>
        <v>0</v>
      </c>
      <c r="M64" s="3059">
        <f t="shared" ca="1" si="10"/>
        <v>0</v>
      </c>
      <c r="N64" s="3060" t="str">
        <f t="shared" ca="1" si="11"/>
        <v>√</v>
      </c>
      <c r="O64" s="641"/>
      <c r="P64" s="641"/>
      <c r="Q64" s="641"/>
      <c r="R64" s="641"/>
    </row>
    <row r="65" spans="1:18" ht="24">
      <c r="A65" s="30"/>
      <c r="B65" s="3054" t="s">
        <v>514</v>
      </c>
      <c r="C65" s="3055" t="s">
        <v>442</v>
      </c>
      <c r="D65" s="3056">
        <v>8299</v>
      </c>
      <c r="E65" s="3062" t="str">
        <f t="shared" si="8"/>
        <v>资本公积_本期期末余额</v>
      </c>
      <c r="F65" s="3057" t="str">
        <f>Area_RepDuration1</f>
        <v>2018年度</v>
      </c>
      <c r="G65" s="3067">
        <f ca="1">INDIRECT(C65&amp;"!CheckB"&amp;D65)</f>
        <v>0</v>
      </c>
      <c r="H65" s="3058" t="s">
        <v>428</v>
      </c>
      <c r="I65" s="3056">
        <v>4002</v>
      </c>
      <c r="J65" s="3062" t="str">
        <f t="shared" si="9"/>
        <v>资本公积</v>
      </c>
      <c r="K65" s="3057">
        <f>Area_RepDate1</f>
        <v>43465</v>
      </c>
      <c r="L65" s="3067">
        <f ca="1">INDIRECT(H65&amp;"!CheckB"&amp;I65)</f>
        <v>0</v>
      </c>
      <c r="M65" s="3059">
        <f t="shared" ca="1" si="10"/>
        <v>0</v>
      </c>
      <c r="N65" s="3060" t="str">
        <f t="shared" ca="1" si="11"/>
        <v>√</v>
      </c>
      <c r="O65" s="641"/>
      <c r="P65" s="641"/>
      <c r="Q65" s="641"/>
      <c r="R65" s="641"/>
    </row>
    <row r="66" spans="1:18" ht="24">
      <c r="A66" s="30"/>
      <c r="B66" s="3054" t="s">
        <v>520</v>
      </c>
      <c r="C66" s="3055" t="s">
        <v>442</v>
      </c>
      <c r="D66" s="3056">
        <v>8399</v>
      </c>
      <c r="E66" s="3063" t="str">
        <f t="shared" si="8"/>
        <v>库存股_本期期末余额</v>
      </c>
      <c r="F66" s="3057" t="str">
        <f>Area_RepDuration</f>
        <v>2019年度</v>
      </c>
      <c r="G66" s="3068">
        <f ca="1">INDIRECT(C66&amp;"!CheckA"&amp;D66)</f>
        <v>0</v>
      </c>
      <c r="H66" s="3058" t="s">
        <v>428</v>
      </c>
      <c r="I66" s="3056">
        <v>4201</v>
      </c>
      <c r="J66" s="3063" t="str">
        <f t="shared" si="9"/>
        <v>库存股</v>
      </c>
      <c r="K66" s="3057">
        <f>Area_RepDate</f>
        <v>43830</v>
      </c>
      <c r="L66" s="3068">
        <f ca="1">INDIRECT(H66&amp;"!CheckA"&amp;I66)</f>
        <v>0</v>
      </c>
      <c r="M66" s="3059">
        <f t="shared" ca="1" si="10"/>
        <v>0</v>
      </c>
      <c r="N66" s="3060" t="str">
        <f t="shared" ca="1" si="11"/>
        <v>√</v>
      </c>
      <c r="O66" s="641"/>
      <c r="P66" s="641"/>
      <c r="Q66" s="641"/>
      <c r="R66" s="641"/>
    </row>
    <row r="67" spans="1:18" ht="24">
      <c r="A67" s="30"/>
      <c r="B67" s="3054" t="s">
        <v>525</v>
      </c>
      <c r="C67" s="3055" t="s">
        <v>442</v>
      </c>
      <c r="D67" s="3056">
        <v>8399</v>
      </c>
      <c r="E67" s="3062" t="str">
        <f t="shared" si="8"/>
        <v>库存股_本期期末余额</v>
      </c>
      <c r="F67" s="3057" t="str">
        <f>Area_RepDuration1</f>
        <v>2018年度</v>
      </c>
      <c r="G67" s="3067">
        <f ca="1">INDIRECT(C67&amp;"!CheckB"&amp;D67)</f>
        <v>0</v>
      </c>
      <c r="H67" s="3058" t="s">
        <v>428</v>
      </c>
      <c r="I67" s="3056">
        <v>4201</v>
      </c>
      <c r="J67" s="3062" t="str">
        <f t="shared" si="9"/>
        <v>库存股</v>
      </c>
      <c r="K67" s="3057">
        <f>Area_RepDate1</f>
        <v>43465</v>
      </c>
      <c r="L67" s="3067">
        <f ca="1">INDIRECT(H67&amp;"!CheckB"&amp;I67)</f>
        <v>0</v>
      </c>
      <c r="M67" s="3059">
        <f t="shared" ca="1" si="10"/>
        <v>0</v>
      </c>
      <c r="N67" s="3060" t="str">
        <f t="shared" ca="1" si="11"/>
        <v>√</v>
      </c>
      <c r="O67" s="641"/>
      <c r="P67" s="641"/>
      <c r="Q67" s="641"/>
      <c r="R67" s="641"/>
    </row>
    <row r="68" spans="1:18" ht="24">
      <c r="A68" s="30"/>
      <c r="B68" s="3054" t="s">
        <v>530</v>
      </c>
      <c r="C68" s="3055" t="s">
        <v>442</v>
      </c>
      <c r="D68" s="3056">
        <v>8499</v>
      </c>
      <c r="E68" s="3063" t="str">
        <f t="shared" si="8"/>
        <v>专项储备_本期期末余额</v>
      </c>
      <c r="F68" s="3057" t="str">
        <f>Area_RepDuration</f>
        <v>2019年度</v>
      </c>
      <c r="G68" s="3068">
        <f ca="1">INDIRECT(C68&amp;"!CheckA"&amp;D68)</f>
        <v>0</v>
      </c>
      <c r="H68" s="3058" t="s">
        <v>428</v>
      </c>
      <c r="I68" s="3056">
        <v>4301</v>
      </c>
      <c r="J68" s="3063" t="str">
        <f t="shared" si="9"/>
        <v>专项储备</v>
      </c>
      <c r="K68" s="3057">
        <f>Area_RepDate</f>
        <v>43830</v>
      </c>
      <c r="L68" s="3068">
        <f ca="1">INDIRECT(H68&amp;"!CheckA"&amp;I68)</f>
        <v>0</v>
      </c>
      <c r="M68" s="3059">
        <f t="shared" ca="1" si="10"/>
        <v>0</v>
      </c>
      <c r="N68" s="3060" t="str">
        <f t="shared" ca="1" si="11"/>
        <v>√</v>
      </c>
      <c r="O68" s="641"/>
      <c r="P68" s="641"/>
      <c r="Q68" s="641"/>
      <c r="R68" s="641"/>
    </row>
    <row r="69" spans="1:18" ht="24">
      <c r="A69" s="30"/>
      <c r="B69" s="3054" t="s">
        <v>535</v>
      </c>
      <c r="C69" s="3055" t="s">
        <v>442</v>
      </c>
      <c r="D69" s="3056">
        <v>8499</v>
      </c>
      <c r="E69" s="3062" t="str">
        <f t="shared" si="8"/>
        <v>专项储备_本期期末余额</v>
      </c>
      <c r="F69" s="3057" t="str">
        <f>Area_RepDuration1</f>
        <v>2018年度</v>
      </c>
      <c r="G69" s="3067">
        <f ca="1">INDIRECT(C69&amp;"!CheckB"&amp;D69)</f>
        <v>0</v>
      </c>
      <c r="H69" s="3058" t="s">
        <v>428</v>
      </c>
      <c r="I69" s="3056">
        <v>4301</v>
      </c>
      <c r="J69" s="3062" t="str">
        <f t="shared" si="9"/>
        <v>专项储备</v>
      </c>
      <c r="K69" s="3057">
        <f>Area_RepDate1</f>
        <v>43465</v>
      </c>
      <c r="L69" s="3067">
        <f ca="1">INDIRECT(H69&amp;"!CheckB"&amp;I69)</f>
        <v>0</v>
      </c>
      <c r="M69" s="3059">
        <f t="shared" ca="1" si="10"/>
        <v>0</v>
      </c>
      <c r="N69" s="3060" t="str">
        <f t="shared" ca="1" si="11"/>
        <v>√</v>
      </c>
      <c r="O69" s="641"/>
      <c r="P69" s="641"/>
      <c r="Q69" s="641"/>
      <c r="R69" s="641"/>
    </row>
    <row r="70" spans="1:18" ht="24">
      <c r="A70" s="30"/>
      <c r="B70" s="3054" t="s">
        <v>542</v>
      </c>
      <c r="C70" s="3055" t="s">
        <v>442</v>
      </c>
      <c r="D70" s="3056">
        <v>8599</v>
      </c>
      <c r="E70" s="3063" t="str">
        <f t="shared" si="8"/>
        <v>盈余公积_本期期末余额</v>
      </c>
      <c r="F70" s="3057" t="str">
        <f>Area_RepDuration</f>
        <v>2019年度</v>
      </c>
      <c r="G70" s="3068">
        <f ca="1">INDIRECT(C70&amp;"!CheckA"&amp;D70)</f>
        <v>0</v>
      </c>
      <c r="H70" s="3058" t="s">
        <v>428</v>
      </c>
      <c r="I70" s="3056">
        <v>4101</v>
      </c>
      <c r="J70" s="3063" t="str">
        <f t="shared" si="9"/>
        <v>盈余公积</v>
      </c>
      <c r="K70" s="3057">
        <f>Area_RepDate</f>
        <v>43830</v>
      </c>
      <c r="L70" s="3068">
        <f ca="1">INDIRECT(H70&amp;"!CheckA"&amp;I70)</f>
        <v>0</v>
      </c>
      <c r="M70" s="3059">
        <f t="shared" ca="1" si="10"/>
        <v>0</v>
      </c>
      <c r="N70" s="3060" t="str">
        <f t="shared" ca="1" si="11"/>
        <v>√</v>
      </c>
      <c r="O70" s="641"/>
      <c r="P70" s="641"/>
      <c r="Q70" s="641"/>
      <c r="R70" s="641"/>
    </row>
    <row r="71" spans="1:18" ht="24">
      <c r="A71" s="30"/>
      <c r="B71" s="3054" t="s">
        <v>547</v>
      </c>
      <c r="C71" s="3055" t="s">
        <v>442</v>
      </c>
      <c r="D71" s="3056">
        <v>8599</v>
      </c>
      <c r="E71" s="3062" t="str">
        <f t="shared" si="8"/>
        <v>盈余公积_本期期末余额</v>
      </c>
      <c r="F71" s="3057" t="str">
        <f>Area_RepDuration1</f>
        <v>2018年度</v>
      </c>
      <c r="G71" s="3067">
        <f ca="1">INDIRECT(C71&amp;"!CheckB"&amp;D71)</f>
        <v>0</v>
      </c>
      <c r="H71" s="3058" t="s">
        <v>428</v>
      </c>
      <c r="I71" s="3056">
        <v>4101</v>
      </c>
      <c r="J71" s="3062" t="str">
        <f t="shared" si="9"/>
        <v>盈余公积</v>
      </c>
      <c r="K71" s="3057">
        <f>Area_RepDate1</f>
        <v>43465</v>
      </c>
      <c r="L71" s="3067">
        <f ca="1">INDIRECT(H71&amp;"!CheckB"&amp;I71)</f>
        <v>0</v>
      </c>
      <c r="M71" s="3059">
        <f t="shared" ca="1" si="10"/>
        <v>0</v>
      </c>
      <c r="N71" s="3060" t="str">
        <f t="shared" ca="1" si="11"/>
        <v>√</v>
      </c>
      <c r="O71" s="641"/>
      <c r="P71" s="641"/>
      <c r="Q71" s="641"/>
      <c r="R71" s="641"/>
    </row>
    <row r="72" spans="1:18" ht="24">
      <c r="A72" s="30"/>
      <c r="B72" s="3054" t="s">
        <v>551</v>
      </c>
      <c r="C72" s="3055" t="s">
        <v>442</v>
      </c>
      <c r="D72" s="3056">
        <v>8699</v>
      </c>
      <c r="E72" s="3063" t="str">
        <f t="shared" si="8"/>
        <v>一般风险准备_本期期末余额</v>
      </c>
      <c r="F72" s="3057" t="str">
        <f>Area_RepDuration</f>
        <v>2019年度</v>
      </c>
      <c r="G72" s="3068">
        <f ca="1">INDIRECT(C72&amp;"!CheckA"&amp;D72)</f>
        <v>0</v>
      </c>
      <c r="H72" s="3058" t="s">
        <v>428</v>
      </c>
      <c r="I72" s="3056">
        <v>4102</v>
      </c>
      <c r="J72" s="3063" t="str">
        <f t="shared" si="9"/>
        <v>一般风险准备</v>
      </c>
      <c r="K72" s="3057">
        <f>Area_RepDate</f>
        <v>43830</v>
      </c>
      <c r="L72" s="3068">
        <f ca="1">INDIRECT(H72&amp;"!CheckA"&amp;I72)</f>
        <v>0</v>
      </c>
      <c r="M72" s="3059">
        <f t="shared" ca="1" si="10"/>
        <v>0</v>
      </c>
      <c r="N72" s="3060" t="str">
        <f t="shared" ca="1" si="11"/>
        <v>√</v>
      </c>
      <c r="O72" s="641"/>
      <c r="P72" s="641"/>
      <c r="Q72" s="641"/>
      <c r="R72" s="641"/>
    </row>
    <row r="73" spans="1:18" ht="24">
      <c r="A73" s="30"/>
      <c r="B73" s="3054" t="s">
        <v>555</v>
      </c>
      <c r="C73" s="3055" t="s">
        <v>442</v>
      </c>
      <c r="D73" s="3056">
        <v>8699</v>
      </c>
      <c r="E73" s="3062" t="str">
        <f t="shared" ref="E73:E84" si="16">VLOOKUP(D73,Sheet_Items,2,0)</f>
        <v>一般风险准备_本期期末余额</v>
      </c>
      <c r="F73" s="3057" t="str">
        <f>Area_RepDuration1</f>
        <v>2018年度</v>
      </c>
      <c r="G73" s="3067">
        <f ca="1">INDIRECT(C73&amp;"!CheckB"&amp;D73)</f>
        <v>0</v>
      </c>
      <c r="H73" s="3058" t="s">
        <v>428</v>
      </c>
      <c r="I73" s="3056">
        <v>4102</v>
      </c>
      <c r="J73" s="3062" t="str">
        <f t="shared" ref="J73:J84" si="17">VLOOKUP(I73,Sheet_Items,2,0)</f>
        <v>一般风险准备</v>
      </c>
      <c r="K73" s="3057">
        <f>Area_RepDate1</f>
        <v>43465</v>
      </c>
      <c r="L73" s="3067">
        <f ca="1">INDIRECT(H73&amp;"!CheckB"&amp;I73)</f>
        <v>0</v>
      </c>
      <c r="M73" s="3059">
        <f t="shared" ref="M73:M84" ca="1" si="18">ROUND(G73-L73,2)</f>
        <v>0</v>
      </c>
      <c r="N73" s="3060" t="str">
        <f t="shared" ref="N73:N84" ca="1" si="19">IF(M73=0,"√","×")</f>
        <v>√</v>
      </c>
      <c r="O73" s="641"/>
      <c r="P73" s="641"/>
      <c r="Q73" s="641"/>
      <c r="R73" s="641"/>
    </row>
    <row r="74" spans="1:18" ht="24">
      <c r="A74" s="30"/>
      <c r="B74" s="3054" t="s">
        <v>560</v>
      </c>
      <c r="C74" s="3055" t="s">
        <v>442</v>
      </c>
      <c r="D74" s="3056">
        <v>8799</v>
      </c>
      <c r="E74" s="3063" t="str">
        <f t="shared" si="16"/>
        <v>未分配利润_本期期末余额</v>
      </c>
      <c r="F74" s="3057" t="str">
        <f>Area_RepDuration</f>
        <v>2019年度</v>
      </c>
      <c r="G74" s="3068">
        <f ca="1">INDIRECT(C74&amp;"!CheckA"&amp;D74)</f>
        <v>-25297789.149999999</v>
      </c>
      <c r="H74" s="3058" t="s">
        <v>428</v>
      </c>
      <c r="I74" s="3056">
        <v>4200</v>
      </c>
      <c r="J74" s="3063" t="str">
        <f t="shared" si="17"/>
        <v>未分配利润</v>
      </c>
      <c r="K74" s="3057">
        <f>Area_RepDate</f>
        <v>43830</v>
      </c>
      <c r="L74" s="3068">
        <f ca="1">INDIRECT(H74&amp;"!CheckA"&amp;I74)</f>
        <v>-25297789.149999999</v>
      </c>
      <c r="M74" s="3059">
        <f t="shared" ca="1" si="18"/>
        <v>0</v>
      </c>
      <c r="N74" s="3060" t="str">
        <f t="shared" ca="1" si="19"/>
        <v>√</v>
      </c>
      <c r="O74" s="641"/>
      <c r="P74" s="641"/>
      <c r="Q74" s="641"/>
      <c r="R74" s="641"/>
    </row>
    <row r="75" spans="1:18" ht="24">
      <c r="A75" s="30"/>
      <c r="B75" s="3054" t="s">
        <v>563</v>
      </c>
      <c r="C75" s="3055" t="s">
        <v>442</v>
      </c>
      <c r="D75" s="3056">
        <v>8799</v>
      </c>
      <c r="E75" s="3062" t="str">
        <f t="shared" si="16"/>
        <v>未分配利润_本期期末余额</v>
      </c>
      <c r="F75" s="3057" t="str">
        <f>Area_RepDuration1</f>
        <v>2018年度</v>
      </c>
      <c r="G75" s="3067">
        <f ca="1">INDIRECT(C75&amp;"!CheckB"&amp;D75)</f>
        <v>-47230884.140000001</v>
      </c>
      <c r="H75" s="3058" t="s">
        <v>428</v>
      </c>
      <c r="I75" s="3056">
        <v>4200</v>
      </c>
      <c r="J75" s="3062" t="str">
        <f t="shared" si="17"/>
        <v>未分配利润</v>
      </c>
      <c r="K75" s="3057">
        <f>Area_RepDate1</f>
        <v>43465</v>
      </c>
      <c r="L75" s="3067">
        <f ca="1">INDIRECT(H75&amp;"!CheckB"&amp;I75)</f>
        <v>-47230884.140000001</v>
      </c>
      <c r="M75" s="3059">
        <f t="shared" ca="1" si="18"/>
        <v>0</v>
      </c>
      <c r="N75" s="3060" t="str">
        <f t="shared" ca="1" si="19"/>
        <v>√</v>
      </c>
      <c r="O75" s="641"/>
      <c r="P75" s="641"/>
      <c r="Q75" s="641"/>
      <c r="R75" s="641"/>
    </row>
    <row r="76" spans="1:18" ht="24">
      <c r="A76" s="30"/>
      <c r="B76" s="31" t="s">
        <v>565</v>
      </c>
      <c r="C76" s="35" t="s">
        <v>442</v>
      </c>
      <c r="D76" s="1269">
        <v>8099</v>
      </c>
      <c r="E76" s="3061" t="str">
        <f t="shared" si="16"/>
        <v>所有者权益_本期期末余额</v>
      </c>
      <c r="F76" s="1270" t="str">
        <f>Area_RepDuration</f>
        <v>2019年度</v>
      </c>
      <c r="G76" s="3066">
        <f ca="1">INDIRECT(C76&amp;"!CheckA"&amp;D76)</f>
        <v>-25297789.149999999</v>
      </c>
      <c r="H76" s="1271" t="s">
        <v>428</v>
      </c>
      <c r="I76" s="1269">
        <v>4999</v>
      </c>
      <c r="J76" s="3061" t="str">
        <f t="shared" si="17"/>
        <v>所有者权益</v>
      </c>
      <c r="K76" s="1270">
        <f>Area_RepDate</f>
        <v>43830</v>
      </c>
      <c r="L76" s="3066">
        <f ca="1">INDIRECT(H76&amp;"!CheckA"&amp;I76)</f>
        <v>-25297789.149999999</v>
      </c>
      <c r="M76" s="70">
        <f t="shared" ca="1" si="18"/>
        <v>0</v>
      </c>
      <c r="N76" s="1293" t="str">
        <f t="shared" ca="1" si="19"/>
        <v>√</v>
      </c>
      <c r="O76" s="641"/>
      <c r="P76" s="641"/>
      <c r="Q76" s="641"/>
      <c r="R76" s="641"/>
    </row>
    <row r="77" spans="1:18" ht="24">
      <c r="A77" s="30"/>
      <c r="B77" s="31" t="s">
        <v>571</v>
      </c>
      <c r="C77" s="35" t="s">
        <v>442</v>
      </c>
      <c r="D77" s="1269">
        <v>8099</v>
      </c>
      <c r="E77" s="3064" t="str">
        <f t="shared" si="16"/>
        <v>所有者权益_本期期末余额</v>
      </c>
      <c r="F77" s="1270" t="str">
        <f>Area_RepDuration1</f>
        <v>2018年度</v>
      </c>
      <c r="G77" s="3069">
        <f ca="1">INDIRECT(C77&amp;"!CheckB"&amp;D77)</f>
        <v>52769115.859999999</v>
      </c>
      <c r="H77" s="1271" t="s">
        <v>428</v>
      </c>
      <c r="I77" s="1269">
        <v>4999</v>
      </c>
      <c r="J77" s="3064" t="str">
        <f t="shared" si="17"/>
        <v>所有者权益</v>
      </c>
      <c r="K77" s="1270">
        <f>Area_RepDate1</f>
        <v>43465</v>
      </c>
      <c r="L77" s="3069">
        <f ca="1">INDIRECT(H77&amp;"!CheckB"&amp;I77)</f>
        <v>52769115.859999999</v>
      </c>
      <c r="M77" s="70">
        <f t="shared" ca="1" si="18"/>
        <v>0</v>
      </c>
      <c r="N77" s="1293" t="str">
        <f t="shared" ca="1" si="19"/>
        <v>√</v>
      </c>
      <c r="O77" s="641"/>
      <c r="P77" s="641"/>
      <c r="Q77" s="641"/>
      <c r="R77" s="641"/>
    </row>
    <row r="78" spans="1:18" ht="24">
      <c r="A78" s="30"/>
      <c r="B78" s="31" t="s">
        <v>577</v>
      </c>
      <c r="C78" s="35" t="s">
        <v>578</v>
      </c>
      <c r="D78" s="1269">
        <v>7349</v>
      </c>
      <c r="E78" s="3061" t="str">
        <f t="shared" si="16"/>
        <v>期初现金及现金等价物余额</v>
      </c>
      <c r="F78" s="1270" t="str">
        <f>Area_RepDuration</f>
        <v>2019年度</v>
      </c>
      <c r="G78" s="3066">
        <f ca="1">INDIRECT(C78&amp;"!CheckA"&amp;D78)</f>
        <v>340266.93</v>
      </c>
      <c r="H78" s="1271" t="s">
        <v>578</v>
      </c>
      <c r="I78" s="1269">
        <v>7399</v>
      </c>
      <c r="J78" s="3064" t="str">
        <f t="shared" si="17"/>
        <v>期末现金及现金等价物余额</v>
      </c>
      <c r="K78" s="1270" t="str">
        <f>Area_RepDuration1</f>
        <v>2018年度</v>
      </c>
      <c r="L78" s="3069">
        <f ca="1">INDIRECT(H78&amp;"!CheckB"&amp;I78)</f>
        <v>340266.93</v>
      </c>
      <c r="M78" s="70">
        <f t="shared" ca="1" si="18"/>
        <v>0</v>
      </c>
      <c r="N78" s="1293" t="str">
        <f t="shared" ca="1" si="19"/>
        <v>√</v>
      </c>
      <c r="O78" s="641"/>
      <c r="P78" s="641"/>
      <c r="Q78" s="641"/>
      <c r="R78" s="641"/>
    </row>
    <row r="79" spans="1:18" ht="18">
      <c r="A79" s="30"/>
      <c r="B79" s="31" t="s">
        <v>582</v>
      </c>
      <c r="C79" s="35" t="s">
        <v>578</v>
      </c>
      <c r="D79" s="1269">
        <v>7502</v>
      </c>
      <c r="E79" s="3061" t="str">
        <f t="shared" si="16"/>
        <v>净利润金额</v>
      </c>
      <c r="F79" s="1270" t="str">
        <f>Area_RepDuration</f>
        <v>2019年度</v>
      </c>
      <c r="G79" s="3066">
        <f ca="1">INDIRECT(C79&amp;"!CheckA"&amp;D79)</f>
        <v>-25297789.149999999</v>
      </c>
      <c r="H79" s="1271" t="s">
        <v>441</v>
      </c>
      <c r="I79" s="1269">
        <v>6799</v>
      </c>
      <c r="J79" s="3061" t="str">
        <f t="shared" si="17"/>
        <v>净利润</v>
      </c>
      <c r="K79" s="1270" t="str">
        <f>Area_RepDuration</f>
        <v>2019年度</v>
      </c>
      <c r="L79" s="3066">
        <f ca="1">INDIRECT(H79&amp;"!CheckA"&amp;I79)</f>
        <v>-25297789.149999999</v>
      </c>
      <c r="M79" s="70">
        <f t="shared" ca="1" si="18"/>
        <v>0</v>
      </c>
      <c r="N79" s="1293" t="str">
        <f t="shared" ca="1" si="19"/>
        <v>√</v>
      </c>
      <c r="O79" s="641"/>
      <c r="P79" s="641"/>
      <c r="Q79" s="641"/>
      <c r="R79" s="641"/>
    </row>
    <row r="80" spans="1:18" ht="18">
      <c r="A80" s="30"/>
      <c r="B80" s="31" t="s">
        <v>587</v>
      </c>
      <c r="C80" s="35" t="s">
        <v>578</v>
      </c>
      <c r="D80" s="1269">
        <v>7502</v>
      </c>
      <c r="E80" s="3064" t="str">
        <f t="shared" si="16"/>
        <v>净利润金额</v>
      </c>
      <c r="F80" s="1270" t="str">
        <f>Area_RepDuration1</f>
        <v>2018年度</v>
      </c>
      <c r="G80" s="3069">
        <f ca="1">INDIRECT(C80&amp;"!CheckB"&amp;D80)</f>
        <v>-22510882.850000001</v>
      </c>
      <c r="H80" s="1271" t="s">
        <v>441</v>
      </c>
      <c r="I80" s="1269">
        <v>6799</v>
      </c>
      <c r="J80" s="3064" t="str">
        <f t="shared" si="17"/>
        <v>净利润</v>
      </c>
      <c r="K80" s="1270" t="str">
        <f>Area_RepDuration1</f>
        <v>2018年度</v>
      </c>
      <c r="L80" s="3069">
        <f ca="1">INDIRECT(H80&amp;"!CheckB"&amp;I80)</f>
        <v>-22510882.850000001</v>
      </c>
      <c r="M80" s="70">
        <f t="shared" ca="1" si="18"/>
        <v>0</v>
      </c>
      <c r="N80" s="1293" t="str">
        <f t="shared" ca="1" si="19"/>
        <v>√</v>
      </c>
      <c r="O80" s="641"/>
      <c r="P80" s="641"/>
      <c r="Q80" s="641"/>
      <c r="R80" s="641"/>
    </row>
    <row r="81" spans="1:18" ht="24">
      <c r="A81" s="30"/>
      <c r="B81" s="31" t="s">
        <v>593</v>
      </c>
      <c r="C81" s="35" t="s">
        <v>578</v>
      </c>
      <c r="D81" s="1269">
        <v>7525</v>
      </c>
      <c r="E81" s="3061" t="str">
        <f t="shared" si="16"/>
        <v>经营活动产生的现金流量净额</v>
      </c>
      <c r="F81" s="1270" t="str">
        <f>Area_RepDuration</f>
        <v>2019年度</v>
      </c>
      <c r="G81" s="3066">
        <f ca="1">INDIRECT(C81&amp;"!CheckA"&amp;D81)</f>
        <v>-30666355.469999999</v>
      </c>
      <c r="H81" s="1271" t="s">
        <v>578</v>
      </c>
      <c r="I81" s="1269">
        <v>7099</v>
      </c>
      <c r="J81" s="3061" t="str">
        <f t="shared" si="17"/>
        <v>经营活动产生的现金流量净额</v>
      </c>
      <c r="K81" s="1270" t="str">
        <f>Area_RepDuration</f>
        <v>2019年度</v>
      </c>
      <c r="L81" s="3066">
        <f ca="1">INDIRECT(H81&amp;"!CheckA"&amp;I81)</f>
        <v>-30666355.469999999</v>
      </c>
      <c r="M81" s="70">
        <f t="shared" ca="1" si="18"/>
        <v>0</v>
      </c>
      <c r="N81" s="1293" t="str">
        <f t="shared" ca="1" si="19"/>
        <v>√</v>
      </c>
      <c r="O81" s="641"/>
      <c r="P81" s="641"/>
      <c r="Q81" s="641"/>
      <c r="R81" s="641"/>
    </row>
    <row r="82" spans="1:18" ht="24">
      <c r="A82" s="30"/>
      <c r="B82" s="31" t="s">
        <v>598</v>
      </c>
      <c r="C82" s="35" t="s">
        <v>578</v>
      </c>
      <c r="D82" s="1269">
        <v>7525</v>
      </c>
      <c r="E82" s="3064" t="str">
        <f t="shared" si="16"/>
        <v>经营活动产生的现金流量净额</v>
      </c>
      <c r="F82" s="1270" t="str">
        <f>Area_RepDuration1</f>
        <v>2018年度</v>
      </c>
      <c r="G82" s="3069">
        <f ca="1">INDIRECT(C82&amp;"!CheckB"&amp;D82)</f>
        <v>54079648.780000001</v>
      </c>
      <c r="H82" s="1271" t="s">
        <v>578</v>
      </c>
      <c r="I82" s="1269">
        <v>7099</v>
      </c>
      <c r="J82" s="3064" t="str">
        <f t="shared" si="17"/>
        <v>经营活动产生的现金流量净额</v>
      </c>
      <c r="K82" s="1270" t="str">
        <f>Area_RepDuration1</f>
        <v>2018年度</v>
      </c>
      <c r="L82" s="3069">
        <f ca="1">INDIRECT(H82&amp;"!CheckB"&amp;I82)</f>
        <v>54079648.780000001</v>
      </c>
      <c r="M82" s="70">
        <f t="shared" ca="1" si="18"/>
        <v>0</v>
      </c>
      <c r="N82" s="1293" t="str">
        <f t="shared" ca="1" si="19"/>
        <v>√</v>
      </c>
      <c r="O82" s="641"/>
      <c r="P82" s="641"/>
      <c r="Q82" s="641"/>
      <c r="R82" s="641"/>
    </row>
    <row r="83" spans="1:18" ht="24">
      <c r="A83" s="30"/>
      <c r="B83" s="31" t="s">
        <v>603</v>
      </c>
      <c r="C83" s="35" t="s">
        <v>578</v>
      </c>
      <c r="D83" s="1269">
        <v>7539</v>
      </c>
      <c r="E83" s="3061" t="str">
        <f t="shared" si="16"/>
        <v>现金及现金等价物净增加额</v>
      </c>
      <c r="F83" s="1270" t="str">
        <f>Area_RepDuration</f>
        <v>2019年度</v>
      </c>
      <c r="G83" s="3066">
        <f ca="1">INDIRECT(C83&amp;"!CheckA"&amp;D83)</f>
        <v>-281457.98</v>
      </c>
      <c r="H83" s="1271" t="s">
        <v>578</v>
      </c>
      <c r="I83" s="1269">
        <v>7348</v>
      </c>
      <c r="J83" s="3061" t="str">
        <f t="shared" si="17"/>
        <v>现金及现金等价物净增加额</v>
      </c>
      <c r="K83" s="1270" t="str">
        <f>Area_RepDuration</f>
        <v>2019年度</v>
      </c>
      <c r="L83" s="3066">
        <f ca="1">INDIRECT(H83&amp;"!CheckA"&amp;I83)</f>
        <v>-281457.98</v>
      </c>
      <c r="M83" s="70">
        <f t="shared" ca="1" si="18"/>
        <v>0</v>
      </c>
      <c r="N83" s="1293" t="str">
        <f t="shared" ca="1" si="19"/>
        <v>√</v>
      </c>
      <c r="O83" s="641"/>
      <c r="P83" s="641"/>
      <c r="Q83" s="641"/>
      <c r="R83" s="641"/>
    </row>
    <row r="84" spans="1:18" ht="24">
      <c r="A84" s="30"/>
      <c r="B84" s="36" t="s">
        <v>608</v>
      </c>
      <c r="C84" s="37" t="s">
        <v>578</v>
      </c>
      <c r="D84" s="1272">
        <v>7539</v>
      </c>
      <c r="E84" s="3065" t="str">
        <f t="shared" si="16"/>
        <v>现金及现金等价物净增加额</v>
      </c>
      <c r="F84" s="1273" t="str">
        <f>Area_RepDuration1</f>
        <v>2018年度</v>
      </c>
      <c r="G84" s="3070">
        <f ca="1">INDIRECT(C84&amp;"!CheckB"&amp;D84)</f>
        <v>-373677.21</v>
      </c>
      <c r="H84" s="1274" t="s">
        <v>578</v>
      </c>
      <c r="I84" s="1272">
        <v>7348</v>
      </c>
      <c r="J84" s="3065" t="str">
        <f t="shared" si="17"/>
        <v>现金及现金等价物净增加额</v>
      </c>
      <c r="K84" s="1273" t="str">
        <f>Area_RepDuration1</f>
        <v>2018年度</v>
      </c>
      <c r="L84" s="3070">
        <f ca="1">INDIRECT(H84&amp;"!CheckB"&amp;I84)</f>
        <v>-373677.21</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4GxfXtapBowEvQODF9oCAuPHlVSTJ7luXNDJ0N+1qhuAXw4y9Ov5HrcbI3cDj84jpG2ADg5mkzJNWSTnIaR0iA==" saltValue="gRM/rjaxAfZybXrgyPmKBA==" spinCount="100000" sheet="1" scenarios="1" formatCells="0" autoFilter="0"/>
  <phoneticPr fontId="163" type="noConversion"/>
  <conditionalFormatting sqref="M9:M84">
    <cfRule type="expression" dxfId="4091"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61" workbookViewId="0">
      <selection activeCell="K64" sqref="K64"/>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编制单位：华软金信科技（北京）有限公司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c r="F10" s="1198"/>
      <c r="G10" s="1199">
        <f t="shared" si="3"/>
        <v>340266.93</v>
      </c>
      <c r="H10" s="2817">
        <v>2001</v>
      </c>
      <c r="I10" s="1206" t="str">
        <f t="shared" si="4"/>
        <v>短期借款</v>
      </c>
      <c r="J10" s="1197"/>
      <c r="K10" s="1198"/>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c r="F17" s="1198"/>
      <c r="G17" s="1199">
        <f t="shared" si="3"/>
        <v>0</v>
      </c>
      <c r="H17" s="2817">
        <v>2202</v>
      </c>
      <c r="I17" s="1206" t="str">
        <f t="shared" si="4"/>
        <v>应付账款</v>
      </c>
      <c r="J17" s="1197"/>
      <c r="K17" s="1198"/>
      <c r="L17" s="1207">
        <f t="shared" si="5"/>
        <v>0</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c r="K18" s="1198"/>
      <c r="L18" s="1207">
        <f t="shared" si="5"/>
        <v>0</v>
      </c>
      <c r="M18" s="641"/>
      <c r="N18" s="641"/>
      <c r="O18" s="641"/>
      <c r="P18" s="641"/>
    </row>
    <row r="19" spans="1:16" ht="18">
      <c r="A19" s="2752">
        <f t="shared" si="0"/>
        <v>0</v>
      </c>
      <c r="B19" s="2752" t="str">
        <f t="shared" si="1"/>
        <v>_SR</v>
      </c>
      <c r="C19" s="2809">
        <v>1125</v>
      </c>
      <c r="D19" s="975" t="str">
        <f>VLOOKUP($C19,Sheet_Items,6,0)</f>
        <v>预付款项</v>
      </c>
      <c r="E19" s="3053"/>
      <c r="F19" s="1198"/>
      <c r="G19" s="1199">
        <f t="shared" si="3"/>
        <v>496233.65</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0</v>
      </c>
      <c r="G23" s="1202">
        <f>SUM(G24:G26)</f>
        <v>4191637.3</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c r="K24" s="1198"/>
      <c r="L24" s="1207">
        <f t="shared" si="5"/>
        <v>2712561.36</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c r="K25" s="1198"/>
      <c r="L25" s="1207">
        <f t="shared" si="5"/>
        <v>44562.07</v>
      </c>
      <c r="M25" s="641"/>
      <c r="N25" s="641"/>
      <c r="O25" s="641"/>
      <c r="P25" s="641"/>
    </row>
    <row r="26" spans="1:16" ht="18">
      <c r="A26" s="2752">
        <f t="shared" si="0"/>
        <v>0</v>
      </c>
      <c r="B26" s="2752">
        <f t="shared" si="1"/>
        <v>0</v>
      </c>
      <c r="C26" s="2809">
        <v>1221</v>
      </c>
      <c r="D26" s="1140" t="str">
        <f t="shared" si="2"/>
        <v>其他应收款</v>
      </c>
      <c r="E26" s="3053"/>
      <c r="F26" s="1198"/>
      <c r="G26" s="1199">
        <f t="shared" si="6"/>
        <v>4191637.3</v>
      </c>
      <c r="H26" s="2817">
        <v>2246</v>
      </c>
      <c r="I26" s="1206" t="str">
        <f>VLOOKUP($H26,Sheet_Items,2,0)</f>
        <v>其他应付款（报表项目）</v>
      </c>
      <c r="J26" s="1200"/>
      <c r="K26" s="1201">
        <f>SUM(K27:K29)</f>
        <v>0</v>
      </c>
      <c r="L26" s="1208">
        <f>SUM(L27,L28,L29)</f>
        <v>396457994.25</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c r="F28" s="1198"/>
      <c r="G28" s="1199">
        <f t="shared" si="6"/>
        <v>0</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c r="K29" s="1198"/>
      <c r="L29" s="1207">
        <f t="shared" si="7"/>
        <v>396457994.25</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1197"/>
      <c r="F32" s="1198"/>
      <c r="G32" s="1199">
        <f t="shared" si="6"/>
        <v>0</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0</v>
      </c>
      <c r="G35" s="1204">
        <f>SUM(G10:G34)-SUM(G23)</f>
        <v>5028137.88</v>
      </c>
      <c r="H35" s="2818">
        <v>2498</v>
      </c>
      <c r="I35" s="1205" t="str">
        <f t="shared" si="4"/>
        <v>流动负债合计</v>
      </c>
      <c r="J35" s="1200"/>
      <c r="K35" s="1203">
        <f>SUM(K10:K34)-SUM(K26)</f>
        <v>0</v>
      </c>
      <c r="L35" s="1209">
        <f>SUM(L10:L34)-SUM(L26)</f>
        <v>399215117.68000001</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445619464.50999999</v>
      </c>
      <c r="H43" s="2817">
        <v>2706</v>
      </c>
      <c r="I43" s="1206" t="str">
        <f>VLOOKUP($H43,Sheet_Items,2,0)</f>
        <v>长期应付款（报表项目）</v>
      </c>
      <c r="J43" s="1200"/>
      <c r="K43" s="1201">
        <f>SUM(K44:K45)</f>
        <v>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c r="K45" s="1198"/>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0</v>
      </c>
      <c r="G47" s="1202">
        <f>SUM(G48:G49)</f>
        <v>221616.66</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1197"/>
      <c r="F48" s="1198"/>
      <c r="G48" s="1199">
        <f>IF($C48="","",IF(ISERROR(VLOOKUP($C48,Sheet_Balance1,2,0)),0,VLOOKUP($C48,Sheet_Balance1,2,0)))</f>
        <v>221616.66</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0</v>
      </c>
      <c r="H51" s="2817">
        <v>2998</v>
      </c>
      <c r="I51" s="1205" t="str">
        <f>IF($H51="","",VLOOKUP($H51,Sheet_Items,6,0))</f>
        <v>非流动负债合计</v>
      </c>
      <c r="J51" s="1200"/>
      <c r="K51" s="1203">
        <f>SUM(K37:K50)-SUM(K40,K41,K43)</f>
        <v>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0</v>
      </c>
      <c r="L52" s="1209">
        <f>SUM(L35,L51)</f>
        <v>399215117.68000001</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c r="K54" s="1198"/>
      <c r="L54" s="1207">
        <f t="shared" si="13"/>
        <v>100000000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1197"/>
      <c r="F56" s="1198"/>
      <c r="G56" s="1199">
        <f t="shared" si="11"/>
        <v>132000</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1197" t="s">
        <v>6792</v>
      </c>
      <c r="F57" s="1198"/>
      <c r="G57" s="1199">
        <f t="shared" si="11"/>
        <v>0</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c r="K58" s="1198"/>
      <c r="L58" s="1207">
        <f t="shared" si="13"/>
        <v>0</v>
      </c>
      <c r="M58" s="641"/>
      <c r="N58" s="641"/>
      <c r="O58" s="641"/>
      <c r="P58" s="641"/>
    </row>
    <row r="59" spans="1:16" ht="18">
      <c r="A59" s="2752">
        <f t="shared" si="0"/>
        <v>0</v>
      </c>
      <c r="B59" s="2752">
        <f t="shared" si="1"/>
        <v>0</v>
      </c>
      <c r="C59" s="2809">
        <v>1801</v>
      </c>
      <c r="D59" s="975" t="str">
        <f t="shared" si="14"/>
        <v>长期待摊费用</v>
      </c>
      <c r="E59" s="1197"/>
      <c r="F59" s="1198"/>
      <c r="G59" s="1199">
        <f t="shared" si="11"/>
        <v>983014.49</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c r="F60" s="1198"/>
      <c r="G60" s="1199">
        <f t="shared" si="11"/>
        <v>0</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1197"/>
      <c r="F61" s="1198"/>
      <c r="G61" s="1199">
        <f t="shared" si="11"/>
        <v>0</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c r="K62" s="1198"/>
      <c r="L62" s="1207">
        <f t="shared" si="13"/>
        <v>0</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c r="K64" s="1198">
        <f>preIS!E45</f>
        <v>-25297789.149999999</v>
      </c>
      <c r="L64" s="1207">
        <f t="shared" si="13"/>
        <v>-47230884.140000001</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-25297789.149999999</v>
      </c>
      <c r="L65" s="1232">
        <f>SUM(L54:L55,L58,-L59,L60:L64)</f>
        <v>52769115.859999999</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0</v>
      </c>
      <c r="G67" s="1204">
        <f>SUM(G37:G66)-SUM(G47,G50)</f>
        <v>446956095.66000003</v>
      </c>
      <c r="H67" s="2820">
        <v>4999</v>
      </c>
      <c r="I67" s="1233" t="str">
        <f t="shared" si="12"/>
        <v>所有者权益（或股东权益）合计</v>
      </c>
      <c r="J67" s="1200"/>
      <c r="K67" s="1203">
        <f>SUM(K65,K66)</f>
        <v>-25297789.149999999</v>
      </c>
      <c r="L67" s="1209">
        <f>SUM(L65,L66)</f>
        <v>52769115.859999999</v>
      </c>
      <c r="M67" s="641"/>
      <c r="N67" s="641"/>
      <c r="O67" s="641"/>
      <c r="P67" s="641"/>
    </row>
    <row r="68" spans="1:16" ht="24">
      <c r="A68" s="2752" t="str">
        <f t="shared" si="0"/>
        <v>＝</v>
      </c>
      <c r="B68" s="2752" t="str">
        <f t="shared" si="1"/>
        <v>＝</v>
      </c>
      <c r="C68" s="2809">
        <v>1999</v>
      </c>
      <c r="D68" s="1210" t="str">
        <f t="shared" si="14"/>
        <v>资产总计</v>
      </c>
      <c r="E68" s="1211"/>
      <c r="F68" s="1212">
        <f>SUM(F35,F67)</f>
        <v>0</v>
      </c>
      <c r="G68" s="1213">
        <f>SUM(G35,G67)</f>
        <v>451984233.54000002</v>
      </c>
      <c r="H68" s="2821">
        <v>5000</v>
      </c>
      <c r="I68" s="1234" t="str">
        <f t="shared" si="12"/>
        <v>负债和所有者权益（或股东权益）总计</v>
      </c>
      <c r="J68" s="1211"/>
      <c r="K68" s="1212">
        <f>SUM(K52,K67)</f>
        <v>-25297789.149999999</v>
      </c>
      <c r="L68" s="1235">
        <f>SUM(L52,L67)</f>
        <v>451984233.54000002</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0</v>
      </c>
      <c r="H94" s="2825"/>
      <c r="I94" s="1236" t="str">
        <f>I68</f>
        <v>负债和所有者权益（或股东权益）总计</v>
      </c>
      <c r="J94" s="1222"/>
      <c r="K94" s="1001">
        <f>K68</f>
        <v>-25297789.149999999</v>
      </c>
      <c r="L94" s="1054">
        <f>ROUND(G94-K94,2)</f>
        <v>25297789.149999999</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451984233.54000002</v>
      </c>
      <c r="H96" s="2825"/>
      <c r="I96" s="1241" t="str">
        <f>I68</f>
        <v>负债和所有者权益（或股东权益）总计</v>
      </c>
      <c r="J96" s="1222"/>
      <c r="K96" s="1001">
        <f>L68</f>
        <v>451984233.54000002</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25297789.149999999</v>
      </c>
      <c r="M97" s="956" t="str">
        <f>IF(L97=0,"Balanced","Diff "&amp;TEXT(ROUND(L97,2),"#,###.00"))</f>
        <v>Diff 25,297,789.15</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d/5H154D3QDpVNcWlW/Ko9KdwiFxuhHhVgwy/jAdGN16eUhbDVOz1TiWhCaRmY85q5CUU3x+l7C98WfKkad0XA==" saltValue="QSNFELcOlxjwRQXjQVSNHg==" spinCount="100000" sheet="1" scenarios="1" formatCells="0" autoFilter="0"/>
  <phoneticPr fontId="163" type="noConversion"/>
  <conditionalFormatting sqref="F68:G68">
    <cfRule type="expression" dxfId="4090" priority="1" stopIfTrue="1">
      <formula>ROUND(F68-K68,2)&lt;&gt;0</formula>
    </cfRule>
  </conditionalFormatting>
  <conditionalFormatting sqref="K68:L68">
    <cfRule type="expression" dxfId="4089" priority="2" stopIfTrue="1">
      <formula>ROUND(K68-F68,2)&lt;&gt;0</formula>
    </cfRule>
  </conditionalFormatting>
  <conditionalFormatting sqref="L94 L92 L96:L97">
    <cfRule type="cellIs" dxfId="4088"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7" workbookViewId="0">
      <selection activeCell="F49" sqref="F49"/>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编制单位：华软金信科技（北京）有限公司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c r="E9" s="921">
        <f>SUM(E10:E13)</f>
        <v>328458.53999999998</v>
      </c>
      <c r="F9" s="1135">
        <f>SUM(F10:F13)</f>
        <v>6282.79</v>
      </c>
      <c r="G9" s="641"/>
      <c r="H9" s="641"/>
      <c r="I9" s="641"/>
      <c r="J9" s="641"/>
    </row>
    <row r="10" spans="1:10" ht="18">
      <c r="A10" s="2752">
        <f t="shared" si="0"/>
        <v>0</v>
      </c>
      <c r="B10" s="2809">
        <v>6001</v>
      </c>
      <c r="C10" s="1654" t="str">
        <f>VLOOKUP($B10,Sheet_Items,7,0)</f>
        <v>其中：营业收入</v>
      </c>
      <c r="D10" s="1136"/>
      <c r="E10" s="1079">
        <v>328458.53999999998</v>
      </c>
      <c r="F10" s="1080">
        <f>IF($B10="","",IF(ISERROR(VLOOKUP($B10,Sheet_Balance1,2,0)),0,VLOOKUP($B10,Sheet_Balance1,2,0)))</f>
        <v>6282.79</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31896947.5</v>
      </c>
      <c r="F14" s="1135">
        <f>SUM(F15:F27)</f>
        <v>22487600.52</v>
      </c>
      <c r="G14" s="641"/>
      <c r="H14" s="641"/>
      <c r="I14" s="641"/>
      <c r="J14" s="641"/>
    </row>
    <row r="15" spans="1:10" ht="18">
      <c r="A15" s="2752">
        <f t="shared" si="0"/>
        <v>0</v>
      </c>
      <c r="B15" s="2809">
        <v>6401</v>
      </c>
      <c r="C15" s="1138" t="str">
        <f t="shared" si="1"/>
        <v>减：营业成本</v>
      </c>
      <c r="D15" s="1081"/>
      <c r="E15" s="1079">
        <v>8990453.4299999997</v>
      </c>
      <c r="F15" s="1080">
        <f t="shared" ref="F15:F37" si="2">IF($B15="","",IF(ISERROR(VLOOKUP($B15,Sheet_Balance1,2,0)),0,VLOOKUP($B15,Sheet_Balance1,2,0)))</f>
        <v>0</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c r="E23" s="1079">
        <v>88392.34</v>
      </c>
      <c r="F23" s="1080">
        <f t="shared" si="2"/>
        <v>102037.26</v>
      </c>
      <c r="G23" s="641"/>
      <c r="H23" s="641"/>
      <c r="I23" s="641"/>
      <c r="J23" s="641"/>
    </row>
    <row r="24" spans="1:10" ht="18">
      <c r="A24" s="2752">
        <f t="shared" si="0"/>
        <v>0</v>
      </c>
      <c r="B24" s="2809">
        <v>6601</v>
      </c>
      <c r="C24" s="975" t="str">
        <f t="shared" si="1"/>
        <v>销售费用</v>
      </c>
      <c r="D24" s="1081"/>
      <c r="E24" s="1079">
        <v>6019256.5999999996</v>
      </c>
      <c r="F24" s="1080">
        <f t="shared" si="2"/>
        <v>533561.96</v>
      </c>
      <c r="G24" s="641"/>
      <c r="H24" s="641"/>
      <c r="I24" s="641"/>
      <c r="J24" s="641"/>
    </row>
    <row r="25" spans="1:10" ht="18">
      <c r="A25" s="2752">
        <f t="shared" si="0"/>
        <v>0</v>
      </c>
      <c r="B25" s="2809">
        <v>6602</v>
      </c>
      <c r="C25" s="975" t="str">
        <f t="shared" si="1"/>
        <v>管理费用</v>
      </c>
      <c r="D25" s="1081"/>
      <c r="E25" s="1079">
        <v>15303416.08</v>
      </c>
      <c r="F25" s="1080">
        <f t="shared" si="2"/>
        <v>10602460.369999999</v>
      </c>
      <c r="G25" s="641"/>
      <c r="H25" s="641"/>
      <c r="I25" s="641"/>
      <c r="J25" s="641"/>
    </row>
    <row r="26" spans="1:10" ht="18">
      <c r="A26" s="2752">
        <f>VLOOKUP($B26,Sheet_Items,4,0)</f>
        <v>0</v>
      </c>
      <c r="B26" s="2809">
        <v>6606</v>
      </c>
      <c r="C26" s="975" t="str">
        <f>VLOOKUP($B26,Sheet_Items,6,0)</f>
        <v>研发费用</v>
      </c>
      <c r="D26" s="1081"/>
      <c r="E26" s="1079"/>
      <c r="F26" s="1080">
        <f t="shared" si="2"/>
        <v>6800845.5</v>
      </c>
      <c r="G26" s="641"/>
      <c r="H26" s="641"/>
      <c r="I26" s="641"/>
      <c r="J26" s="641"/>
    </row>
    <row r="27" spans="1:10" ht="18">
      <c r="A27" s="2752">
        <f t="shared" si="0"/>
        <v>0</v>
      </c>
      <c r="B27" s="2809">
        <v>6603</v>
      </c>
      <c r="C27" s="975" t="str">
        <f t="shared" si="1"/>
        <v>财务费用</v>
      </c>
      <c r="D27" s="1081"/>
      <c r="E27" s="1079">
        <v>1495429.05</v>
      </c>
      <c r="F27" s="1080">
        <f t="shared" si="2"/>
        <v>4448695.43</v>
      </c>
      <c r="G27" s="641"/>
      <c r="H27" s="641"/>
      <c r="I27" s="641"/>
      <c r="J27" s="641"/>
    </row>
    <row r="28" spans="1:10" ht="18">
      <c r="A28" s="2752">
        <f>VLOOKUP($B28,Sheet_Items,4,0)</f>
        <v>0</v>
      </c>
      <c r="B28" s="2809" t="s">
        <v>803</v>
      </c>
      <c r="C28" s="975" t="str">
        <f>VLOOKUP($B28,Sheet_Items,6,0)</f>
        <v>其中：利息费用</v>
      </c>
      <c r="D28" s="1081"/>
      <c r="E28" s="1079">
        <v>1496740.48</v>
      </c>
      <c r="F28" s="1080">
        <f t="shared" si="2"/>
        <v>0</v>
      </c>
      <c r="G28" s="641"/>
      <c r="H28" s="641"/>
      <c r="I28" s="641"/>
      <c r="J28" s="641"/>
    </row>
    <row r="29" spans="1:10" ht="18">
      <c r="A29" s="2752">
        <f>VLOOKUP($B29,Sheet_Items,4,0)</f>
        <v>0</v>
      </c>
      <c r="B29" s="2809" t="s">
        <v>810</v>
      </c>
      <c r="C29" s="1140" t="str">
        <f>VLOOKUP($B29,Sheet_Items,6,0)</f>
        <v>利息收入</v>
      </c>
      <c r="D29" s="1081"/>
      <c r="E29" s="1079">
        <v>-1311.43</v>
      </c>
      <c r="F29" s="1080">
        <f t="shared" si="2"/>
        <v>0</v>
      </c>
      <c r="G29" s="641"/>
      <c r="H29" s="641"/>
      <c r="I29" s="641"/>
      <c r="J29" s="641"/>
    </row>
    <row r="30" spans="1:10" ht="18">
      <c r="A30" s="2752">
        <f>VLOOKUP($B30,Sheet_Items,4,0)</f>
        <v>0</v>
      </c>
      <c r="B30" s="2809">
        <v>6181</v>
      </c>
      <c r="C30" s="1139" t="str">
        <f>VLOOKUP($B30,Sheet_Items,7,0)</f>
        <v>加：其他收益</v>
      </c>
      <c r="D30" s="1081"/>
      <c r="E30" s="1079">
        <v>10113.33</v>
      </c>
      <c r="F30" s="1080">
        <f t="shared" si="2"/>
        <v>0</v>
      </c>
      <c r="G30" s="641"/>
      <c r="H30" s="641"/>
      <c r="I30" s="641"/>
      <c r="J30" s="641"/>
    </row>
    <row r="31" spans="1:10" ht="18">
      <c r="A31" s="2752">
        <f t="shared" si="0"/>
        <v>0</v>
      </c>
      <c r="B31" s="2809">
        <v>6111</v>
      </c>
      <c r="C31" s="975" t="str">
        <f t="shared" si="1"/>
        <v>投资收益（损失以“-”号填列）</v>
      </c>
      <c r="D31" s="1081"/>
      <c r="E31" s="1079"/>
      <c r="F31" s="1080">
        <f t="shared" si="2"/>
        <v>0</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v>3895.59</v>
      </c>
      <c r="F37" s="1080">
        <f t="shared" si="2"/>
        <v>0</v>
      </c>
      <c r="G37" s="641"/>
      <c r="H37" s="641"/>
      <c r="I37" s="641"/>
      <c r="J37" s="641"/>
    </row>
    <row r="38" spans="1:10" ht="18">
      <c r="A38" s="2752">
        <f>VLOOKUP($B38,Sheet_Items,4,0)</f>
        <v>0</v>
      </c>
      <c r="B38" s="2809">
        <v>6671</v>
      </c>
      <c r="C38" s="975" t="str">
        <f>VLOOKUP($B38,Sheet_Items,6,0)</f>
        <v>资产减值损失（损失以“-”号填列）</v>
      </c>
      <c r="D38" s="1081"/>
      <c r="E38" s="1079"/>
      <c r="F38" s="1080">
        <f>(IF($B38="","",IF(ISERROR(VLOOKUP($B38,Sheet_Balance1,2,0)),0,VLOOKUP($B38,Sheet_Balance1,2,0))))*-1</f>
        <v>-29565.119999999999</v>
      </c>
      <c r="G38" s="641"/>
      <c r="H38" s="641"/>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0</v>
      </c>
      <c r="G39" s="641"/>
      <c r="H39" s="641"/>
      <c r="I39" s="641"/>
      <c r="J39" s="641"/>
    </row>
    <row r="40" spans="1:10" ht="18">
      <c r="A40" s="2752" t="str">
        <f t="shared" si="0"/>
        <v>＝</v>
      </c>
      <c r="B40" s="2809">
        <v>6689</v>
      </c>
      <c r="C40" s="1143" t="str">
        <f>VLOOKUP($B40,Sheet_Items,7,0)</f>
        <v>三、营业利润（亏损以“-”号填列）</v>
      </c>
      <c r="D40" s="1081"/>
      <c r="E40" s="1079">
        <f>SUM(E10:E13)-SUM(E15:E27)+SUM(E30:E39)-SUM(E32,E33)</f>
        <v>-31554480.039999999</v>
      </c>
      <c r="F40" s="1080">
        <f>SUM(F10:F13)-SUM(F15:F27)+SUM(F30:F39)-SUM(F32,F33)</f>
        <v>-22510882.850000001</v>
      </c>
      <c r="G40" s="641"/>
      <c r="H40" s="641"/>
      <c r="I40" s="641"/>
      <c r="J40" s="641"/>
    </row>
    <row r="41" spans="1:10" ht="18">
      <c r="A41" s="2752">
        <f t="shared" si="0"/>
        <v>0</v>
      </c>
      <c r="B41" s="2809">
        <v>6710</v>
      </c>
      <c r="C41" s="975" t="str">
        <f t="shared" si="1"/>
        <v>加：营业外收入</v>
      </c>
      <c r="D41" s="1081"/>
      <c r="E41" s="1079"/>
      <c r="F41" s="1080">
        <f>IF($B41="","",IF(ISERROR(VLOOKUP($B41,Sheet_Balance1,2,0)),0,VLOOKUP($B41,Sheet_Balance1,2,0)))</f>
        <v>0</v>
      </c>
      <c r="G41" s="641"/>
      <c r="H41" s="641"/>
      <c r="I41" s="641"/>
      <c r="J41" s="641"/>
    </row>
    <row r="42" spans="1:10" ht="18">
      <c r="A42" s="2752">
        <f t="shared" si="0"/>
        <v>0</v>
      </c>
      <c r="B42" s="2809">
        <v>6711</v>
      </c>
      <c r="C42" s="975" t="str">
        <f t="shared" si="1"/>
        <v>减：营业外支出</v>
      </c>
      <c r="D42" s="1081"/>
      <c r="E42" s="1079"/>
      <c r="F42" s="1080">
        <f>IF($B42="","",IF(ISERROR(VLOOKUP($B42,Sheet_Balance1,2,0)),0,VLOOKUP($B42,Sheet_Balance1,2,0)))</f>
        <v>0</v>
      </c>
      <c r="G42" s="641"/>
      <c r="H42" s="641"/>
      <c r="I42" s="641"/>
      <c r="J42" s="641"/>
    </row>
    <row r="43" spans="1:10" ht="18">
      <c r="A43" s="2752" t="str">
        <f t="shared" si="0"/>
        <v>＝</v>
      </c>
      <c r="B43" s="2809">
        <v>6788</v>
      </c>
      <c r="C43" s="1144" t="str">
        <f>VLOOKUP($B43,Sheet_Items,7,0)</f>
        <v>四、利润总额（亏损总额以“-”号填列）</v>
      </c>
      <c r="D43" s="1081"/>
      <c r="E43" s="1082">
        <f>SUM(E40,E41,-E42)</f>
        <v>-31554480.039999999</v>
      </c>
      <c r="F43" s="1083">
        <f>SUM(F40,F41,-F42)</f>
        <v>-22510882.850000001</v>
      </c>
      <c r="G43" s="641"/>
      <c r="H43" s="641"/>
      <c r="I43" s="641"/>
      <c r="J43" s="641"/>
    </row>
    <row r="44" spans="1:10" ht="18">
      <c r="A44" s="2752">
        <f t="shared" si="0"/>
        <v>0</v>
      </c>
      <c r="B44" s="2809">
        <v>6791</v>
      </c>
      <c r="C44" s="975" t="str">
        <f t="shared" si="1"/>
        <v>减：所得税费用</v>
      </c>
      <c r="D44" s="1081"/>
      <c r="E44" s="1079">
        <v>-6256690.8899999997</v>
      </c>
      <c r="F44" s="1080">
        <f>IF($B44="","",IF(ISERROR(VLOOKUP($B44,Sheet_Balance1,2,0)),0,VLOOKUP($B44,Sheet_Balance1,2,0)))</f>
        <v>0</v>
      </c>
      <c r="G44" s="641"/>
      <c r="H44" s="641"/>
      <c r="I44" s="641"/>
      <c r="J44" s="641"/>
    </row>
    <row r="45" spans="1:10" ht="18">
      <c r="A45" s="2752" t="str">
        <f t="shared" si="0"/>
        <v>＝</v>
      </c>
      <c r="B45" s="2809">
        <v>6799</v>
      </c>
      <c r="C45" s="1144" t="str">
        <f>VLOOKUP($B45,Sheet_Items,7,0)</f>
        <v>五、净利润（净亏损以“-”号填列）</v>
      </c>
      <c r="D45" s="1081"/>
      <c r="E45" s="1082">
        <f>SUM(E43,-E44)</f>
        <v>-25297789.149999999</v>
      </c>
      <c r="F45" s="1083">
        <f>SUM(F43,-F44)</f>
        <v>-22510882.850000001</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f>E45</f>
        <v>-25297789.149999999</v>
      </c>
      <c r="F47" s="1080">
        <f>F45</f>
        <v>-22510882.850000001</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-25297789.149999999</v>
      </c>
      <c r="F50" s="1080">
        <f>SUM(F45)</f>
        <v>-22510882.850000001</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-25297789.149999999</v>
      </c>
      <c r="F74" s="1083">
        <f>SUM(F45,F52)</f>
        <v>-22510882.850000001</v>
      </c>
      <c r="G74" s="641"/>
      <c r="H74" s="641"/>
      <c r="I74" s="641"/>
      <c r="J74" s="641"/>
    </row>
    <row r="75" spans="1:10" ht="18">
      <c r="A75" s="2752" t="str">
        <f t="shared" si="0"/>
        <v>※</v>
      </c>
      <c r="B75" s="2809">
        <v>6841</v>
      </c>
      <c r="C75" s="1151" t="str">
        <f t="shared" si="5"/>
        <v>（一）归属于母公司所有者的综合收益总额</v>
      </c>
      <c r="D75" s="1152"/>
      <c r="E75" s="1153">
        <f>SUM(E50,E53)</f>
        <v>-25297789.149999999</v>
      </c>
      <c r="F75" s="1154">
        <f>SUM(F50,F53)</f>
        <v>-22510882.850000001</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-25297789.149999999</v>
      </c>
      <c r="F88" s="1171">
        <f>F45</f>
        <v>-22510882.850000001</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-25297789.149999999</v>
      </c>
      <c r="F89" s="1171">
        <f>F50+F51</f>
        <v>-22510882.850000001</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-25297789.149999999</v>
      </c>
      <c r="F92" s="1171">
        <f>F45</f>
        <v>-22510882.850000001</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E47+E48</f>
        <v>-25297789.149999999</v>
      </c>
      <c r="F93" s="1171">
        <f>F47+F48</f>
        <v>-22510882.850000001</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-25297789.149999999</v>
      </c>
      <c r="F96" s="1055">
        <f>F74</f>
        <v>-22510882.850000001</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-25297789.149999999</v>
      </c>
      <c r="F97" s="1171">
        <f>F75+F76</f>
        <v>-22510882.850000001</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-25297789.149999999</v>
      </c>
      <c r="F105" s="1055">
        <f>F50</f>
        <v>-22510882.850000001</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-25297789.149999999</v>
      </c>
      <c r="F106" s="1055">
        <f>preCE!AB18</f>
        <v>-22510882.850000001</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-25297789.149999999</v>
      </c>
      <c r="F117" s="1055">
        <f>F74</f>
        <v>-22510882.850000001</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-25297789.149999999</v>
      </c>
      <c r="F118" s="1055">
        <f>preCE!AE18</f>
        <v>-22510882.850000001</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-25297789.149999999</v>
      </c>
      <c r="F121" s="1055">
        <f>F75</f>
        <v>-22510882.850000001</v>
      </c>
      <c r="G121" s="709"/>
      <c r="H121" s="641"/>
      <c r="I121" s="641"/>
      <c r="J121" s="641"/>
      <c r="K121" s="1189"/>
      <c r="L121" s="1190"/>
    </row>
    <row r="122" spans="1:12" ht="18">
      <c r="A122" s="2813" t="s">
        <v>2565</v>
      </c>
      <c r="B122" s="2812"/>
      <c r="C122" s="1179" t="str">
        <f>preCE!$C$18</f>
        <v>（一）综合收益总额</v>
      </c>
      <c r="D122" s="1029" t="s">
        <v>442</v>
      </c>
      <c r="E122" s="1028">
        <f>preCE!Q18-preCE!P18</f>
        <v>-25297789.149999999</v>
      </c>
      <c r="F122" s="1055">
        <f>preCE!AE18-preCE!AD18</f>
        <v>-22510882.850000001</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7y5qL4xVJzjFWz4TqmbmZtaUKTC9jQPKk0KUbZbULmwLgUJlY72EMUQPDZRfpA36b0KPK5UZgV3RnH9I63Dl7A==" saltValue="CsSx2iGaimIzefqnipVgNQ==" spinCount="100000" sheet="1" scenarios="1" formatCells="0" autoFilter="0"/>
  <phoneticPr fontId="163" type="noConversion"/>
  <conditionalFormatting sqref="C9:F74">
    <cfRule type="expression" dxfId="4087" priority="23" stopIfTrue="1">
      <formula>AND($A9&lt;&gt;"＝",MOD(ROW(),3)=0)</formula>
    </cfRule>
    <cfRule type="expression" dxfId="4086" priority="24" stopIfTrue="1">
      <formula>$A9="："</formula>
    </cfRule>
    <cfRule type="expression" dxfId="4085" priority="25" stopIfTrue="1">
      <formula>$A9="＝"</formula>
    </cfRule>
  </conditionalFormatting>
  <conditionalFormatting sqref="E90:F90 E98:F98 E103:F103 E107:F107 E111:F111 E115:F115 E123:F123 E127:F127 E129:F129 E119:F119">
    <cfRule type="cellIs" dxfId="4084" priority="27" stopIfTrue="1" operator="notEqual">
      <formula>0</formula>
    </cfRule>
  </conditionalFormatting>
  <conditionalFormatting sqref="E94:F94">
    <cfRule type="cellIs" dxfId="4083"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opLeftCell="A73" workbookViewId="0">
      <selection activeCell="E82" sqref="E82"/>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编制单位：华软金信科技（北京）有限公司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v>343138.18</v>
      </c>
      <c r="F10" s="1080">
        <f t="shared" si="2"/>
        <v>0</v>
      </c>
      <c r="G10" s="641"/>
      <c r="H10" s="641"/>
      <c r="I10" s="641"/>
      <c r="J10" s="641"/>
    </row>
    <row r="11" spans="1:10" ht="18">
      <c r="A11" s="2752" t="str">
        <f t="shared" si="0"/>
        <v>△</v>
      </c>
      <c r="B11" s="2809">
        <v>7011</v>
      </c>
      <c r="C11" s="975" t="str">
        <f t="shared" si="1"/>
        <v>客户存款和同业存放款项净增加额</v>
      </c>
      <c r="D11" s="1081"/>
      <c r="E11" s="1079"/>
      <c r="F11" s="1080">
        <f t="shared" si="2"/>
        <v>0</v>
      </c>
      <c r="G11" s="641"/>
      <c r="H11" s="641"/>
      <c r="I11" s="641"/>
      <c r="J11" s="641"/>
    </row>
    <row r="12" spans="1:10" ht="18">
      <c r="A12" s="2752" t="str">
        <f t="shared" si="0"/>
        <v>△</v>
      </c>
      <c r="B12" s="2809">
        <v>7012</v>
      </c>
      <c r="C12" s="1077" t="str">
        <f t="shared" si="1"/>
        <v>向中央银行借款净增加额</v>
      </c>
      <c r="D12" s="1078"/>
      <c r="E12" s="1079"/>
      <c r="F12" s="1080">
        <f t="shared" si="2"/>
        <v>0</v>
      </c>
      <c r="G12" s="641"/>
      <c r="H12" s="641"/>
      <c r="I12" s="641"/>
      <c r="J12" s="641"/>
    </row>
    <row r="13" spans="1:10" ht="18">
      <c r="A13" s="2752" t="str">
        <f t="shared" si="0"/>
        <v>△</v>
      </c>
      <c r="B13" s="2809">
        <v>7013</v>
      </c>
      <c r="C13" s="1077" t="str">
        <f t="shared" si="1"/>
        <v>向其他金融机构拆入资金净增加额</v>
      </c>
      <c r="D13" s="1078"/>
      <c r="E13" s="1079"/>
      <c r="F13" s="1080">
        <f t="shared" si="2"/>
        <v>0</v>
      </c>
      <c r="G13" s="641"/>
      <c r="H13" s="641"/>
      <c r="I13" s="641"/>
      <c r="J13" s="641"/>
    </row>
    <row r="14" spans="1:10" ht="18">
      <c r="A14" s="2752" t="str">
        <f t="shared" si="0"/>
        <v>△</v>
      </c>
      <c r="B14" s="2809">
        <v>7014</v>
      </c>
      <c r="C14" s="1077" t="str">
        <f t="shared" si="1"/>
        <v>收到原保险合同保费取得的现金</v>
      </c>
      <c r="D14" s="1078"/>
      <c r="E14" s="1079"/>
      <c r="F14" s="1080">
        <f t="shared" si="2"/>
        <v>0</v>
      </c>
      <c r="G14" s="641"/>
      <c r="H14" s="641"/>
      <c r="I14" s="641"/>
      <c r="J14" s="641"/>
    </row>
    <row r="15" spans="1:10" ht="18">
      <c r="A15" s="2752" t="str">
        <f t="shared" si="0"/>
        <v>△</v>
      </c>
      <c r="B15" s="2809">
        <v>7015</v>
      </c>
      <c r="C15" s="1077" t="str">
        <f t="shared" si="1"/>
        <v>收到再保业务现金净额</v>
      </c>
      <c r="D15" s="1078"/>
      <c r="E15" s="1079"/>
      <c r="F15" s="1080">
        <f t="shared" si="2"/>
        <v>0</v>
      </c>
      <c r="G15" s="641"/>
      <c r="H15" s="641"/>
      <c r="I15" s="641"/>
      <c r="J15" s="641"/>
    </row>
    <row r="16" spans="1:10" ht="18">
      <c r="A16" s="2752" t="str">
        <f t="shared" si="0"/>
        <v>△</v>
      </c>
      <c r="B16" s="2809">
        <v>7016</v>
      </c>
      <c r="C16" s="1077" t="str">
        <f t="shared" si="1"/>
        <v>保户储金及投资款净增加额</v>
      </c>
      <c r="D16" s="1078"/>
      <c r="E16" s="1079"/>
      <c r="F16" s="1080">
        <f t="shared" si="2"/>
        <v>0</v>
      </c>
      <c r="G16" s="641"/>
      <c r="H16" s="641"/>
      <c r="I16" s="641"/>
      <c r="J16" s="641"/>
    </row>
    <row r="17" spans="1:10" ht="18">
      <c r="A17" s="2752" t="str">
        <f t="shared" si="0"/>
        <v>△</v>
      </c>
      <c r="B17" s="2809">
        <v>7023</v>
      </c>
      <c r="C17" s="1077" t="str">
        <f t="shared" si="1"/>
        <v>收取利息、手续费及佣金的现金</v>
      </c>
      <c r="D17" s="1078"/>
      <c r="E17" s="1079"/>
      <c r="F17" s="1080">
        <f t="shared" si="2"/>
        <v>0</v>
      </c>
      <c r="G17" s="641"/>
      <c r="H17" s="641"/>
      <c r="I17" s="641"/>
      <c r="J17" s="641"/>
    </row>
    <row r="18" spans="1:10" ht="18">
      <c r="A18" s="2752" t="str">
        <f t="shared" si="0"/>
        <v>△</v>
      </c>
      <c r="B18" s="2809">
        <v>7025</v>
      </c>
      <c r="C18" s="1077" t="str">
        <f t="shared" si="1"/>
        <v>拆入资金净增加额</v>
      </c>
      <c r="D18" s="1078"/>
      <c r="E18" s="1079"/>
      <c r="F18" s="1080">
        <f t="shared" si="2"/>
        <v>0</v>
      </c>
      <c r="G18" s="641"/>
      <c r="H18" s="641"/>
      <c r="I18" s="641"/>
      <c r="J18" s="641"/>
    </row>
    <row r="19" spans="1:10" ht="18">
      <c r="A19" s="2752" t="str">
        <f t="shared" si="0"/>
        <v>△</v>
      </c>
      <c r="B19" s="2809">
        <v>7026</v>
      </c>
      <c r="C19" s="1077" t="str">
        <f t="shared" si="1"/>
        <v>回购业务资金净增加额</v>
      </c>
      <c r="D19" s="1078"/>
      <c r="E19" s="1079"/>
      <c r="F19" s="1080">
        <f t="shared" si="2"/>
        <v>0</v>
      </c>
      <c r="G19" s="641"/>
      <c r="H19" s="641"/>
      <c r="I19" s="641"/>
      <c r="J19" s="641"/>
    </row>
    <row r="20" spans="1:10" ht="18">
      <c r="A20" s="2752" t="str">
        <f t="shared" si="0"/>
        <v>△</v>
      </c>
      <c r="B20" s="2809">
        <v>7024</v>
      </c>
      <c r="C20" s="1077" t="str">
        <f t="shared" si="1"/>
        <v>代理买卖证券收到的现金净额</v>
      </c>
      <c r="D20" s="1078"/>
      <c r="E20" s="1079"/>
      <c r="F20" s="1080">
        <f t="shared" si="2"/>
        <v>0</v>
      </c>
      <c r="G20" s="641"/>
      <c r="H20" s="641"/>
      <c r="I20" s="641"/>
      <c r="J20" s="641"/>
    </row>
    <row r="21" spans="1:10" ht="18">
      <c r="A21" s="2752">
        <f t="shared" si="0"/>
        <v>0</v>
      </c>
      <c r="B21" s="2809">
        <v>7031</v>
      </c>
      <c r="C21" s="1077" t="str">
        <f t="shared" si="1"/>
        <v>收到的税费返还</v>
      </c>
      <c r="D21" s="1078"/>
      <c r="E21" s="1079"/>
      <c r="F21" s="1080">
        <f t="shared" si="2"/>
        <v>0</v>
      </c>
      <c r="G21" s="641"/>
      <c r="H21" s="641"/>
      <c r="I21" s="641"/>
      <c r="J21" s="641"/>
    </row>
    <row r="22" spans="1:10" ht="18">
      <c r="A22" s="2752">
        <f t="shared" si="0"/>
        <v>0</v>
      </c>
      <c r="B22" s="2809">
        <v>7046</v>
      </c>
      <c r="C22" s="1077" t="str">
        <f t="shared" si="1"/>
        <v>收到其他与经营活动有关的现金</v>
      </c>
      <c r="D22" s="1078"/>
      <c r="E22" s="1079">
        <v>233275.97</v>
      </c>
      <c r="F22" s="1080">
        <f t="shared" si="2"/>
        <v>111511418.34999999</v>
      </c>
      <c r="G22" s="641"/>
      <c r="H22" s="641"/>
      <c r="I22" s="641"/>
      <c r="J22" s="641"/>
    </row>
    <row r="23" spans="1:10" ht="18">
      <c r="A23" s="2752" t="str">
        <f t="shared" si="0"/>
        <v>＝</v>
      </c>
      <c r="B23" s="2809">
        <v>7048</v>
      </c>
      <c r="C23" s="1073" t="str">
        <f t="shared" si="1"/>
        <v>经营活动现金流入小计</v>
      </c>
      <c r="D23" s="1078"/>
      <c r="E23" s="1082">
        <f>SUM(E10:E22)</f>
        <v>576414.15</v>
      </c>
      <c r="F23" s="1083">
        <f>SUM(F10:F22)</f>
        <v>111511418.34999999</v>
      </c>
      <c r="G23" s="641"/>
      <c r="H23" s="641"/>
      <c r="I23" s="641"/>
      <c r="J23" s="641"/>
    </row>
    <row r="24" spans="1:10" ht="18">
      <c r="A24" s="2752">
        <f t="shared" si="0"/>
        <v>0</v>
      </c>
      <c r="B24" s="2809">
        <v>7051</v>
      </c>
      <c r="C24" s="1077" t="str">
        <f t="shared" si="1"/>
        <v>购买商品、接受劳务支付的现金</v>
      </c>
      <c r="D24" s="1078"/>
      <c r="E24" s="1079"/>
      <c r="F24" s="1080">
        <f t="shared" ref="F24:F33" si="3">IF($B24="","",IF(ISERROR(VLOOKUP($B24,Sheet_Balance1,2,0)),0,VLOOKUP($B24,Sheet_Balance1,2,0)))</f>
        <v>0</v>
      </c>
      <c r="G24" s="641"/>
      <c r="H24" s="641"/>
      <c r="I24" s="641"/>
      <c r="J24" s="641"/>
    </row>
    <row r="25" spans="1:10" ht="18">
      <c r="A25" s="2752" t="str">
        <f t="shared" si="0"/>
        <v>△</v>
      </c>
      <c r="B25" s="2809">
        <v>7053</v>
      </c>
      <c r="C25" s="1077" t="str">
        <f t="shared" si="1"/>
        <v>客户贷款及垫款净增加额</v>
      </c>
      <c r="D25" s="1078"/>
      <c r="E25" s="1079"/>
      <c r="F25" s="1080">
        <f t="shared" si="3"/>
        <v>0</v>
      </c>
      <c r="G25" s="641"/>
      <c r="H25" s="641"/>
      <c r="I25" s="641"/>
      <c r="J25" s="641"/>
    </row>
    <row r="26" spans="1:10" ht="18">
      <c r="A26" s="2752" t="str">
        <f t="shared" si="0"/>
        <v>△</v>
      </c>
      <c r="B26" s="2809">
        <v>7054</v>
      </c>
      <c r="C26" s="1077" t="str">
        <f t="shared" si="1"/>
        <v>存放中央银行和同业款项净增加额</v>
      </c>
      <c r="D26" s="1078"/>
      <c r="E26" s="1079"/>
      <c r="F26" s="1080">
        <f t="shared" si="3"/>
        <v>0</v>
      </c>
      <c r="G26" s="641"/>
      <c r="H26" s="641"/>
      <c r="I26" s="641"/>
      <c r="J26" s="641"/>
    </row>
    <row r="27" spans="1:10" ht="18">
      <c r="A27" s="2752" t="str">
        <f t="shared" si="0"/>
        <v>△</v>
      </c>
      <c r="B27" s="2809">
        <v>7055</v>
      </c>
      <c r="C27" s="1077" t="str">
        <f t="shared" si="1"/>
        <v>支付原保险合同赔付款项的现金</v>
      </c>
      <c r="D27" s="1078"/>
      <c r="E27" s="1079"/>
      <c r="F27" s="1080">
        <f t="shared" si="3"/>
        <v>0</v>
      </c>
      <c r="G27" s="641"/>
      <c r="H27" s="641"/>
      <c r="I27" s="641"/>
      <c r="J27" s="641"/>
    </row>
    <row r="28" spans="1:10" ht="18">
      <c r="A28" s="2752" t="str">
        <f t="shared" si="0"/>
        <v>△</v>
      </c>
      <c r="B28" s="2809">
        <v>7058</v>
      </c>
      <c r="C28" s="1077" t="str">
        <f t="shared" si="1"/>
        <v>拆出资金净增加额</v>
      </c>
      <c r="D28" s="1078"/>
      <c r="E28" s="1079"/>
      <c r="F28" s="1080">
        <f t="shared" si="3"/>
        <v>0</v>
      </c>
      <c r="G28" s="641"/>
      <c r="H28" s="641"/>
      <c r="I28" s="641"/>
      <c r="J28" s="641"/>
    </row>
    <row r="29" spans="1:10" ht="18">
      <c r="A29" s="2752" t="str">
        <f t="shared" si="0"/>
        <v>△</v>
      </c>
      <c r="B29" s="2809">
        <v>7056</v>
      </c>
      <c r="C29" s="1077" t="str">
        <f t="shared" si="1"/>
        <v>支付利息、手续费及佣金的现金</v>
      </c>
      <c r="D29" s="1078"/>
      <c r="E29" s="1079"/>
      <c r="F29" s="1080">
        <f t="shared" si="3"/>
        <v>0</v>
      </c>
      <c r="G29" s="641"/>
      <c r="H29" s="641"/>
      <c r="I29" s="641"/>
      <c r="J29" s="641"/>
    </row>
    <row r="30" spans="1:10" ht="18">
      <c r="A30" s="2752" t="str">
        <f t="shared" si="0"/>
        <v>△</v>
      </c>
      <c r="B30" s="2809">
        <v>7057</v>
      </c>
      <c r="C30" s="1077" t="str">
        <f t="shared" si="1"/>
        <v>支付保单红利的现金</v>
      </c>
      <c r="D30" s="1078"/>
      <c r="E30" s="1079"/>
      <c r="F30" s="1080">
        <f t="shared" si="3"/>
        <v>0</v>
      </c>
      <c r="G30" s="641"/>
      <c r="H30" s="641"/>
      <c r="I30" s="641"/>
      <c r="J30" s="641"/>
    </row>
    <row r="31" spans="1:10" ht="18">
      <c r="A31" s="2752">
        <f t="shared" si="0"/>
        <v>0</v>
      </c>
      <c r="B31" s="2809">
        <v>7061</v>
      </c>
      <c r="C31" s="1077" t="str">
        <f t="shared" si="1"/>
        <v>支付给职工以及为职工支付的现金</v>
      </c>
      <c r="D31" s="1078"/>
      <c r="E31" s="1079">
        <v>21587533.059999999</v>
      </c>
      <c r="F31" s="1080">
        <f t="shared" si="3"/>
        <v>9687769.6300000008</v>
      </c>
      <c r="G31" s="641"/>
      <c r="H31" s="641"/>
      <c r="I31" s="641"/>
      <c r="J31" s="641"/>
    </row>
    <row r="32" spans="1:10" ht="18">
      <c r="A32" s="2752">
        <f t="shared" si="0"/>
        <v>0</v>
      </c>
      <c r="B32" s="2809">
        <v>7071</v>
      </c>
      <c r="C32" s="1077" t="str">
        <f t="shared" si="1"/>
        <v>支付的各项税费</v>
      </c>
      <c r="D32" s="1078"/>
      <c r="E32" s="1079"/>
      <c r="F32" s="1080">
        <f t="shared" si="3"/>
        <v>197626.12</v>
      </c>
      <c r="G32" s="641"/>
      <c r="H32" s="641"/>
      <c r="I32" s="641"/>
      <c r="J32" s="641"/>
    </row>
    <row r="33" spans="1:10" ht="18">
      <c r="A33" s="2752">
        <f t="shared" si="0"/>
        <v>0</v>
      </c>
      <c r="B33" s="2809">
        <v>7096</v>
      </c>
      <c r="C33" s="1077" t="str">
        <f t="shared" si="1"/>
        <v>支付其他与经营活动有关的现金</v>
      </c>
      <c r="D33" s="1078"/>
      <c r="E33" s="1079">
        <v>9655236.5600000005</v>
      </c>
      <c r="F33" s="1080">
        <f t="shared" si="3"/>
        <v>47546373.82</v>
      </c>
      <c r="G33" s="641"/>
      <c r="H33" s="641"/>
      <c r="I33" s="641"/>
      <c r="J33" s="641"/>
    </row>
    <row r="34" spans="1:10" ht="18">
      <c r="A34" s="2752" t="str">
        <f t="shared" si="0"/>
        <v>＝</v>
      </c>
      <c r="B34" s="2809">
        <v>7098</v>
      </c>
      <c r="C34" s="1073" t="str">
        <f t="shared" si="1"/>
        <v>经营活动现金流出小计</v>
      </c>
      <c r="D34" s="1078"/>
      <c r="E34" s="1082">
        <f>SUM(E24:E33)</f>
        <v>31242769.620000001</v>
      </c>
      <c r="F34" s="1083">
        <f>SUM(F24:F33)</f>
        <v>57431769.57</v>
      </c>
      <c r="G34" s="641"/>
      <c r="H34" s="641"/>
      <c r="I34" s="641"/>
      <c r="J34" s="641"/>
    </row>
    <row r="35" spans="1:10" ht="18">
      <c r="A35" s="2752" t="str">
        <f t="shared" si="0"/>
        <v>＝</v>
      </c>
      <c r="B35" s="2809">
        <v>7099</v>
      </c>
      <c r="C35" s="1073" t="str">
        <f t="shared" si="1"/>
        <v>经营活动产生的现金流量净额</v>
      </c>
      <c r="D35" s="1078"/>
      <c r="E35" s="1082">
        <f>SUM(E23,-E34)</f>
        <v>-30666355.469999999</v>
      </c>
      <c r="F35" s="1083">
        <f>SUM(F23,-F34)</f>
        <v>54079648.780000001</v>
      </c>
      <c r="G35" s="641"/>
      <c r="H35" s="641"/>
      <c r="I35" s="641"/>
      <c r="J35" s="641"/>
    </row>
    <row r="36" spans="1:10" ht="18">
      <c r="A36" s="2752" t="str">
        <f t="shared" si="0"/>
        <v>：</v>
      </c>
      <c r="B36" s="2809">
        <v>7100</v>
      </c>
      <c r="C36" s="1073" t="str">
        <f t="shared" si="1"/>
        <v>二、投资活动产生的现金流量：</v>
      </c>
      <c r="D36" s="1078"/>
      <c r="E36" s="1079"/>
      <c r="F36" s="1080">
        <f t="shared" ref="F36:F41" si="4">IF($B36="","",IF(ISERROR(VLOOKUP($B36,Sheet_Balance1,2,0)),0,VLOOKUP($B36,Sheet_Balance1,2,0)))</f>
        <v>0</v>
      </c>
      <c r="G36" s="641"/>
      <c r="H36" s="641"/>
      <c r="I36" s="641"/>
      <c r="J36" s="641"/>
    </row>
    <row r="37" spans="1:10" ht="18">
      <c r="A37" s="2752">
        <f t="shared" si="0"/>
        <v>0</v>
      </c>
      <c r="B37" s="2809">
        <v>7101</v>
      </c>
      <c r="C37" s="1077" t="str">
        <f t="shared" si="1"/>
        <v>收回投资收到的现金</v>
      </c>
      <c r="D37" s="1078"/>
      <c r="E37" s="1079"/>
      <c r="F37" s="1080">
        <f t="shared" si="4"/>
        <v>0</v>
      </c>
      <c r="G37" s="641"/>
      <c r="H37" s="641"/>
      <c r="I37" s="641"/>
      <c r="J37" s="641"/>
    </row>
    <row r="38" spans="1:10" ht="18">
      <c r="A38" s="2752">
        <f t="shared" si="0"/>
        <v>0</v>
      </c>
      <c r="B38" s="2809">
        <v>7105</v>
      </c>
      <c r="C38" s="1077" t="str">
        <f t="shared" si="1"/>
        <v>取得投资收益收到的现金</v>
      </c>
      <c r="D38" s="1078"/>
      <c r="E38" s="1079"/>
      <c r="F38" s="1080">
        <f t="shared" si="4"/>
        <v>0</v>
      </c>
      <c r="G38" s="641"/>
      <c r="H38" s="641"/>
      <c r="I38" s="641"/>
      <c r="J38" s="641"/>
    </row>
    <row r="39" spans="1:10" ht="18">
      <c r="A39" s="2752">
        <f t="shared" si="0"/>
        <v>0</v>
      </c>
      <c r="B39" s="2809">
        <v>7111</v>
      </c>
      <c r="C39" s="1077" t="str">
        <f t="shared" si="1"/>
        <v>处置固定资产、无形资产和其他长期资产收回的现金净额</v>
      </c>
      <c r="D39" s="1078"/>
      <c r="E39" s="1079"/>
      <c r="F39" s="1080">
        <f t="shared" si="4"/>
        <v>0</v>
      </c>
      <c r="G39" s="641"/>
      <c r="H39" s="641"/>
      <c r="I39" s="641"/>
      <c r="J39" s="641"/>
    </row>
    <row r="40" spans="1:10" ht="18">
      <c r="A40" s="2752">
        <f t="shared" si="0"/>
        <v>0</v>
      </c>
      <c r="B40" s="2809">
        <v>7121</v>
      </c>
      <c r="C40" s="1077" t="str">
        <f t="shared" si="1"/>
        <v>处置子公司及其他营业单位收到的现金净额</v>
      </c>
      <c r="D40" s="1078"/>
      <c r="E40" s="1079"/>
      <c r="F40" s="1080">
        <f t="shared" si="4"/>
        <v>0</v>
      </c>
      <c r="G40" s="641"/>
      <c r="H40" s="641"/>
      <c r="I40" s="641"/>
      <c r="J40" s="641"/>
    </row>
    <row r="41" spans="1:10" ht="18">
      <c r="A41" s="2752">
        <f t="shared" si="0"/>
        <v>0</v>
      </c>
      <c r="B41" s="2809">
        <v>7146</v>
      </c>
      <c r="C41" s="1077" t="str">
        <f t="shared" si="1"/>
        <v>收到其他与投资活动有关的现金</v>
      </c>
      <c r="D41" s="1078"/>
      <c r="E41" s="1079"/>
      <c r="F41" s="1080">
        <f t="shared" si="4"/>
        <v>0</v>
      </c>
      <c r="G41" s="641"/>
      <c r="H41" s="641"/>
      <c r="I41" s="641"/>
      <c r="J41" s="641"/>
    </row>
    <row r="42" spans="1:10" ht="18">
      <c r="A42" s="2752" t="str">
        <f t="shared" ref="A42:A65" si="5">VLOOKUP($B42,Sheet_Items,4,0)</f>
        <v>＝</v>
      </c>
      <c r="B42" s="2809">
        <v>7148</v>
      </c>
      <c r="C42" s="1073" t="str">
        <f t="shared" ref="C42:C65" si="6">VLOOKUP($B42,Sheet_Items,6,0)</f>
        <v>投资活动现金流入小计</v>
      </c>
      <c r="D42" s="1078"/>
      <c r="E42" s="1082">
        <f>SUM(E37:E41)</f>
        <v>0</v>
      </c>
      <c r="F42" s="1083">
        <f>SUM(F37:F41)</f>
        <v>0</v>
      </c>
      <c r="G42" s="641"/>
      <c r="H42" s="641"/>
      <c r="I42" s="641"/>
      <c r="J42" s="641"/>
    </row>
    <row r="43" spans="1:10" ht="18">
      <c r="A43" s="2752">
        <f t="shared" si="5"/>
        <v>0</v>
      </c>
      <c r="B43" s="2809">
        <v>7151</v>
      </c>
      <c r="C43" s="1077" t="str">
        <f t="shared" si="6"/>
        <v>购建固定资产、无形资产和其他长期资产支付的现金</v>
      </c>
      <c r="D43" s="1078"/>
      <c r="E43" s="1079">
        <v>13963177.92</v>
      </c>
      <c r="F43" s="1080">
        <f>IF($B43="","",IF(ISERROR(VLOOKUP($B43,Sheet_Balance1,2,0)),0,VLOOKUP($B43,Sheet_Balance1,2,0)))</f>
        <v>1453325.99</v>
      </c>
      <c r="G43" s="641"/>
      <c r="H43" s="641"/>
      <c r="I43" s="641"/>
      <c r="J43" s="641"/>
    </row>
    <row r="44" spans="1:10" ht="18">
      <c r="A44" s="2752">
        <f t="shared" si="5"/>
        <v>0</v>
      </c>
      <c r="B44" s="2809">
        <v>7161</v>
      </c>
      <c r="C44" s="1077" t="str">
        <f t="shared" si="6"/>
        <v>投资支付的现金</v>
      </c>
      <c r="D44" s="1078"/>
      <c r="E44" s="1079">
        <v>22000000</v>
      </c>
      <c r="F44" s="1080">
        <f>IF($B44="","",IF(ISERROR(VLOOKUP($B44,Sheet_Balance1,2,0)),0,VLOOKUP($B44,Sheet_Balance1,2,0)))</f>
        <v>53000000</v>
      </c>
      <c r="G44" s="641"/>
      <c r="H44" s="641"/>
      <c r="I44" s="641"/>
      <c r="J44" s="641"/>
    </row>
    <row r="45" spans="1:10" ht="18">
      <c r="A45" s="2752" t="str">
        <f t="shared" si="5"/>
        <v>△</v>
      </c>
      <c r="B45" s="2809">
        <v>7165</v>
      </c>
      <c r="C45" s="1077" t="str">
        <f t="shared" si="6"/>
        <v>质押贷款净增加额</v>
      </c>
      <c r="D45" s="1078"/>
      <c r="E45" s="1079"/>
      <c r="F45" s="1080">
        <f>IF($B45="","",IF(ISERROR(VLOOKUP($B45,Sheet_Balance1,2,0)),0,VLOOKUP($B45,Sheet_Balance1,2,0)))</f>
        <v>0</v>
      </c>
      <c r="G45" s="641"/>
      <c r="H45" s="641"/>
      <c r="I45" s="641"/>
      <c r="J45" s="641"/>
    </row>
    <row r="46" spans="1:10" ht="18">
      <c r="A46" s="2752">
        <f t="shared" si="5"/>
        <v>0</v>
      </c>
      <c r="B46" s="2809">
        <v>7171</v>
      </c>
      <c r="C46" s="1077" t="str">
        <f t="shared" si="6"/>
        <v>取得子公司及其他营业单位支付的现金净额</v>
      </c>
      <c r="D46" s="1078"/>
      <c r="E46" s="1079"/>
      <c r="F46" s="1080">
        <f>IF($B46="","",IF(ISERROR(VLOOKUP($B46,Sheet_Balance1,2,0)),0,VLOOKUP($B46,Sheet_Balance1,2,0)))</f>
        <v>0</v>
      </c>
      <c r="G46" s="641"/>
      <c r="H46" s="641"/>
      <c r="I46" s="641"/>
      <c r="J46" s="641"/>
    </row>
    <row r="47" spans="1:10" ht="18">
      <c r="A47" s="2752">
        <f t="shared" si="5"/>
        <v>0</v>
      </c>
      <c r="B47" s="2809">
        <v>7196</v>
      </c>
      <c r="C47" s="1077" t="str">
        <f t="shared" si="6"/>
        <v>支付其他与投资活动有关的现金</v>
      </c>
      <c r="D47" s="1078"/>
      <c r="E47" s="1079">
        <v>10000000</v>
      </c>
      <c r="F47" s="1080">
        <f>IF($B47="","",IF(ISERROR(VLOOKUP($B47,Sheet_Balance1,2,0)),0,VLOOKUP($B47,Sheet_Balance1,2,0)))</f>
        <v>0</v>
      </c>
      <c r="G47" s="641"/>
      <c r="H47" s="641"/>
      <c r="I47" s="641"/>
      <c r="J47" s="641"/>
    </row>
    <row r="48" spans="1:10" ht="18">
      <c r="A48" s="2752" t="str">
        <f t="shared" si="5"/>
        <v>＝</v>
      </c>
      <c r="B48" s="2809">
        <v>7198</v>
      </c>
      <c r="C48" s="1073" t="str">
        <f t="shared" si="6"/>
        <v>投资活动现金流出小计</v>
      </c>
      <c r="D48" s="1078"/>
      <c r="E48" s="1082">
        <f>SUM(E43:E47)</f>
        <v>45963177.920000002</v>
      </c>
      <c r="F48" s="1083">
        <f>SUM(F43:F47)</f>
        <v>54453325.990000002</v>
      </c>
      <c r="G48" s="641"/>
      <c r="H48" s="641"/>
      <c r="I48" s="641"/>
      <c r="J48" s="641"/>
    </row>
    <row r="49" spans="1:10" ht="18">
      <c r="A49" s="2752" t="str">
        <f t="shared" si="5"/>
        <v>＝</v>
      </c>
      <c r="B49" s="2809">
        <v>7199</v>
      </c>
      <c r="C49" s="1073" t="str">
        <f t="shared" si="6"/>
        <v>投资活动产生的现金流量净额</v>
      </c>
      <c r="D49" s="1078"/>
      <c r="E49" s="1082">
        <f>SUM(E42,-E48)</f>
        <v>-45963177.920000002</v>
      </c>
      <c r="F49" s="1083">
        <f>SUM(F42,-F48)</f>
        <v>-54453325.990000002</v>
      </c>
      <c r="G49" s="641"/>
      <c r="H49" s="641"/>
      <c r="I49" s="641"/>
      <c r="J49" s="641"/>
    </row>
    <row r="50" spans="1:10" ht="18">
      <c r="A50" s="2752" t="str">
        <f t="shared" si="5"/>
        <v>：</v>
      </c>
      <c r="B50" s="2809">
        <v>7200</v>
      </c>
      <c r="C50" s="1084" t="str">
        <f t="shared" si="6"/>
        <v>三、筹资活动产生的现金流量：</v>
      </c>
      <c r="D50" s="1078"/>
      <c r="E50" s="1079"/>
      <c r="F50" s="1080">
        <f>IF($B50="","",IF(ISERROR(VLOOKUP($B50,Sheet_Balance1,2,0)),0,VLOOKUP($B50,Sheet_Balance1,2,0)))</f>
        <v>0</v>
      </c>
      <c r="G50" s="641"/>
      <c r="H50" s="641"/>
      <c r="I50" s="641"/>
      <c r="J50" s="641"/>
    </row>
    <row r="51" spans="1:10" ht="18">
      <c r="A51" s="2752">
        <f t="shared" si="5"/>
        <v>0</v>
      </c>
      <c r="B51" s="2809">
        <v>7201</v>
      </c>
      <c r="C51" s="1077" t="str">
        <f t="shared" si="6"/>
        <v>吸收投资收到的现金</v>
      </c>
      <c r="D51" s="1078"/>
      <c r="E51" s="1079"/>
      <c r="F51" s="1080">
        <f>IF($B51="","",IF(ISERROR(VLOOKUP($B51,Sheet_Balance1,2,0)),0,VLOOKUP($B51,Sheet_Balance1,2,0)))</f>
        <v>0</v>
      </c>
      <c r="G51" s="641"/>
      <c r="H51" s="641"/>
      <c r="I51" s="641"/>
      <c r="J51" s="641"/>
    </row>
    <row r="52" spans="1:10" ht="18">
      <c r="A52" s="2752" t="str">
        <f t="shared" si="5"/>
        <v>※</v>
      </c>
      <c r="B52" s="2828">
        <v>7201.01</v>
      </c>
      <c r="C52" s="1077" t="str">
        <f>VLOOKUP($B52,Sheet_Items,6,0)</f>
        <v>其中：子公司吸收少数股东投资收到的现金</v>
      </c>
      <c r="D52" s="1078"/>
      <c r="E52" s="1079"/>
      <c r="F52" s="1080">
        <f>IF($B52="","",IF(ISERROR(VLOOKUP($B52,Sheet_Balance1,2,0)),0,VLOOKUP($B52,Sheet_Balance1,2,0)))</f>
        <v>0</v>
      </c>
      <c r="G52" s="641"/>
      <c r="H52" s="641"/>
      <c r="I52" s="641"/>
      <c r="J52" s="641"/>
    </row>
    <row r="53" spans="1:10" ht="18">
      <c r="A53" s="2752">
        <f t="shared" si="5"/>
        <v>0</v>
      </c>
      <c r="B53" s="2809">
        <v>7211</v>
      </c>
      <c r="C53" s="1077" t="str">
        <f t="shared" si="6"/>
        <v>取得借款收到的现金</v>
      </c>
      <c r="D53" s="1078"/>
      <c r="E53" s="1079"/>
      <c r="F53" s="1080">
        <f>IF($B53="","",IF(ISERROR(VLOOKUP($B53,Sheet_Balance1,2,0)),0,VLOOKUP($B53,Sheet_Balance1,2,0)))</f>
        <v>0</v>
      </c>
      <c r="G53" s="641"/>
      <c r="H53" s="641"/>
      <c r="I53" s="641"/>
      <c r="J53" s="641"/>
    </row>
    <row r="54" spans="1:10" ht="18">
      <c r="A54" s="2752">
        <f t="shared" si="5"/>
        <v>0</v>
      </c>
      <c r="B54" s="2809">
        <v>7246</v>
      </c>
      <c r="C54" s="1077" t="str">
        <f t="shared" si="6"/>
        <v>收到其他与筹资活动有关的现金</v>
      </c>
      <c r="D54" s="1078"/>
      <c r="E54" s="1079">
        <v>81923075.409999996</v>
      </c>
      <c r="F54" s="1080">
        <f>IF($B54="","",IF(ISERROR(VLOOKUP($B54,Sheet_Balance1,2,0)),0,VLOOKUP($B54,Sheet_Balance1,2,0)))</f>
        <v>0</v>
      </c>
      <c r="G54" s="641"/>
      <c r="H54" s="641"/>
      <c r="I54" s="641"/>
      <c r="J54" s="641"/>
    </row>
    <row r="55" spans="1:10" ht="18">
      <c r="A55" s="2752" t="str">
        <f t="shared" si="5"/>
        <v>＝</v>
      </c>
      <c r="B55" s="2809">
        <v>7248</v>
      </c>
      <c r="C55" s="1073" t="str">
        <f t="shared" si="6"/>
        <v>筹资活动现金流入小计</v>
      </c>
      <c r="D55" s="1078"/>
      <c r="E55" s="1082">
        <f>SUM(E51,E53:E54)</f>
        <v>81923075.409999996</v>
      </c>
      <c r="F55" s="1083">
        <f>SUM(F51,F53:F54)</f>
        <v>0</v>
      </c>
      <c r="G55" s="641"/>
      <c r="H55" s="641"/>
      <c r="I55" s="641"/>
      <c r="J55" s="641"/>
    </row>
    <row r="56" spans="1:10" ht="18">
      <c r="A56" s="2752">
        <f t="shared" si="5"/>
        <v>0</v>
      </c>
      <c r="B56" s="2809">
        <v>7251</v>
      </c>
      <c r="C56" s="1077" t="str">
        <f t="shared" si="6"/>
        <v>偿还债务支付的现金</v>
      </c>
      <c r="D56" s="1078"/>
      <c r="E56" s="1079"/>
      <c r="F56" s="1080">
        <f>IF($B56="","",IF(ISERROR(VLOOKUP($B56,Sheet_Balance1,2,0)),0,VLOOKUP($B56,Sheet_Balance1,2,0)))</f>
        <v>0</v>
      </c>
      <c r="G56" s="641"/>
      <c r="H56" s="641"/>
      <c r="I56" s="641"/>
      <c r="J56" s="641"/>
    </row>
    <row r="57" spans="1:10" ht="18">
      <c r="A57" s="2752">
        <f t="shared" si="5"/>
        <v>0</v>
      </c>
      <c r="B57" s="2809">
        <v>7261</v>
      </c>
      <c r="C57" s="1077" t="str">
        <f t="shared" si="6"/>
        <v>分配股利、利润或偿付利息支付的现金</v>
      </c>
      <c r="D57" s="1078"/>
      <c r="E57" s="1079"/>
      <c r="F57" s="1080">
        <f>IF($B57="","",IF(ISERROR(VLOOKUP($B57,Sheet_Balance1,2,0)),0,VLOOKUP($B57,Sheet_Balance1,2,0)))</f>
        <v>0</v>
      </c>
      <c r="G57" s="641"/>
      <c r="H57" s="641"/>
      <c r="I57" s="641"/>
      <c r="J57" s="641"/>
    </row>
    <row r="58" spans="1:10" ht="18">
      <c r="A58" s="2752" t="str">
        <f t="shared" si="5"/>
        <v>※</v>
      </c>
      <c r="B58" s="2828">
        <v>7261.01</v>
      </c>
      <c r="C58" s="1077" t="str">
        <f>VLOOKUP($B58,Sheet_Items,6,0)</f>
        <v>其中：子公司支付给少数股东的股利、利润</v>
      </c>
      <c r="D58" s="1078"/>
      <c r="E58" s="1079"/>
      <c r="F58" s="1080">
        <f>IF($B58="","",IF(ISERROR(VLOOKUP($B58,Sheet_Balance1,2,0)),0,VLOOKUP($B58,Sheet_Balance1,2,0)))</f>
        <v>0</v>
      </c>
      <c r="G58" s="641"/>
      <c r="H58" s="641"/>
      <c r="I58" s="641"/>
      <c r="J58" s="641"/>
    </row>
    <row r="59" spans="1:10" ht="18">
      <c r="A59" s="2752">
        <f t="shared" si="5"/>
        <v>0</v>
      </c>
      <c r="B59" s="2809">
        <v>7296</v>
      </c>
      <c r="C59" s="1077" t="str">
        <f t="shared" si="6"/>
        <v>支付其他与筹资活动有关的现金</v>
      </c>
      <c r="D59" s="1078"/>
      <c r="E59" s="1079">
        <v>5575000</v>
      </c>
      <c r="F59" s="1080">
        <f>IF($B59="","",IF(ISERROR(VLOOKUP($B59,Sheet_Balance1,2,0)),0,VLOOKUP($B59,Sheet_Balance1,2,0)))</f>
        <v>0</v>
      </c>
      <c r="G59" s="641"/>
      <c r="H59" s="641"/>
      <c r="I59" s="641"/>
      <c r="J59" s="641"/>
    </row>
    <row r="60" spans="1:10" ht="18">
      <c r="A60" s="2752" t="str">
        <f t="shared" si="5"/>
        <v>＝</v>
      </c>
      <c r="B60" s="2809">
        <v>7298</v>
      </c>
      <c r="C60" s="1073" t="str">
        <f t="shared" si="6"/>
        <v>筹资活动现金流出小计</v>
      </c>
      <c r="D60" s="1078"/>
      <c r="E60" s="1082">
        <f>SUM(E56:E57,E59)</f>
        <v>5575000</v>
      </c>
      <c r="F60" s="1083">
        <f>SUM(F56:F57,F59)</f>
        <v>0</v>
      </c>
      <c r="G60" s="641"/>
      <c r="H60" s="641"/>
      <c r="I60" s="641"/>
      <c r="J60" s="641"/>
    </row>
    <row r="61" spans="1:10" ht="18">
      <c r="A61" s="2752" t="str">
        <f t="shared" si="5"/>
        <v>＝</v>
      </c>
      <c r="B61" s="2809">
        <v>7299</v>
      </c>
      <c r="C61" s="1073" t="str">
        <f t="shared" si="6"/>
        <v>筹资活动产生的现金流量净额</v>
      </c>
      <c r="D61" s="1078"/>
      <c r="E61" s="1082">
        <f>SUM(E55,-E60)</f>
        <v>76348075.409999996</v>
      </c>
      <c r="F61" s="1083">
        <f>SUM(F55,-F60)</f>
        <v>0</v>
      </c>
      <c r="G61" s="641"/>
      <c r="H61" s="641"/>
      <c r="I61" s="641"/>
      <c r="J61" s="641"/>
    </row>
    <row r="62" spans="1:10" ht="18">
      <c r="A62" s="2752">
        <f t="shared" si="5"/>
        <v>0</v>
      </c>
      <c r="B62" s="2809">
        <v>7309</v>
      </c>
      <c r="C62" s="1085" t="str">
        <f t="shared" si="6"/>
        <v>四、汇率变动对现金及现金等价物的影响</v>
      </c>
      <c r="D62" s="1078"/>
      <c r="E62" s="1079"/>
      <c r="F62" s="1080">
        <f>IF($B62="","",IF(ISERROR(VLOOKUP($B62,Sheet_Balance1,2,0)),0,VLOOKUP($B62,Sheet_Balance1,2,0)))</f>
        <v>0</v>
      </c>
      <c r="G62" s="641"/>
      <c r="H62" s="641"/>
      <c r="I62" s="641"/>
      <c r="J62" s="641"/>
    </row>
    <row r="63" spans="1:10" ht="18">
      <c r="A63" s="2752" t="str">
        <f t="shared" si="5"/>
        <v>＝</v>
      </c>
      <c r="B63" s="2809">
        <v>7348</v>
      </c>
      <c r="C63" s="1073" t="str">
        <f t="shared" si="6"/>
        <v>五、现金及现金等价物净增加额</v>
      </c>
      <c r="D63" s="1078"/>
      <c r="E63" s="1082">
        <f>SUM(E35,E49,E61,E62)</f>
        <v>-281457.98</v>
      </c>
      <c r="F63" s="1083">
        <f>SUM(F35,F49,F61,F62)</f>
        <v>-373677.21</v>
      </c>
      <c r="G63" s="641"/>
      <c r="H63" s="641"/>
      <c r="I63" s="641"/>
      <c r="J63" s="641"/>
    </row>
    <row r="64" spans="1:10" ht="18">
      <c r="A64" s="2752">
        <f t="shared" si="5"/>
        <v>0</v>
      </c>
      <c r="B64" s="2809">
        <v>7349</v>
      </c>
      <c r="C64" s="1084" t="str">
        <f t="shared" si="6"/>
        <v>加：期初现金及现金等价物余额</v>
      </c>
      <c r="D64" s="1078"/>
      <c r="E64" s="1079">
        <f>F65</f>
        <v>340266.93</v>
      </c>
      <c r="F64" s="1080">
        <f>IF($B64="","",IF(ISERROR(VLOOKUP($B64,Sheet_Balance1,2,0)),0,VLOOKUP($B64,Sheet_Balance1,2,0)))</f>
        <v>713944.14</v>
      </c>
      <c r="G64" s="641"/>
      <c r="H64" s="641"/>
      <c r="I64" s="641"/>
      <c r="J64" s="641"/>
    </row>
    <row r="65" spans="1:10" ht="18">
      <c r="A65" s="2752" t="str">
        <f t="shared" si="5"/>
        <v>＝</v>
      </c>
      <c r="B65" s="2809">
        <v>7399</v>
      </c>
      <c r="C65" s="1086" t="str">
        <f t="shared" si="6"/>
        <v>六、期末现金及现金等价物余额</v>
      </c>
      <c r="D65" s="1087"/>
      <c r="E65" s="1088">
        <f>SUM(E63,E64)</f>
        <v>58808.95</v>
      </c>
      <c r="F65" s="1089">
        <f>SUM(F63,F64)</f>
        <v>340266.93</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641"/>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7">VLOOKUP($B70,Sheet_Items,4,0)</f>
        <v>：</v>
      </c>
      <c r="B70" s="2809">
        <v>7501</v>
      </c>
      <c r="C70" s="1097" t="str">
        <f t="shared" ref="C70:C98" si="8">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7"/>
        <v>0</v>
      </c>
      <c r="B71" s="2809">
        <v>7502</v>
      </c>
      <c r="C71" s="1101" t="str">
        <f t="shared" si="8"/>
        <v>净利润</v>
      </c>
      <c r="D71" s="1098"/>
      <c r="E71" s="1099">
        <f>preIS!E45</f>
        <v>-25297789.149999999</v>
      </c>
      <c r="F71" s="1100">
        <f>VLOOKUP(6799,Sheet_Trialbal,7,0)</f>
        <v>-22510882.850000001</v>
      </c>
      <c r="G71" s="709"/>
      <c r="H71" s="709"/>
      <c r="I71" s="709"/>
      <c r="J71" s="641"/>
    </row>
    <row r="72" spans="1:10" ht="18">
      <c r="A72" s="2830">
        <f t="shared" si="7"/>
        <v>0</v>
      </c>
      <c r="B72" s="2809">
        <v>7503</v>
      </c>
      <c r="C72" s="1101" t="str">
        <f>VLOOKUP($B72,Sheet_Items,6,0)</f>
        <v>加：资产减值准备</v>
      </c>
      <c r="D72" s="1098"/>
      <c r="E72" s="1099"/>
      <c r="F72" s="1100">
        <f t="shared" ref="F72:F87" si="9">IF($B72="","",IF(ISERROR(VLOOKUP($B72,Sheet_Balance1,2,0)),0,VLOOKUP($B72,Sheet_Balance1,2,0)))</f>
        <v>29565.119999999999</v>
      </c>
      <c r="G72" s="709"/>
      <c r="H72" s="709"/>
      <c r="I72" s="709"/>
      <c r="J72" s="641"/>
    </row>
    <row r="73" spans="1:10" ht="18">
      <c r="A73" s="2830" t="str">
        <f>VLOOKUP($B73,Sheet_Items,4,0)</f>
        <v>_JR</v>
      </c>
      <c r="B73" s="2809">
        <v>7504</v>
      </c>
      <c r="C73" s="1102" t="str">
        <f>VLOOKUP($B73,Sheet_Items,6,0)</f>
        <v>信用减值损失</v>
      </c>
      <c r="D73" s="1098"/>
      <c r="E73" s="1099">
        <v>-3895.59</v>
      </c>
      <c r="F73" s="1100">
        <f t="shared" si="9"/>
        <v>0</v>
      </c>
      <c r="G73" s="709"/>
      <c r="H73" s="709"/>
      <c r="I73" s="709"/>
      <c r="J73" s="641"/>
    </row>
    <row r="74" spans="1:10" ht="24">
      <c r="A74" s="2830">
        <f t="shared" si="7"/>
        <v>0</v>
      </c>
      <c r="B74" s="2809">
        <v>7505</v>
      </c>
      <c r="C74" s="1656" t="str">
        <f t="shared" si="8"/>
        <v>固定资产折旧、投资性房地产折旧、油气资产折耗、生产性生物资产折旧</v>
      </c>
      <c r="D74" s="1098"/>
      <c r="E74" s="1099">
        <v>63520.08</v>
      </c>
      <c r="F74" s="1100">
        <f t="shared" si="9"/>
        <v>5709.33</v>
      </c>
      <c r="G74" s="709"/>
      <c r="H74" s="709"/>
      <c r="I74" s="709"/>
      <c r="J74" s="641"/>
    </row>
    <row r="75" spans="1:10" ht="18">
      <c r="A75" s="2830">
        <f t="shared" si="7"/>
        <v>0</v>
      </c>
      <c r="B75" s="2809">
        <v>7506</v>
      </c>
      <c r="C75" s="1656" t="str">
        <f t="shared" si="8"/>
        <v>无形资产摊销</v>
      </c>
      <c r="D75" s="1098"/>
      <c r="E75" s="1099">
        <v>77952.14</v>
      </c>
      <c r="F75" s="1100">
        <f t="shared" si="9"/>
        <v>0</v>
      </c>
      <c r="G75" s="709"/>
      <c r="H75" s="709"/>
      <c r="I75" s="709"/>
      <c r="J75" s="641"/>
    </row>
    <row r="76" spans="1:10" ht="18">
      <c r="A76" s="2830">
        <f t="shared" si="7"/>
        <v>0</v>
      </c>
      <c r="B76" s="2809">
        <v>7507</v>
      </c>
      <c r="C76" s="1656" t="str">
        <f t="shared" si="8"/>
        <v>长期待摊费用摊销</v>
      </c>
      <c r="D76" s="1098"/>
      <c r="E76" s="1099">
        <v>380521.72</v>
      </c>
      <c r="F76" s="1100">
        <f t="shared" si="9"/>
        <v>110985.51</v>
      </c>
      <c r="G76" s="709"/>
      <c r="H76" s="709"/>
      <c r="I76" s="709"/>
      <c r="J76" s="641"/>
    </row>
    <row r="77" spans="1:10" ht="24">
      <c r="A77" s="2830">
        <f t="shared" si="7"/>
        <v>0</v>
      </c>
      <c r="B77" s="2809">
        <v>7508</v>
      </c>
      <c r="C77" s="1656" t="str">
        <f t="shared" si="8"/>
        <v>处置固定资产、无形资产和其他长期资产的损失（收益以“－”号填列）</v>
      </c>
      <c r="D77" s="1098"/>
      <c r="E77" s="1099"/>
      <c r="F77" s="1100">
        <f t="shared" si="9"/>
        <v>0</v>
      </c>
      <c r="G77" s="709"/>
      <c r="H77" s="709"/>
      <c r="I77" s="709"/>
      <c r="J77" s="641"/>
    </row>
    <row r="78" spans="1:10" ht="18">
      <c r="A78" s="2830">
        <f t="shared" si="7"/>
        <v>0</v>
      </c>
      <c r="B78" s="2809">
        <v>7509</v>
      </c>
      <c r="C78" s="1656" t="str">
        <f t="shared" si="8"/>
        <v>固定资产报废损失（收益以“－”号填列）</v>
      </c>
      <c r="D78" s="1098"/>
      <c r="E78" s="1099"/>
      <c r="F78" s="1100">
        <f t="shared" si="9"/>
        <v>0</v>
      </c>
      <c r="G78" s="709"/>
      <c r="H78" s="709"/>
      <c r="I78" s="709"/>
      <c r="J78" s="641"/>
    </row>
    <row r="79" spans="1:10" ht="18">
      <c r="A79" s="2830">
        <f t="shared" si="7"/>
        <v>0</v>
      </c>
      <c r="B79" s="2809">
        <v>7510</v>
      </c>
      <c r="C79" s="1656" t="str">
        <f t="shared" si="8"/>
        <v>公允价值变动损失（收益以“－”号填列）</v>
      </c>
      <c r="D79" s="1098"/>
      <c r="E79" s="1099"/>
      <c r="F79" s="1100">
        <f t="shared" si="9"/>
        <v>0</v>
      </c>
      <c r="G79" s="709"/>
      <c r="H79" s="709"/>
      <c r="I79" s="709"/>
      <c r="J79" s="641"/>
    </row>
    <row r="80" spans="1:10" ht="18">
      <c r="A80" s="2830">
        <f t="shared" si="7"/>
        <v>0</v>
      </c>
      <c r="B80" s="2809">
        <v>7511</v>
      </c>
      <c r="C80" s="1656" t="str">
        <f t="shared" si="8"/>
        <v>财务费用（收益以“－”号填列）</v>
      </c>
      <c r="D80" s="1098"/>
      <c r="E80" s="1099"/>
      <c r="F80" s="1100">
        <f t="shared" si="9"/>
        <v>0</v>
      </c>
      <c r="G80" s="709"/>
      <c r="H80" s="709"/>
      <c r="I80" s="709"/>
      <c r="J80" s="641"/>
    </row>
    <row r="81" spans="1:12" ht="18">
      <c r="A81" s="2830">
        <f t="shared" si="7"/>
        <v>0</v>
      </c>
      <c r="B81" s="2809">
        <v>7512</v>
      </c>
      <c r="C81" s="1656" t="str">
        <f t="shared" si="8"/>
        <v>投资损失（收益以“－”号填列）</v>
      </c>
      <c r="D81" s="1098"/>
      <c r="E81" s="1099"/>
      <c r="F81" s="1100">
        <f t="shared" si="9"/>
        <v>0</v>
      </c>
      <c r="G81" s="709"/>
      <c r="H81" s="709"/>
      <c r="I81" s="709"/>
      <c r="J81" s="641"/>
    </row>
    <row r="82" spans="1:12" ht="18">
      <c r="A82" s="2830">
        <f t="shared" si="7"/>
        <v>0</v>
      </c>
      <c r="B82" s="2809">
        <v>7515</v>
      </c>
      <c r="C82" s="1656" t="str">
        <f t="shared" si="8"/>
        <v>递延所得税资产减少（增加以“－”号填列）</v>
      </c>
      <c r="D82" s="1098"/>
      <c r="E82" s="1099">
        <v>-6256690.8899999997</v>
      </c>
      <c r="F82" s="1100">
        <f t="shared" si="9"/>
        <v>0</v>
      </c>
      <c r="G82" s="709"/>
      <c r="H82" s="709"/>
      <c r="I82" s="709"/>
      <c r="J82" s="641"/>
    </row>
    <row r="83" spans="1:12" ht="18">
      <c r="A83" s="2830">
        <f t="shared" si="7"/>
        <v>0</v>
      </c>
      <c r="B83" s="2809">
        <v>7516</v>
      </c>
      <c r="C83" s="1656" t="str">
        <f t="shared" si="8"/>
        <v>递延所得税负债增加（减少以“－”号填列）</v>
      </c>
      <c r="D83" s="1098"/>
      <c r="E83" s="1099"/>
      <c r="F83" s="1100">
        <f t="shared" si="9"/>
        <v>0</v>
      </c>
      <c r="G83" s="709"/>
      <c r="H83" s="709"/>
      <c r="I83" s="709"/>
      <c r="J83" s="641"/>
    </row>
    <row r="84" spans="1:12" ht="18">
      <c r="A84" s="2830">
        <f t="shared" si="7"/>
        <v>0</v>
      </c>
      <c r="B84" s="2809">
        <v>7517</v>
      </c>
      <c r="C84" s="1656" t="str">
        <f t="shared" si="8"/>
        <v>存货的减少（增加以“－”号填列）</v>
      </c>
      <c r="D84" s="1098"/>
      <c r="E84" s="1099"/>
      <c r="F84" s="1100">
        <f t="shared" si="9"/>
        <v>0</v>
      </c>
      <c r="G84" s="709"/>
      <c r="H84" s="709"/>
      <c r="I84" s="709"/>
      <c r="J84" s="641"/>
    </row>
    <row r="85" spans="1:12" ht="18">
      <c r="A85" s="2830">
        <f t="shared" si="7"/>
        <v>0</v>
      </c>
      <c r="B85" s="2809">
        <v>7518</v>
      </c>
      <c r="C85" s="1656" t="str">
        <f t="shared" si="8"/>
        <v>经营性应收项目的减少（增加以“－”号填列）</v>
      </c>
      <c r="D85" s="1098"/>
      <c r="E85" s="1099">
        <v>-111864.86</v>
      </c>
      <c r="F85" s="1100">
        <f t="shared" si="9"/>
        <v>-4716956.07</v>
      </c>
      <c r="G85" s="709"/>
      <c r="H85" s="709"/>
      <c r="I85" s="709"/>
      <c r="J85" s="641"/>
    </row>
    <row r="86" spans="1:12" ht="18">
      <c r="A86" s="2830">
        <f t="shared" si="7"/>
        <v>0</v>
      </c>
      <c r="B86" s="2809">
        <v>7519</v>
      </c>
      <c r="C86" s="1656" t="str">
        <f t="shared" si="8"/>
        <v>经营性应付项目的增加（减少以“－”号填列）</v>
      </c>
      <c r="D86" s="1098"/>
      <c r="E86" s="1099">
        <v>481891.08</v>
      </c>
      <c r="F86" s="1100">
        <f t="shared" si="9"/>
        <v>81161227.739999995</v>
      </c>
      <c r="G86" s="709"/>
      <c r="H86" s="709"/>
      <c r="I86" s="709"/>
      <c r="J86" s="641"/>
    </row>
    <row r="87" spans="1:12" ht="18">
      <c r="A87" s="2830">
        <f t="shared" si="7"/>
        <v>0</v>
      </c>
      <c r="B87" s="2809">
        <v>7523</v>
      </c>
      <c r="C87" s="1656" t="str">
        <f t="shared" si="8"/>
        <v>其他</v>
      </c>
      <c r="D87" s="1098"/>
      <c r="E87" s="1099"/>
      <c r="F87" s="1100">
        <f t="shared" si="9"/>
        <v>0</v>
      </c>
      <c r="G87" s="709"/>
      <c r="H87" s="709"/>
      <c r="I87" s="709"/>
      <c r="J87" s="641"/>
    </row>
    <row r="88" spans="1:12" ht="18">
      <c r="A88" s="2830" t="str">
        <f t="shared" si="7"/>
        <v>＝</v>
      </c>
      <c r="B88" s="2809">
        <v>7525</v>
      </c>
      <c r="C88" s="1103" t="str">
        <f t="shared" si="8"/>
        <v>经营活动产生的现金流量净额</v>
      </c>
      <c r="D88" s="1098"/>
      <c r="E88" s="1104">
        <f>SUM(E71:E87)</f>
        <v>-30666355.469999999</v>
      </c>
      <c r="F88" s="1105">
        <f>SUM(F71:F87)</f>
        <v>54079648.780000001</v>
      </c>
      <c r="G88" s="709"/>
      <c r="H88" s="709"/>
      <c r="I88" s="709"/>
      <c r="J88" s="641"/>
    </row>
    <row r="89" spans="1:12" ht="18">
      <c r="A89" s="2830" t="str">
        <f t="shared" si="7"/>
        <v>：</v>
      </c>
      <c r="B89" s="2809">
        <v>7526</v>
      </c>
      <c r="C89" s="1097" t="str">
        <f t="shared" si="8"/>
        <v>2.不涉及现金收支的重大投资和筹资活动：</v>
      </c>
      <c r="D89" s="1098"/>
      <c r="E89" s="1099"/>
      <c r="F89" s="1100">
        <f>IF($B89="","",IF(ISERROR(VLOOKUP($B89,Sheet_Balance1,2,0)),0,VLOOKUP($B89,Sheet_Balance1,2,0)))</f>
        <v>0</v>
      </c>
      <c r="G89" s="709"/>
      <c r="H89" s="709"/>
      <c r="I89" s="709"/>
      <c r="J89" s="641"/>
    </row>
    <row r="90" spans="1:12" ht="18">
      <c r="A90" s="2830">
        <f t="shared" si="7"/>
        <v>0</v>
      </c>
      <c r="B90" s="2809">
        <v>7527</v>
      </c>
      <c r="C90" s="1101" t="str">
        <f t="shared" si="8"/>
        <v>债务转为资本</v>
      </c>
      <c r="D90" s="1098"/>
      <c r="E90" s="1099"/>
      <c r="F90" s="1100">
        <f>IF($B90="","",IF(ISERROR(VLOOKUP($B90,Sheet_Balance1,2,0)),0,VLOOKUP($B90,Sheet_Balance1,2,0)))</f>
        <v>0</v>
      </c>
      <c r="G90" s="709"/>
      <c r="H90" s="709"/>
      <c r="I90" s="709"/>
      <c r="J90" s="641"/>
    </row>
    <row r="91" spans="1:12" ht="18">
      <c r="A91" s="2830">
        <f t="shared" si="7"/>
        <v>0</v>
      </c>
      <c r="B91" s="2809">
        <v>7528</v>
      </c>
      <c r="C91" s="1101" t="str">
        <f t="shared" si="8"/>
        <v>一年内到期的可转换公司债券</v>
      </c>
      <c r="D91" s="1098"/>
      <c r="E91" s="1099"/>
      <c r="F91" s="1100">
        <f>IF($B91="","",IF(ISERROR(VLOOKUP($B91,Sheet_Balance1,2,0)),0,VLOOKUP($B91,Sheet_Balance1,2,0)))</f>
        <v>0</v>
      </c>
      <c r="G91" s="709"/>
      <c r="H91" s="709"/>
      <c r="I91" s="709"/>
      <c r="J91" s="641"/>
    </row>
    <row r="92" spans="1:12" ht="18">
      <c r="A92" s="2830">
        <f t="shared" si="7"/>
        <v>0</v>
      </c>
      <c r="B92" s="2809">
        <v>7529</v>
      </c>
      <c r="C92" s="1101" t="str">
        <f t="shared" si="8"/>
        <v>融资租入固定资产</v>
      </c>
      <c r="D92" s="1098"/>
      <c r="E92" s="1099"/>
      <c r="F92" s="1100">
        <f>IF($B92="","",IF(ISERROR(VLOOKUP($B92,Sheet_Balance1,2,0)),0,VLOOKUP($B92,Sheet_Balance1,2,0)))</f>
        <v>0</v>
      </c>
      <c r="G92" s="709"/>
      <c r="H92" s="709"/>
      <c r="I92" s="709"/>
      <c r="J92" s="641"/>
    </row>
    <row r="93" spans="1:12" ht="18">
      <c r="A93" s="2830" t="str">
        <f t="shared" si="7"/>
        <v>：</v>
      </c>
      <c r="B93" s="2809">
        <v>7533</v>
      </c>
      <c r="C93" s="1097" t="str">
        <f t="shared" si="8"/>
        <v>3.现金及现金等价物净变动情况：</v>
      </c>
      <c r="D93" s="1098"/>
      <c r="E93" s="1099"/>
      <c r="F93" s="1100">
        <f>IF($B93="","",IF(ISERROR(VLOOKUP($B93,Sheet_Balance1,2,0)),0,VLOOKUP($B93,Sheet_Balance1,2,0)))</f>
        <v>0</v>
      </c>
      <c r="G93" s="709"/>
      <c r="H93" s="709"/>
      <c r="I93" s="709"/>
      <c r="J93" s="641"/>
    </row>
    <row r="94" spans="1:12" ht="18">
      <c r="A94" s="2830">
        <f t="shared" si="7"/>
        <v>0</v>
      </c>
      <c r="B94" s="2809">
        <v>7535</v>
      </c>
      <c r="C94" s="1101" t="str">
        <f t="shared" si="8"/>
        <v>现金的期末余额</v>
      </c>
      <c r="D94" s="1098"/>
      <c r="E94" s="1099">
        <v>58808.95</v>
      </c>
      <c r="F94" s="1100">
        <f>VLOOKUP(1015,Sheet_Trialbal,7,0)</f>
        <v>340266.93</v>
      </c>
      <c r="G94" s="709"/>
      <c r="H94" s="1106" t="s">
        <v>2589</v>
      </c>
      <c r="I94" s="1127"/>
      <c r="J94" s="1092"/>
      <c r="K94" s="1128"/>
      <c r="L94" s="1128"/>
    </row>
    <row r="95" spans="1:12" ht="18">
      <c r="A95" s="2830">
        <f t="shared" si="7"/>
        <v>0</v>
      </c>
      <c r="B95" s="2809">
        <v>7536</v>
      </c>
      <c r="C95" s="1101" t="str">
        <f t="shared" si="8"/>
        <v>减：现金的年初余额</v>
      </c>
      <c r="D95" s="1098"/>
      <c r="E95" s="1099">
        <f>VLOOKUP(1015,Sheet_Trialbal,7,0)</f>
        <v>340266.93</v>
      </c>
      <c r="F95" s="1100">
        <f>IF($B95="","",IF(ISERROR(VLOOKUP($B95,Sheet_Balance1,2,0)),0,VLOOKUP($B95,Sheet_Balance1,2,0)))</f>
        <v>713944.14</v>
      </c>
      <c r="G95" s="709"/>
      <c r="H95" s="1106" t="s">
        <v>2589</v>
      </c>
      <c r="I95" s="1127"/>
      <c r="J95" s="1092"/>
      <c r="K95" s="1128"/>
      <c r="L95" s="1128"/>
    </row>
    <row r="96" spans="1:12" ht="18">
      <c r="A96" s="2830">
        <f t="shared" si="7"/>
        <v>0</v>
      </c>
      <c r="B96" s="2809">
        <v>7537</v>
      </c>
      <c r="C96" s="1101" t="str">
        <f t="shared" si="8"/>
        <v>加：现金等价物的期末余额</v>
      </c>
      <c r="D96" s="1098"/>
      <c r="E96" s="1099"/>
      <c r="F96" s="1100">
        <f>IF($B96="","",IF(ISERROR(VLOOKUP($B96,Sheet_Balance1,2,0)),0,VLOOKUP($B96,Sheet_Balance1,2,0)))</f>
        <v>0</v>
      </c>
      <c r="G96" s="709"/>
      <c r="H96" s="709"/>
      <c r="I96" s="709"/>
      <c r="J96" s="641"/>
    </row>
    <row r="97" spans="1:10" ht="18">
      <c r="A97" s="2830">
        <f t="shared" si="7"/>
        <v>0</v>
      </c>
      <c r="B97" s="2809">
        <v>7538</v>
      </c>
      <c r="C97" s="1101" t="str">
        <f t="shared" si="8"/>
        <v>减：现金等价物的年初余额</v>
      </c>
      <c r="D97" s="1098"/>
      <c r="E97" s="1099"/>
      <c r="F97" s="1100">
        <f>IF($B97="","",IF(ISERROR(VLOOKUP($B97,Sheet_Balance1,2,0)),0,VLOOKUP($B97,Sheet_Balance1,2,0)))</f>
        <v>0</v>
      </c>
      <c r="G97" s="709"/>
      <c r="H97" s="709"/>
      <c r="I97" s="709"/>
      <c r="J97" s="641"/>
    </row>
    <row r="98" spans="1:10" ht="18">
      <c r="A98" s="2830" t="str">
        <f t="shared" si="7"/>
        <v>＝</v>
      </c>
      <c r="B98" s="2809">
        <v>7539</v>
      </c>
      <c r="C98" s="1107" t="str">
        <f t="shared" si="8"/>
        <v>现金及现金等价物净增加额</v>
      </c>
      <c r="D98" s="1108"/>
      <c r="E98" s="1109">
        <f>SUM(E94,-E95,E96,-E97)</f>
        <v>-281457.98</v>
      </c>
      <c r="F98" s="1110">
        <f>SUM(F94,-F95,F96,-F97)</f>
        <v>-373677.21</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340266.93</v>
      </c>
      <c r="F103" s="1055"/>
      <c r="G103" s="709"/>
      <c r="H103" s="709"/>
      <c r="I103" s="709"/>
      <c r="J103" s="641"/>
    </row>
    <row r="104" spans="1:10" ht="18">
      <c r="A104" s="2830"/>
      <c r="B104" s="2831"/>
      <c r="C104" s="1122" t="str">
        <f>C65&amp;" | "&amp;F101</f>
        <v>六、期末现金及现金等价物余额 | 上期金额</v>
      </c>
      <c r="D104" s="1120" t="s">
        <v>578</v>
      </c>
      <c r="E104" s="1028">
        <f>F65</f>
        <v>340266.93</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-25297789.149999999</v>
      </c>
      <c r="F108" s="1055">
        <f>F71</f>
        <v>-22510882.850000001</v>
      </c>
      <c r="G108" s="709"/>
      <c r="H108" s="709"/>
      <c r="I108" s="709"/>
      <c r="J108" s="641"/>
    </row>
    <row r="109" spans="1:10" ht="18">
      <c r="A109" s="2830"/>
      <c r="B109" s="2831">
        <v>6799</v>
      </c>
      <c r="C109" s="1122" t="str">
        <f>VLOOKUP($B109,Sheet_Items,2,0)</f>
        <v>净利润</v>
      </c>
      <c r="D109" s="1120" t="s">
        <v>441</v>
      </c>
      <c r="E109" s="1028">
        <f>preIS!E45</f>
        <v>-25297789.149999999</v>
      </c>
      <c r="F109" s="1055">
        <f>preIS!F45</f>
        <v>-22510882.850000001</v>
      </c>
      <c r="G109" s="709"/>
      <c r="H109" s="709"/>
      <c r="I109" s="709"/>
      <c r="J109" s="641"/>
    </row>
    <row r="110" spans="1:10" ht="18">
      <c r="A110" s="2830"/>
      <c r="B110" s="2831"/>
      <c r="C110" s="942" t="s">
        <v>2580</v>
      </c>
      <c r="D110" s="1120"/>
      <c r="E110" s="1032">
        <f>IF($F$68="方案B",0,ROUND(E108-E109,2))</f>
        <v>0</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-30666355.469999999</v>
      </c>
      <c r="F113" s="1055">
        <f>F88</f>
        <v>54079648.780000001</v>
      </c>
      <c r="G113" s="709"/>
      <c r="H113" s="709"/>
      <c r="I113" s="709"/>
      <c r="J113" s="641"/>
    </row>
    <row r="114" spans="1:10" ht="18">
      <c r="A114" s="2830"/>
      <c r="B114" s="2831">
        <v>7099</v>
      </c>
      <c r="C114" s="1122" t="str">
        <f>C35&amp;"（主表）"</f>
        <v>经营活动产生的现金流量净额（主表）</v>
      </c>
      <c r="D114" s="1120" t="s">
        <v>578</v>
      </c>
      <c r="E114" s="1028">
        <f>E35</f>
        <v>-30666355.469999999</v>
      </c>
      <c r="F114" s="1055">
        <f>F35</f>
        <v>54079648.780000001</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58808.95</v>
      </c>
      <c r="F117" s="1055">
        <f>SUM(F94,F96)</f>
        <v>340266.93</v>
      </c>
      <c r="G117" s="709"/>
      <c r="H117" s="709"/>
      <c r="I117" s="709"/>
      <c r="J117" s="641"/>
    </row>
    <row r="118" spans="1:10" ht="18">
      <c r="A118" s="2830"/>
      <c r="B118" s="2831">
        <v>7399</v>
      </c>
      <c r="C118" s="1122" t="str">
        <f>C65&amp;"（主表）"</f>
        <v>六、期末现金及现金等价物余额（主表）</v>
      </c>
      <c r="D118" s="1120" t="s">
        <v>578</v>
      </c>
      <c r="E118" s="1028">
        <f>E65</f>
        <v>58808.95</v>
      </c>
      <c r="F118" s="1055">
        <f>F65</f>
        <v>340266.93</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340266.93</v>
      </c>
      <c r="F121" s="1055">
        <f>SUM(F95,F97)</f>
        <v>713944.14</v>
      </c>
      <c r="G121" s="709"/>
      <c r="H121" s="709"/>
      <c r="I121" s="709"/>
      <c r="J121" s="641"/>
    </row>
    <row r="122" spans="1:10" ht="18">
      <c r="A122" s="2830"/>
      <c r="B122" s="2831">
        <v>7349</v>
      </c>
      <c r="C122" s="1122" t="str">
        <f>C64&amp;"（主表）"</f>
        <v>加：期初现金及现金等价物余额（主表）</v>
      </c>
      <c r="D122" s="1120" t="s">
        <v>578</v>
      </c>
      <c r="E122" s="1028">
        <f>E64</f>
        <v>340266.93</v>
      </c>
      <c r="F122" s="1055">
        <f>F64</f>
        <v>713944.14</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-281457.98</v>
      </c>
      <c r="F125" s="1055">
        <f>F98</f>
        <v>-373677.21</v>
      </c>
      <c r="G125" s="709"/>
      <c r="H125" s="709"/>
      <c r="I125" s="709"/>
      <c r="J125" s="641"/>
    </row>
    <row r="126" spans="1:10" ht="18">
      <c r="A126" s="2830"/>
      <c r="B126" s="2831">
        <v>7348</v>
      </c>
      <c r="C126" s="1122" t="str">
        <f>C63&amp;"（主表）"</f>
        <v>五、现金及现金等价物净增加额（主表）</v>
      </c>
      <c r="D126" s="1120" t="s">
        <v>578</v>
      </c>
      <c r="E126" s="1028">
        <f>E63</f>
        <v>-281457.98</v>
      </c>
      <c r="F126" s="1055">
        <f>F63</f>
        <v>-373677.21</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0</v>
      </c>
      <c r="F129" s="1131">
        <f>SUMIF($C102:$C128,"差       异",F102:F128)</f>
        <v>0</v>
      </c>
      <c r="H129" s="1132" t="str">
        <f>IF(E129+F129=0,"Balanced","Diff "&amp;TEXT(ROUND(E129+F129,2),"#,###.00"))</f>
        <v>Balanced</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ZpseEEcn46yMfzq908Dud+5Q1JhGXzRCLU3z5PzbnzI0aOhxwLSKKy2EJl/AGo415Sq709+/u9GT9fesveK4yg==" saltValue="vCuSnbygRaL3JS15AwaKFQ==" spinCount="100000" sheet="1" scenarios="1" formatCells="0" autoFilter="0"/>
  <phoneticPr fontId="163" type="noConversion"/>
  <conditionalFormatting sqref="H2">
    <cfRule type="expression" dxfId="4082" priority="6" stopIfTrue="1">
      <formula>$H$2&lt;&gt;""</formula>
    </cfRule>
  </conditionalFormatting>
  <conditionalFormatting sqref="C9:F64">
    <cfRule type="expression" dxfId="4081" priority="1" stopIfTrue="1">
      <formula>AND($A9&lt;&gt;"＝",MOD(ROW(),3)=0)</formula>
    </cfRule>
    <cfRule type="expression" dxfId="4080" priority="2" stopIfTrue="1">
      <formula>$A9="："</formula>
    </cfRule>
    <cfRule type="expression" dxfId="4079" priority="3" stopIfTrue="1">
      <formula>$A9="＝"</formula>
    </cfRule>
  </conditionalFormatting>
  <conditionalFormatting sqref="E129:F129 E115:F115 E110:F110 E119:F119 E123:F123 E127:F127 E105:F105">
    <cfRule type="cellIs" dxfId="4078"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topLeftCell="A48" workbookViewId="0">
      <selection activeCell="K55" sqref="G54:K55"/>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106" t="s">
        <v>974</v>
      </c>
      <c r="D3" s="3106"/>
      <c r="E3" s="3106"/>
      <c r="F3" s="3106"/>
      <c r="G3" s="3106"/>
      <c r="H3" s="3106"/>
      <c r="I3" s="3106"/>
      <c r="J3" s="3106"/>
      <c r="K3" s="3106"/>
      <c r="L3" s="3106"/>
      <c r="M3" s="3106"/>
      <c r="N3" s="3106"/>
      <c r="O3" s="3106"/>
      <c r="P3" s="3106"/>
      <c r="Q3" s="3106"/>
      <c r="R3" s="3106"/>
      <c r="S3" s="3106"/>
      <c r="T3" s="3106"/>
      <c r="U3" s="3106"/>
      <c r="V3" s="3106"/>
      <c r="W3" s="3106"/>
      <c r="X3" s="3106"/>
      <c r="Y3" s="3106"/>
      <c r="Z3" s="3106"/>
      <c r="AA3" s="3106"/>
      <c r="AB3" s="3106"/>
      <c r="AC3" s="1043"/>
      <c r="AD3" s="1043"/>
      <c r="AE3" s="1043"/>
      <c r="AF3" s="641"/>
      <c r="AG3" s="641"/>
      <c r="AH3" s="641"/>
      <c r="AI3" s="641"/>
    </row>
    <row r="4" spans="1:35" ht="18.75" customHeight="1">
      <c r="A4" s="2749"/>
      <c r="B4" s="2749"/>
      <c r="C4" s="3107" t="str">
        <f>Lead!$F$7</f>
        <v>2019年度</v>
      </c>
      <c r="D4" s="3107"/>
      <c r="E4" s="3107"/>
      <c r="F4" s="3107"/>
      <c r="G4" s="3107"/>
      <c r="H4" s="3107"/>
      <c r="I4" s="3107"/>
      <c r="J4" s="3107"/>
      <c r="K4" s="3107"/>
      <c r="L4" s="3107"/>
      <c r="M4" s="3107"/>
      <c r="N4" s="3107"/>
      <c r="O4" s="3107"/>
      <c r="P4" s="3107"/>
      <c r="Q4" s="3107"/>
      <c r="R4" s="3107"/>
      <c r="S4" s="3107"/>
      <c r="T4" s="3107"/>
      <c r="U4" s="3107"/>
      <c r="V4" s="3107"/>
      <c r="W4" s="3107"/>
      <c r="X4" s="3107"/>
      <c r="Y4" s="3107"/>
      <c r="Z4" s="3107"/>
      <c r="AA4" s="3107"/>
      <c r="AB4" s="3107"/>
      <c r="AC4" s="965"/>
      <c r="AD4" s="965"/>
      <c r="AE4" s="833" t="s">
        <v>2607</v>
      </c>
      <c r="AF4" s="641"/>
      <c r="AG4" s="641"/>
      <c r="AH4" s="641"/>
      <c r="AI4" s="641"/>
    </row>
    <row r="5" spans="1:35" ht="18.75" customHeight="1">
      <c r="A5" s="2749"/>
      <c r="B5" s="2749"/>
      <c r="C5" s="966" t="str">
        <f>Lead!$B$5&amp;"："&amp;Lead!$C$5</f>
        <v>编制单位：华软金信科技（北京）有限公司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6641</v>
      </c>
      <c r="E6" s="969"/>
      <c r="F6" s="969"/>
      <c r="G6" s="969"/>
      <c r="H6" s="970"/>
      <c r="I6" s="970"/>
      <c r="J6" s="970"/>
      <c r="K6" s="970"/>
      <c r="L6" s="970"/>
      <c r="M6" s="970"/>
      <c r="N6" s="970"/>
      <c r="O6" s="970"/>
      <c r="P6" s="970"/>
      <c r="Q6" s="1015"/>
      <c r="R6" s="1016" t="s">
        <v>6642</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108" t="s">
        <v>713</v>
      </c>
      <c r="E7" s="3109"/>
      <c r="F7" s="3109"/>
      <c r="G7" s="3109"/>
      <c r="H7" s="3109"/>
      <c r="I7" s="3109"/>
      <c r="J7" s="3109"/>
      <c r="K7" s="3109"/>
      <c r="L7" s="3109"/>
      <c r="M7" s="3109"/>
      <c r="N7" s="3109"/>
      <c r="O7" s="3110"/>
      <c r="P7" s="1008"/>
      <c r="Q7" s="1017"/>
      <c r="R7" s="3111" t="s">
        <v>713</v>
      </c>
      <c r="S7" s="3109"/>
      <c r="T7" s="3109"/>
      <c r="U7" s="3109"/>
      <c r="V7" s="3109"/>
      <c r="W7" s="3109"/>
      <c r="X7" s="3109"/>
      <c r="Y7" s="3109"/>
      <c r="Z7" s="3109"/>
      <c r="AA7" s="3109"/>
      <c r="AB7" s="3109"/>
      <c r="AC7" s="3110"/>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c r="E9" s="918"/>
      <c r="F9" s="918"/>
      <c r="G9" s="918"/>
      <c r="H9" s="918"/>
      <c r="I9" s="918"/>
      <c r="J9" s="918"/>
      <c r="K9" s="918"/>
      <c r="L9" s="918"/>
      <c r="M9" s="918"/>
      <c r="N9" s="918"/>
      <c r="O9" s="918"/>
      <c r="P9" s="918"/>
      <c r="Q9" s="1020">
        <f>SUM(D9:H9,-I9,J9:P9)</f>
        <v>0</v>
      </c>
      <c r="R9" s="1021">
        <f>IF(ISERROR(VLOOKUP(VALUE(R$2&amp;$B9),Sheet_Balance1,2,0)),0,VLOOKUP(VALUE(R$2&amp;$B9),Sheet_Balance1,2,0))</f>
        <v>100000000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0</v>
      </c>
      <c r="AA9" s="918">
        <f t="shared" si="3"/>
        <v>0</v>
      </c>
      <c r="AB9" s="918">
        <f t="shared" si="3"/>
        <v>-24720001.289999999</v>
      </c>
      <c r="AC9" s="918">
        <f t="shared" si="3"/>
        <v>0</v>
      </c>
      <c r="AD9" s="918">
        <f t="shared" si="3"/>
        <v>0</v>
      </c>
      <c r="AE9" s="1049">
        <f>SUM(R9:V9,-W9,X9:AD9)</f>
        <v>75279998.709999993</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0</v>
      </c>
      <c r="E14" s="885">
        <f>SUM(E9:E13)</f>
        <v>0</v>
      </c>
      <c r="F14" s="885">
        <f>SUM(F9:F13)</f>
        <v>0</v>
      </c>
      <c r="G14" s="885">
        <f>SUM(G9:G13)</f>
        <v>0</v>
      </c>
      <c r="H14" s="885">
        <f t="shared" ref="H14:P14" si="6">SUM(H9:H13)</f>
        <v>0</v>
      </c>
      <c r="I14" s="885">
        <f t="shared" si="6"/>
        <v>0</v>
      </c>
      <c r="J14" s="885">
        <f t="shared" si="6"/>
        <v>0</v>
      </c>
      <c r="K14" s="885">
        <f t="shared" si="6"/>
        <v>0</v>
      </c>
      <c r="L14" s="885">
        <f t="shared" si="6"/>
        <v>0</v>
      </c>
      <c r="M14" s="885">
        <f t="shared" si="6"/>
        <v>0</v>
      </c>
      <c r="N14" s="885">
        <f t="shared" si="6"/>
        <v>0</v>
      </c>
      <c r="O14" s="885">
        <f t="shared" si="6"/>
        <v>0</v>
      </c>
      <c r="P14" s="885">
        <f t="shared" si="6"/>
        <v>0</v>
      </c>
      <c r="Q14" s="1020">
        <f t="shared" si="4"/>
        <v>0</v>
      </c>
      <c r="R14" s="1022">
        <f t="shared" ref="R14:AD14" si="7">SUM(R9:R13)</f>
        <v>100000000</v>
      </c>
      <c r="S14" s="1022">
        <f t="shared" si="7"/>
        <v>0</v>
      </c>
      <c r="T14" s="1022">
        <f t="shared" si="7"/>
        <v>0</v>
      </c>
      <c r="U14" s="1022">
        <f t="shared" si="7"/>
        <v>0</v>
      </c>
      <c r="V14" s="885">
        <f t="shared" si="7"/>
        <v>0</v>
      </c>
      <c r="W14" s="885">
        <f t="shared" si="7"/>
        <v>0</v>
      </c>
      <c r="X14" s="885">
        <f t="shared" si="7"/>
        <v>0</v>
      </c>
      <c r="Y14" s="885">
        <f t="shared" si="7"/>
        <v>0</v>
      </c>
      <c r="Z14" s="885">
        <f t="shared" si="7"/>
        <v>0</v>
      </c>
      <c r="AA14" s="885">
        <f t="shared" si="7"/>
        <v>0</v>
      </c>
      <c r="AB14" s="885">
        <f t="shared" si="7"/>
        <v>-24720001.289999999</v>
      </c>
      <c r="AC14" s="885">
        <f t="shared" si="7"/>
        <v>0</v>
      </c>
      <c r="AD14" s="885">
        <f t="shared" si="7"/>
        <v>0</v>
      </c>
      <c r="AE14" s="1049">
        <f t="shared" si="5"/>
        <v>75279998.709999993</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0</v>
      </c>
      <c r="I15" s="885">
        <f t="shared" si="8"/>
        <v>0</v>
      </c>
      <c r="J15" s="885">
        <f t="shared" si="8"/>
        <v>0</v>
      </c>
      <c r="K15" s="885">
        <f t="shared" si="8"/>
        <v>0</v>
      </c>
      <c r="L15" s="885">
        <f t="shared" si="8"/>
        <v>0</v>
      </c>
      <c r="M15" s="885">
        <f t="shared" si="8"/>
        <v>0</v>
      </c>
      <c r="N15" s="885">
        <f t="shared" si="8"/>
        <v>-25297789.149999999</v>
      </c>
      <c r="O15" s="885">
        <f t="shared" si="8"/>
        <v>0</v>
      </c>
      <c r="P15" s="885">
        <f t="shared" si="8"/>
        <v>0</v>
      </c>
      <c r="Q15" s="1020">
        <f t="shared" si="4"/>
        <v>-25297789.149999999</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0</v>
      </c>
      <c r="AA15" s="885">
        <f t="shared" si="9"/>
        <v>0</v>
      </c>
      <c r="AB15" s="885">
        <f t="shared" si="9"/>
        <v>-22510882.850000001</v>
      </c>
      <c r="AC15" s="885">
        <f t="shared" si="9"/>
        <v>0</v>
      </c>
      <c r="AD15" s="885">
        <f t="shared" si="9"/>
        <v>0</v>
      </c>
      <c r="AE15" s="1049">
        <f t="shared" si="5"/>
        <v>-22510882.850000001</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-25297789.149999999</v>
      </c>
      <c r="O16" s="918"/>
      <c r="P16" s="918"/>
      <c r="Q16" s="1020">
        <f t="shared" si="4"/>
        <v>-25297789.149999999</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-22510882.850000001</v>
      </c>
      <c r="AC16" s="918">
        <f t="shared" ref="AC16:AD18" si="13">IF(ISERROR(VLOOKUP(VALUE(AC$2&amp;$B16),Sheet_Balance1,2,0)),0,VLOOKUP(VALUE(AC$2&amp;$B16),Sheet_Balance1,2,0))</f>
        <v>0</v>
      </c>
      <c r="AD16" s="918">
        <f t="shared" si="13"/>
        <v>0</v>
      </c>
      <c r="AE16" s="1049">
        <f t="shared" si="5"/>
        <v>-22510882.850000001</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-25297789.149999999</v>
      </c>
      <c r="O18" s="918"/>
      <c r="P18" s="918"/>
      <c r="Q18" s="1020">
        <f t="shared" si="4"/>
        <v>-25297789.149999999</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-22510882.850000001</v>
      </c>
      <c r="AC18" s="918">
        <f t="shared" si="13"/>
        <v>0</v>
      </c>
      <c r="AD18" s="918">
        <f t="shared" si="13"/>
        <v>0</v>
      </c>
      <c r="AE18" s="1049">
        <f t="shared" si="5"/>
        <v>-22510882.850000001</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c r="I20" s="918"/>
      <c r="J20" s="918"/>
      <c r="K20" s="918"/>
      <c r="L20" s="918"/>
      <c r="M20" s="918"/>
      <c r="N20" s="918"/>
      <c r="O20" s="918"/>
      <c r="P20" s="918"/>
      <c r="Q20" s="1020">
        <f t="shared" si="4"/>
        <v>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0</v>
      </c>
      <c r="M24" s="885">
        <f t="shared" si="20"/>
        <v>0</v>
      </c>
      <c r="N24" s="885">
        <f t="shared" si="20"/>
        <v>0</v>
      </c>
      <c r="O24" s="885">
        <f t="shared" si="20"/>
        <v>0</v>
      </c>
      <c r="P24" s="885">
        <f t="shared" si="20"/>
        <v>0</v>
      </c>
      <c r="Q24" s="1020">
        <f t="shared" si="4"/>
        <v>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0</v>
      </c>
      <c r="AA24" s="885">
        <f t="shared" si="21"/>
        <v>0</v>
      </c>
      <c r="AB24" s="885">
        <f t="shared" si="21"/>
        <v>0</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c r="M25" s="918"/>
      <c r="N25" s="918"/>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0</v>
      </c>
      <c r="AA25" s="918">
        <f t="shared" si="24"/>
        <v>0</v>
      </c>
      <c r="AB25" s="918">
        <f t="shared" si="24"/>
        <v>0</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c r="O27" s="918"/>
      <c r="P27" s="918"/>
      <c r="Q27" s="1020">
        <f t="shared" si="4"/>
        <v>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0</v>
      </c>
      <c r="E40" s="986">
        <f>SUM(E14,E15)</f>
        <v>0</v>
      </c>
      <c r="F40" s="986">
        <f>SUM(F14,F15)</f>
        <v>0</v>
      </c>
      <c r="G40" s="986">
        <f>SUM(G14,G15)</f>
        <v>0</v>
      </c>
      <c r="H40" s="986">
        <f t="shared" ref="H40:AE40" si="39">SUM(H14,H15)</f>
        <v>0</v>
      </c>
      <c r="I40" s="986">
        <f t="shared" si="39"/>
        <v>0</v>
      </c>
      <c r="J40" s="986">
        <f t="shared" si="39"/>
        <v>0</v>
      </c>
      <c r="K40" s="986">
        <f t="shared" si="39"/>
        <v>0</v>
      </c>
      <c r="L40" s="986">
        <f t="shared" si="39"/>
        <v>0</v>
      </c>
      <c r="M40" s="986">
        <f t="shared" si="39"/>
        <v>0</v>
      </c>
      <c r="N40" s="986">
        <f t="shared" si="39"/>
        <v>-25297789.149999999</v>
      </c>
      <c r="O40" s="986">
        <f t="shared" si="39"/>
        <v>0</v>
      </c>
      <c r="P40" s="1010">
        <f t="shared" si="39"/>
        <v>0</v>
      </c>
      <c r="Q40" s="1025">
        <f t="shared" si="39"/>
        <v>-25297789.149999999</v>
      </c>
      <c r="R40" s="1010">
        <f t="shared" ref="R40:AD40" si="40">SUM(R14,R15)</f>
        <v>100000000</v>
      </c>
      <c r="S40" s="1010">
        <f t="shared" si="40"/>
        <v>0</v>
      </c>
      <c r="T40" s="1010">
        <f t="shared" si="40"/>
        <v>0</v>
      </c>
      <c r="U40" s="1010">
        <f t="shared" si="40"/>
        <v>0</v>
      </c>
      <c r="V40" s="986">
        <f t="shared" si="40"/>
        <v>0</v>
      </c>
      <c r="W40" s="986">
        <f t="shared" si="40"/>
        <v>0</v>
      </c>
      <c r="X40" s="986">
        <f t="shared" si="40"/>
        <v>0</v>
      </c>
      <c r="Y40" s="986">
        <f t="shared" si="40"/>
        <v>0</v>
      </c>
      <c r="Z40" s="986">
        <f t="shared" si="40"/>
        <v>0</v>
      </c>
      <c r="AA40" s="986">
        <f t="shared" si="40"/>
        <v>0</v>
      </c>
      <c r="AB40" s="986">
        <f t="shared" si="40"/>
        <v>-47230884.140000001</v>
      </c>
      <c r="AC40" s="986">
        <f t="shared" si="40"/>
        <v>0</v>
      </c>
      <c r="AD40" s="986">
        <f t="shared" si="40"/>
        <v>0</v>
      </c>
      <c r="AE40" s="1051">
        <f t="shared" si="39"/>
        <v>52769115.859999999</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-52769115.859999999</v>
      </c>
      <c r="D47" s="753"/>
      <c r="E47" s="753"/>
      <c r="F47" s="753"/>
      <c r="G47" s="753"/>
      <c r="H47" s="753"/>
      <c r="I47" s="753"/>
      <c r="J47" s="753"/>
      <c r="K47" s="753"/>
      <c r="L47" s="753"/>
      <c r="M47" s="1013" t="str">
        <f>$C$9&amp;":"&amp;$D$6</f>
        <v>一、上年年末余额:本年金额</v>
      </c>
      <c r="N47" s="833"/>
      <c r="O47" s="833"/>
      <c r="P47" s="847"/>
      <c r="Q47" s="1029" t="s">
        <v>442</v>
      </c>
      <c r="R47" s="1028">
        <f>D14</f>
        <v>0</v>
      </c>
      <c r="S47" s="1028">
        <f t="shared" ref="S47:AE47" si="41">E14</f>
        <v>0</v>
      </c>
      <c r="T47" s="1028">
        <f t="shared" si="41"/>
        <v>0</v>
      </c>
      <c r="U47" s="1028">
        <f t="shared" si="41"/>
        <v>0</v>
      </c>
      <c r="V47" s="1001">
        <f t="shared" si="41"/>
        <v>0</v>
      </c>
      <c r="W47" s="1001">
        <f t="shared" si="41"/>
        <v>0</v>
      </c>
      <c r="X47" s="1001">
        <f t="shared" si="41"/>
        <v>0</v>
      </c>
      <c r="Y47" s="1001">
        <f t="shared" si="41"/>
        <v>0</v>
      </c>
      <c r="Z47" s="1001">
        <f t="shared" si="41"/>
        <v>0</v>
      </c>
      <c r="AA47" s="1001">
        <f t="shared" si="41"/>
        <v>0</v>
      </c>
      <c r="AB47" s="1001">
        <f t="shared" si="41"/>
        <v>0</v>
      </c>
      <c r="AC47" s="1001">
        <f t="shared" si="41"/>
        <v>0</v>
      </c>
      <c r="AD47" s="1001">
        <f t="shared" si="41"/>
        <v>0</v>
      </c>
      <c r="AE47" s="1054">
        <f t="shared" si="41"/>
        <v>0</v>
      </c>
      <c r="AF47" s="641"/>
      <c r="AG47" s="641"/>
      <c r="AH47" s="641"/>
      <c r="AI47" s="641"/>
    </row>
    <row r="48" spans="1:35" ht="18">
      <c r="A48" s="2752" t="s">
        <v>2565</v>
      </c>
      <c r="B48" s="2752"/>
      <c r="C48" s="992" t="str">
        <f>IF(C47=0,"Balanced","Diff "&amp;TEXT(ROUND(C47,2),"#,###.00"))</f>
        <v>Diff -52,769,115.86</v>
      </c>
      <c r="D48" s="753"/>
      <c r="E48" s="753"/>
      <c r="F48" s="753"/>
      <c r="G48" s="753"/>
      <c r="H48" s="753"/>
      <c r="I48" s="753"/>
      <c r="J48" s="753"/>
      <c r="K48" s="753"/>
      <c r="L48" s="753"/>
      <c r="M48" s="1013" t="str">
        <f>$R$6&amp;":"&amp;$C$40</f>
        <v>上年金额:四、本年年末余额</v>
      </c>
      <c r="N48" s="833"/>
      <c r="O48" s="833"/>
      <c r="P48" s="847"/>
      <c r="Q48" s="1029" t="s">
        <v>442</v>
      </c>
      <c r="R48" s="1030">
        <f>R40</f>
        <v>100000000</v>
      </c>
      <c r="S48" s="1030">
        <f>S40</f>
        <v>0</v>
      </c>
      <c r="T48" s="1030">
        <f>T40</f>
        <v>0</v>
      </c>
      <c r="U48" s="1030">
        <f>U40</f>
        <v>0</v>
      </c>
      <c r="V48" s="1031">
        <f t="shared" ref="V48:AE48" si="42">V40</f>
        <v>0</v>
      </c>
      <c r="W48" s="1031">
        <f t="shared" si="42"/>
        <v>0</v>
      </c>
      <c r="X48" s="1031">
        <f t="shared" si="42"/>
        <v>0</v>
      </c>
      <c r="Y48" s="1031">
        <f t="shared" si="42"/>
        <v>0</v>
      </c>
      <c r="Z48" s="1031">
        <f t="shared" si="42"/>
        <v>0</v>
      </c>
      <c r="AA48" s="1031">
        <f t="shared" si="42"/>
        <v>0</v>
      </c>
      <c r="AB48" s="1031">
        <f t="shared" si="42"/>
        <v>-47230884.140000001</v>
      </c>
      <c r="AC48" s="1031">
        <f t="shared" si="42"/>
        <v>0</v>
      </c>
      <c r="AD48" s="1031">
        <f t="shared" si="42"/>
        <v>0</v>
      </c>
      <c r="AE48" s="1055">
        <f t="shared" si="42"/>
        <v>52769115.859999999</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-100000000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47230884.140000001</v>
      </c>
      <c r="AC49" s="1005">
        <f t="shared" si="43"/>
        <v>0</v>
      </c>
      <c r="AD49" s="1005">
        <f t="shared" si="43"/>
        <v>0</v>
      </c>
      <c r="AE49" s="1056">
        <f t="shared" si="43"/>
        <v>-52769115.859999999</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6641</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0</v>
      </c>
      <c r="E54" s="1001">
        <f>E40</f>
        <v>0</v>
      </c>
      <c r="F54" s="1001">
        <f>F40</f>
        <v>0</v>
      </c>
      <c r="G54" s="1001">
        <f>G40</f>
        <v>0</v>
      </c>
      <c r="H54" s="1001">
        <f t="shared" ref="H54:AE54" si="45">H40</f>
        <v>0</v>
      </c>
      <c r="I54" s="1001">
        <f t="shared" si="45"/>
        <v>0</v>
      </c>
      <c r="J54" s="1001">
        <f t="shared" si="45"/>
        <v>0</v>
      </c>
      <c r="K54" s="1001">
        <f t="shared" si="45"/>
        <v>0</v>
      </c>
      <c r="L54" s="1001">
        <f t="shared" si="45"/>
        <v>0</v>
      </c>
      <c r="M54" s="1001">
        <f t="shared" si="45"/>
        <v>0</v>
      </c>
      <c r="N54" s="1001">
        <f t="shared" si="45"/>
        <v>-25297789.149999999</v>
      </c>
      <c r="O54" s="1001">
        <f t="shared" si="45"/>
        <v>0</v>
      </c>
      <c r="P54" s="1001">
        <f t="shared" si="45"/>
        <v>0</v>
      </c>
      <c r="Q54" s="1038">
        <f t="shared" si="45"/>
        <v>-25297789.149999999</v>
      </c>
      <c r="R54" s="1030">
        <f t="shared" si="45"/>
        <v>100000000</v>
      </c>
      <c r="S54" s="1030">
        <f t="shared" si="45"/>
        <v>0</v>
      </c>
      <c r="T54" s="1030">
        <f t="shared" si="45"/>
        <v>0</v>
      </c>
      <c r="U54" s="1030">
        <f t="shared" si="45"/>
        <v>0</v>
      </c>
      <c r="V54" s="1031">
        <f t="shared" si="45"/>
        <v>0</v>
      </c>
      <c r="W54" s="1031">
        <f t="shared" si="45"/>
        <v>0</v>
      </c>
      <c r="X54" s="1031">
        <f t="shared" si="45"/>
        <v>0</v>
      </c>
      <c r="Y54" s="1031">
        <f t="shared" si="45"/>
        <v>0</v>
      </c>
      <c r="Z54" s="1031">
        <f t="shared" si="45"/>
        <v>0</v>
      </c>
      <c r="AA54" s="1031">
        <f t="shared" si="45"/>
        <v>0</v>
      </c>
      <c r="AB54" s="1031">
        <f t="shared" si="45"/>
        <v>-47230884.140000001</v>
      </c>
      <c r="AC54" s="1031">
        <f t="shared" si="45"/>
        <v>0</v>
      </c>
      <c r="AD54" s="1031">
        <f t="shared" si="45"/>
        <v>0</v>
      </c>
      <c r="AE54" s="1055">
        <f t="shared" si="45"/>
        <v>52769115.859999999</v>
      </c>
      <c r="AF54" s="641"/>
      <c r="AG54" s="641"/>
      <c r="AH54" s="641"/>
      <c r="AI54" s="641"/>
    </row>
    <row r="55" spans="1:35" ht="18">
      <c r="A55" s="2752" t="s">
        <v>2565</v>
      </c>
      <c r="B55" s="2752"/>
      <c r="C55" s="1003" t="s">
        <v>2645</v>
      </c>
      <c r="D55" s="1001">
        <f>preBS!K54</f>
        <v>0</v>
      </c>
      <c r="E55" s="1001">
        <f>preBS!K56</f>
        <v>0</v>
      </c>
      <c r="F55" s="1001">
        <f>preBS!K57</f>
        <v>0</v>
      </c>
      <c r="G55" s="1001">
        <f>preBS!K55-preBS!K56-preBS!K57</f>
        <v>0</v>
      </c>
      <c r="H55" s="1001">
        <f>preBS!K58</f>
        <v>0</v>
      </c>
      <c r="I55" s="1001">
        <f>preBS!K59</f>
        <v>0</v>
      </c>
      <c r="J55" s="1001">
        <f>preBS!K60</f>
        <v>0</v>
      </c>
      <c r="K55" s="1001">
        <f>preBS!K61</f>
        <v>0</v>
      </c>
      <c r="L55" s="1001">
        <f>preBS!K62</f>
        <v>0</v>
      </c>
      <c r="M55" s="1001">
        <f>preBS!K63</f>
        <v>0</v>
      </c>
      <c r="N55" s="1001">
        <f>preBS!K64</f>
        <v>-25297789.149999999</v>
      </c>
      <c r="O55" s="1001"/>
      <c r="P55" s="1001">
        <f>preBS!K66</f>
        <v>0</v>
      </c>
      <c r="Q55" s="1038">
        <f>preBS!K67</f>
        <v>-25297789.149999999</v>
      </c>
      <c r="R55" s="1030">
        <f>preBS!L54</f>
        <v>100000000</v>
      </c>
      <c r="S55" s="1030">
        <f>preBS!L56</f>
        <v>0</v>
      </c>
      <c r="T55" s="1030">
        <f>preBS!L57</f>
        <v>0</v>
      </c>
      <c r="U55" s="1030">
        <f>preBS!L55-preBS!L56-preBS!L57</f>
        <v>0</v>
      </c>
      <c r="V55" s="1031">
        <f>preBS!L58</f>
        <v>0</v>
      </c>
      <c r="W55" s="1031">
        <f>preBS!L59</f>
        <v>0</v>
      </c>
      <c r="X55" s="1031">
        <f>preBS!L60</f>
        <v>0</v>
      </c>
      <c r="Y55" s="1031">
        <f>preBS!L61</f>
        <v>0</v>
      </c>
      <c r="Z55" s="1031">
        <f>preBS!L62</f>
        <v>0</v>
      </c>
      <c r="AA55" s="1031">
        <f>preBS!L63</f>
        <v>0</v>
      </c>
      <c r="AB55" s="1031">
        <f>preBS!L64</f>
        <v>-47230884.140000001</v>
      </c>
      <c r="AC55" s="1031"/>
      <c r="AD55" s="1031">
        <f>preBS!L66</f>
        <v>0</v>
      </c>
      <c r="AE55" s="1055">
        <f>preBS!L67</f>
        <v>52769115.859999999</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ZOULdbuMU6fOAcScmRBTGOUZ+YdNCJfPibN+nCzpQe9Dc02TAyXbTGeWRxXJAaTB7TFOMiwD5I5P1bSegOAV+g==" saltValue="4FPGSRfsMQOZQEVVlwpcbQ==" spinCount="100000" sheet="1" scenarios="1" formatCells="0" autoFilter="0"/>
  <mergeCells count="4">
    <mergeCell ref="C3:AB3"/>
    <mergeCell ref="C4:AB4"/>
    <mergeCell ref="D7:O7"/>
    <mergeCell ref="R7:AC7"/>
  </mergeCells>
  <phoneticPr fontId="163" type="noConversion"/>
  <conditionalFormatting sqref="C40:P40 R40:AD40">
    <cfRule type="expression" dxfId="4077" priority="1" stopIfTrue="1">
      <formula>$A40="："</formula>
    </cfRule>
    <cfRule type="expression" dxfId="4076" priority="2" stopIfTrue="1">
      <formula>$A40="＝"</formula>
    </cfRule>
    <cfRule type="expression" dxfId="4075" priority="3" stopIfTrue="1">
      <formula>AND($A40&lt;&gt;"＝",MOD(ROW(),3)=0)</formula>
    </cfRule>
  </conditionalFormatting>
  <conditionalFormatting sqref="C47 D56:AE56 R49:AE49">
    <cfRule type="cellIs" dxfId="4074"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topLeftCell="A31" workbookViewId="0">
      <selection activeCell="K48" sqref="K48"/>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2" t="s">
        <v>5807</v>
      </c>
      <c r="F2" s="3112"/>
      <c r="G2" s="3112"/>
      <c r="H2" s="3112"/>
      <c r="I2" s="3112"/>
      <c r="J2" s="3112"/>
      <c r="K2" s="3112"/>
      <c r="L2" s="3112"/>
      <c r="M2" s="1664"/>
      <c r="N2" s="1664"/>
      <c r="O2" s="1664"/>
      <c r="P2" s="1664"/>
    </row>
    <row r="3" spans="1:16" ht="27" customHeight="1">
      <c r="A3" s="2840"/>
      <c r="B3" s="2840"/>
      <c r="C3" s="2840"/>
      <c r="D3" s="2840"/>
      <c r="E3" s="3113" t="str">
        <f>TEXT(Lead!$F$5,"yyyy 年 m 月 d 日")</f>
        <v>2019 年 12 月 31 日</v>
      </c>
      <c r="F3" s="3113"/>
      <c r="G3" s="3113"/>
      <c r="H3" s="3113"/>
      <c r="I3" s="3113"/>
      <c r="J3" s="3113"/>
      <c r="K3" s="3113"/>
      <c r="L3" s="3113"/>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编制单位：华软金信科技（北京）有限公司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0</v>
      </c>
      <c r="H8" s="2018">
        <f t="shared" si="4"/>
        <v>340266.93</v>
      </c>
      <c r="I8" s="2019" t="str">
        <f t="shared" si="5"/>
        <v>短期借款</v>
      </c>
      <c r="J8" s="2016"/>
      <c r="K8" s="2017">
        <f t="shared" si="6"/>
        <v>0</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2017">
        <f t="shared" si="3"/>
        <v>0</v>
      </c>
      <c r="H13" s="2018">
        <f t="shared" si="4"/>
        <v>0</v>
      </c>
      <c r="I13" s="2019" t="str">
        <f t="shared" si="5"/>
        <v>应付账款</v>
      </c>
      <c r="J13" s="2016"/>
      <c r="K13" s="2017">
        <f t="shared" si="6"/>
        <v>0</v>
      </c>
      <c r="L13" s="2029">
        <f t="shared" si="7"/>
        <v>0</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0</v>
      </c>
      <c r="H14" s="2018">
        <f t="shared" si="4"/>
        <v>0</v>
      </c>
      <c r="I14" s="2019" t="str">
        <f t="shared" si="5"/>
        <v>预收款项</v>
      </c>
      <c r="J14" s="2016"/>
      <c r="K14" s="2017">
        <f t="shared" si="6"/>
        <v>0</v>
      </c>
      <c r="L14" s="2029">
        <f t="shared" si="7"/>
        <v>0</v>
      </c>
      <c r="M14" s="1850"/>
      <c r="N14" s="1664"/>
      <c r="O14" s="1664"/>
      <c r="P14" s="1664"/>
    </row>
    <row r="15" spans="1:16" ht="18" customHeight="1">
      <c r="A15" s="2863">
        <f t="shared" si="0"/>
        <v>0</v>
      </c>
      <c r="B15" s="2863">
        <f t="shared" si="1"/>
        <v>0</v>
      </c>
      <c r="C15" s="2891">
        <v>1125</v>
      </c>
      <c r="D15" s="2892">
        <v>2211</v>
      </c>
      <c r="E15" s="2030" t="str">
        <f t="shared" si="2"/>
        <v>预付款项</v>
      </c>
      <c r="F15" s="2016"/>
      <c r="G15" s="2017">
        <f t="shared" si="3"/>
        <v>0</v>
      </c>
      <c r="H15" s="2018">
        <f t="shared" si="4"/>
        <v>496233.65</v>
      </c>
      <c r="I15" s="2019" t="str">
        <f t="shared" si="5"/>
        <v>应付职工薪酬</v>
      </c>
      <c r="J15" s="2016"/>
      <c r="K15" s="2017">
        <f t="shared" si="6"/>
        <v>0</v>
      </c>
      <c r="L15" s="2029">
        <f t="shared" si="7"/>
        <v>2712561.36</v>
      </c>
      <c r="M15" s="1850"/>
      <c r="N15" s="1664"/>
      <c r="O15" s="1664"/>
      <c r="P15" s="1664"/>
    </row>
    <row r="16" spans="1:16" ht="18" customHeight="1">
      <c r="A16" s="2863">
        <f t="shared" si="0"/>
        <v>0</v>
      </c>
      <c r="B16" s="2863">
        <f t="shared" si="1"/>
        <v>0</v>
      </c>
      <c r="C16" s="2891">
        <v>1220</v>
      </c>
      <c r="D16" s="2892">
        <v>2221</v>
      </c>
      <c r="E16" s="2030" t="str">
        <f t="shared" si="2"/>
        <v>其他应收款</v>
      </c>
      <c r="F16" s="2016"/>
      <c r="G16" s="2017">
        <f t="shared" si="3"/>
        <v>0</v>
      </c>
      <c r="H16" s="2018">
        <f t="shared" si="4"/>
        <v>4191637.3</v>
      </c>
      <c r="I16" s="2019" t="str">
        <f t="shared" si="5"/>
        <v>应交税费</v>
      </c>
      <c r="J16" s="2016"/>
      <c r="K16" s="2017">
        <f t="shared" si="6"/>
        <v>0</v>
      </c>
      <c r="L16" s="2029">
        <f t="shared" si="7"/>
        <v>44562.07</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2017">
        <f t="shared" si="6"/>
        <v>0</v>
      </c>
      <c r="L17" s="2029">
        <f t="shared" si="7"/>
        <v>396457994.25</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2017">
        <f t="shared" si="3"/>
        <v>0</v>
      </c>
      <c r="H19" s="2018">
        <f t="shared" si="4"/>
        <v>0</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2017">
        <f t="shared" si="3"/>
        <v>0</v>
      </c>
      <c r="H22" s="2018">
        <f t="shared" si="4"/>
        <v>0</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0</v>
      </c>
      <c r="H23" s="2018">
        <f>SUM(H8:H22)-SUM(H17,H18)</f>
        <v>5028137.88</v>
      </c>
      <c r="I23" s="2021" t="str">
        <f t="shared" si="5"/>
        <v>流动负债合计</v>
      </c>
      <c r="J23" s="2016"/>
      <c r="K23" s="2017">
        <f>SUM(K8:K22)-SUM(K18,K19)</f>
        <v>0</v>
      </c>
      <c r="L23" s="2029">
        <f>SUM(L8:L22)-SUM(L18,L19)</f>
        <v>399215117.68000001</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445619464.50999999</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2017">
        <f t="shared" si="8"/>
        <v>0</v>
      </c>
      <c r="H34" s="2018">
        <f t="shared" si="9"/>
        <v>221616.66</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2018">
        <f t="shared" si="9"/>
        <v>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0</v>
      </c>
      <c r="L36" s="2029">
        <f>SUM(L23,L35)</f>
        <v>399215117.68000001</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2017">
        <f t="shared" si="8"/>
        <v>0</v>
      </c>
      <c r="H38" s="2018">
        <f t="shared" si="9"/>
        <v>132000</v>
      </c>
      <c r="I38" s="2023" t="str">
        <f t="shared" si="5"/>
        <v>股本</v>
      </c>
      <c r="J38" s="2016"/>
      <c r="K38" s="2017">
        <f t="shared" si="12"/>
        <v>0</v>
      </c>
      <c r="L38" s="2029">
        <f t="shared" si="13"/>
        <v>100000000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2017">
        <f t="shared" si="8"/>
        <v>0</v>
      </c>
      <c r="H39" s="2018">
        <f t="shared" si="9"/>
        <v>0</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2017">
        <f t="shared" si="8"/>
        <v>0</v>
      </c>
      <c r="H41" s="2018">
        <f t="shared" si="9"/>
        <v>983014.49</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2017">
        <f t="shared" si="8"/>
        <v>0</v>
      </c>
      <c r="H42" s="2018">
        <f t="shared" si="9"/>
        <v>0</v>
      </c>
      <c r="I42" s="2019" t="str">
        <f t="shared" si="5"/>
        <v>资本公积</v>
      </c>
      <c r="J42" s="2016"/>
      <c r="K42" s="2017">
        <f t="shared" si="12"/>
        <v>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2017">
        <f t="shared" si="8"/>
        <v>0</v>
      </c>
      <c r="H43" s="2018">
        <f t="shared" si="9"/>
        <v>0</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0</v>
      </c>
      <c r="L46" s="2029">
        <f t="shared" si="13"/>
        <v>0</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-25297789.149999999</v>
      </c>
      <c r="L48" s="2029">
        <f t="shared" si="13"/>
        <v>-47230884.140000001</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0</v>
      </c>
      <c r="H49" s="2018">
        <f>SUM(H25:H48)</f>
        <v>446956095.66000003</v>
      </c>
      <c r="I49" s="2025" t="str">
        <f t="shared" si="5"/>
        <v>所有者权益合计</v>
      </c>
      <c r="J49" s="2016"/>
      <c r="K49" s="2017">
        <f>SUM(K38:K39,K42,-K43,K44:K48)</f>
        <v>-25297789.149999999</v>
      </c>
      <c r="L49" s="2029">
        <f>SUM(L38:L39,L42,-L43,L44:L48)</f>
        <v>52769115.859999999</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0</v>
      </c>
      <c r="H50" s="2035">
        <f>SUM(H23,H49)</f>
        <v>451984233.54000002</v>
      </c>
      <c r="I50" s="2036" t="str">
        <f t="shared" si="5"/>
        <v>负债和所有者权益总计</v>
      </c>
      <c r="J50" s="2033"/>
      <c r="K50" s="2034">
        <f>SUM(K36,K49)</f>
        <v>-25297789.149999999</v>
      </c>
      <c r="L50" s="2037">
        <f>SUM(L36,L49)</f>
        <v>451984233.54000002</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0</v>
      </c>
      <c r="I59" s="1865" t="str">
        <f>I50</f>
        <v>负债和所有者权益总计</v>
      </c>
      <c r="J59" s="1863"/>
      <c r="K59" s="1873">
        <f>K50</f>
        <v>-25297789.149999999</v>
      </c>
      <c r="L59" s="1867">
        <f>ROUND(H59-K59,2)</f>
        <v>25297789.149999999</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451984233.54000002</v>
      </c>
      <c r="I61" s="1882" t="str">
        <f>I50</f>
        <v>负债和所有者权益总计</v>
      </c>
      <c r="J61" s="1880"/>
      <c r="K61" s="1883">
        <f>L50</f>
        <v>451984233.54000002</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4073" priority="108" stopIfTrue="1">
      <formula>#REF!=TRUE</formula>
    </cfRule>
  </conditionalFormatting>
  <conditionalFormatting sqref="L60 L58 L62">
    <cfRule type="cellIs" dxfId="4072" priority="107" stopIfTrue="1" operator="notEqual">
      <formula>0</formula>
    </cfRule>
  </conditionalFormatting>
  <conditionalFormatting sqref="E55:F55">
    <cfRule type="expression" dxfId="4071" priority="106" stopIfTrue="1">
      <formula>#REF!=TRUE</formula>
    </cfRule>
  </conditionalFormatting>
  <conditionalFormatting sqref="L59 L57 L61">
    <cfRule type="cellIs" dxfId="4070" priority="105" stopIfTrue="1" operator="notEqual">
      <formula>0</formula>
    </cfRule>
  </conditionalFormatting>
  <conditionalFormatting sqref="E55:F55">
    <cfRule type="expression" dxfId="4069" priority="104" stopIfTrue="1">
      <formula>#REF!=TRUE</formula>
    </cfRule>
  </conditionalFormatting>
  <conditionalFormatting sqref="L59 L57 L61">
    <cfRule type="cellIs" dxfId="4068" priority="103" stopIfTrue="1" operator="notEqual">
      <formula>0</formula>
    </cfRule>
  </conditionalFormatting>
  <conditionalFormatting sqref="E56:F56">
    <cfRule type="expression" dxfId="4067" priority="102" stopIfTrue="1">
      <formula>#REF!=TRUE</formula>
    </cfRule>
  </conditionalFormatting>
  <conditionalFormatting sqref="L60 L58">
    <cfRule type="cellIs" dxfId="4066" priority="101" stopIfTrue="1" operator="notEqual">
      <formula>0</formula>
    </cfRule>
  </conditionalFormatting>
  <conditionalFormatting sqref="E55:F55">
    <cfRule type="expression" dxfId="4065" priority="100" stopIfTrue="1">
      <formula>#REF!=TRUE</formula>
    </cfRule>
  </conditionalFormatting>
  <conditionalFormatting sqref="L59 L57 L61">
    <cfRule type="cellIs" dxfId="4064" priority="99" stopIfTrue="1" operator="notEqual">
      <formula>0</formula>
    </cfRule>
  </conditionalFormatting>
  <conditionalFormatting sqref="E55:F55">
    <cfRule type="expression" dxfId="4063" priority="98" stopIfTrue="1">
      <formula>#REF!=TRUE</formula>
    </cfRule>
  </conditionalFormatting>
  <conditionalFormatting sqref="L59 L57 L61">
    <cfRule type="cellIs" dxfId="4062" priority="97" stopIfTrue="1" operator="notEqual">
      <formula>0</formula>
    </cfRule>
  </conditionalFormatting>
  <conditionalFormatting sqref="E56:F56">
    <cfRule type="expression" dxfId="4061" priority="96" stopIfTrue="1">
      <formula>#REF!=TRUE</formula>
    </cfRule>
  </conditionalFormatting>
  <conditionalFormatting sqref="L60 L58">
    <cfRule type="cellIs" dxfId="4060" priority="95" stopIfTrue="1" operator="notEqual">
      <formula>0</formula>
    </cfRule>
  </conditionalFormatting>
  <conditionalFormatting sqref="E55:F55">
    <cfRule type="expression" dxfId="4059" priority="94" stopIfTrue="1">
      <formula>#REF!=TRUE</formula>
    </cfRule>
  </conditionalFormatting>
  <conditionalFormatting sqref="L59 L57 L61">
    <cfRule type="cellIs" dxfId="4058" priority="93" stopIfTrue="1" operator="notEqual">
      <formula>0</formula>
    </cfRule>
  </conditionalFormatting>
  <conditionalFormatting sqref="E55:F55">
    <cfRule type="expression" dxfId="4057" priority="92" stopIfTrue="1">
      <formula>#REF!=TRUE</formula>
    </cfRule>
  </conditionalFormatting>
  <conditionalFormatting sqref="L59 L57 L61">
    <cfRule type="cellIs" dxfId="4056" priority="91" stopIfTrue="1" operator="notEqual">
      <formula>0</formula>
    </cfRule>
  </conditionalFormatting>
  <conditionalFormatting sqref="E56:F56">
    <cfRule type="expression" dxfId="4055" priority="90" stopIfTrue="1">
      <formula>#REF!=TRUE</formula>
    </cfRule>
  </conditionalFormatting>
  <conditionalFormatting sqref="L60 L58">
    <cfRule type="cellIs" dxfId="4054" priority="89" stopIfTrue="1" operator="notEqual">
      <formula>0</formula>
    </cfRule>
  </conditionalFormatting>
  <conditionalFormatting sqref="E55:F55">
    <cfRule type="expression" dxfId="4053" priority="88" stopIfTrue="1">
      <formula>#REF!=TRUE</formula>
    </cfRule>
  </conditionalFormatting>
  <conditionalFormatting sqref="L59 L57 L61">
    <cfRule type="cellIs" dxfId="4052" priority="87" stopIfTrue="1" operator="notEqual">
      <formula>0</formula>
    </cfRule>
  </conditionalFormatting>
  <conditionalFormatting sqref="E55:F55">
    <cfRule type="expression" dxfId="4051" priority="86" stopIfTrue="1">
      <formula>#REF!=TRUE</formula>
    </cfRule>
  </conditionalFormatting>
  <conditionalFormatting sqref="L59 L57 L61">
    <cfRule type="cellIs" dxfId="4050" priority="85" stopIfTrue="1" operator="notEqual">
      <formula>0</formula>
    </cfRule>
  </conditionalFormatting>
  <conditionalFormatting sqref="E56:F56">
    <cfRule type="expression" dxfId="4049" priority="84" stopIfTrue="1">
      <formula>#REF!=TRUE</formula>
    </cfRule>
  </conditionalFormatting>
  <conditionalFormatting sqref="L57:L61">
    <cfRule type="cellIs" dxfId="4048" priority="83" stopIfTrue="1" operator="notEqual">
      <formula>0</formula>
    </cfRule>
  </conditionalFormatting>
  <conditionalFormatting sqref="E55:F56">
    <cfRule type="expression" dxfId="4047" priority="82" stopIfTrue="1">
      <formula>#REF!=TRUE</formula>
    </cfRule>
  </conditionalFormatting>
  <conditionalFormatting sqref="E56:F56">
    <cfRule type="expression" dxfId="4046" priority="81" stopIfTrue="1">
      <formula>#REF!=TRUE</formula>
    </cfRule>
  </conditionalFormatting>
  <conditionalFormatting sqref="L60 L58">
    <cfRule type="cellIs" dxfId="4045" priority="80" stopIfTrue="1" operator="notEqual">
      <formula>0</formula>
    </cfRule>
  </conditionalFormatting>
  <conditionalFormatting sqref="E55:F55">
    <cfRule type="expression" dxfId="4044" priority="79" stopIfTrue="1">
      <formula>#REF!=TRUE</formula>
    </cfRule>
  </conditionalFormatting>
  <conditionalFormatting sqref="L59 L57 L61">
    <cfRule type="cellIs" dxfId="4043" priority="78" stopIfTrue="1" operator="notEqual">
      <formula>0</formula>
    </cfRule>
  </conditionalFormatting>
  <conditionalFormatting sqref="E55:F55">
    <cfRule type="expression" dxfId="4042" priority="77" stopIfTrue="1">
      <formula>#REF!=TRUE</formula>
    </cfRule>
  </conditionalFormatting>
  <conditionalFormatting sqref="L59 L57 L61">
    <cfRule type="cellIs" dxfId="4041" priority="76" stopIfTrue="1" operator="notEqual">
      <formula>0</formula>
    </cfRule>
  </conditionalFormatting>
  <conditionalFormatting sqref="E56:F56">
    <cfRule type="expression" dxfId="4040" priority="75" stopIfTrue="1">
      <formula>#REF!=TRUE</formula>
    </cfRule>
  </conditionalFormatting>
  <conditionalFormatting sqref="L60 L58">
    <cfRule type="cellIs" dxfId="4039" priority="74" stopIfTrue="1" operator="notEqual">
      <formula>0</formula>
    </cfRule>
  </conditionalFormatting>
  <conditionalFormatting sqref="E55:F55">
    <cfRule type="expression" dxfId="4038" priority="73" stopIfTrue="1">
      <formula>#REF!=TRUE</formula>
    </cfRule>
  </conditionalFormatting>
  <conditionalFormatting sqref="L59 L57 L61">
    <cfRule type="cellIs" dxfId="4037" priority="72" stopIfTrue="1" operator="notEqual">
      <formula>0</formula>
    </cfRule>
  </conditionalFormatting>
  <conditionalFormatting sqref="E55:F55">
    <cfRule type="expression" dxfId="4036" priority="71" stopIfTrue="1">
      <formula>#REF!=TRUE</formula>
    </cfRule>
  </conditionalFormatting>
  <conditionalFormatting sqref="L59 L57 L61">
    <cfRule type="cellIs" dxfId="4035" priority="70" stopIfTrue="1" operator="notEqual">
      <formula>0</formula>
    </cfRule>
  </conditionalFormatting>
  <conditionalFormatting sqref="E56:F56">
    <cfRule type="expression" dxfId="4034" priority="69" stopIfTrue="1">
      <formula>#REF!=TRUE</formula>
    </cfRule>
  </conditionalFormatting>
  <conditionalFormatting sqref="L60 L58">
    <cfRule type="cellIs" dxfId="4033" priority="68" stopIfTrue="1" operator="notEqual">
      <formula>0</formula>
    </cfRule>
  </conditionalFormatting>
  <conditionalFormatting sqref="E55:F55">
    <cfRule type="expression" dxfId="4032" priority="67" stopIfTrue="1">
      <formula>#REF!=TRUE</formula>
    </cfRule>
  </conditionalFormatting>
  <conditionalFormatting sqref="L59 L57 L61">
    <cfRule type="cellIs" dxfId="4031" priority="66" stopIfTrue="1" operator="notEqual">
      <formula>0</formula>
    </cfRule>
  </conditionalFormatting>
  <conditionalFormatting sqref="E55:F55">
    <cfRule type="expression" dxfId="4030" priority="65" stopIfTrue="1">
      <formula>#REF!=TRUE</formula>
    </cfRule>
  </conditionalFormatting>
  <conditionalFormatting sqref="L59 L57 L61">
    <cfRule type="cellIs" dxfId="4029" priority="64" stopIfTrue="1" operator="notEqual">
      <formula>0</formula>
    </cfRule>
  </conditionalFormatting>
  <conditionalFormatting sqref="E56:F56">
    <cfRule type="expression" dxfId="4028" priority="63" stopIfTrue="1">
      <formula>#REF!=TRUE</formula>
    </cfRule>
  </conditionalFormatting>
  <conditionalFormatting sqref="L60 L58">
    <cfRule type="cellIs" dxfId="4027" priority="62" stopIfTrue="1" operator="notEqual">
      <formula>0</formula>
    </cfRule>
  </conditionalFormatting>
  <conditionalFormatting sqref="E55:F55">
    <cfRule type="expression" dxfId="4026" priority="61" stopIfTrue="1">
      <formula>#REF!=TRUE</formula>
    </cfRule>
  </conditionalFormatting>
  <conditionalFormatting sqref="L59 L57 L61">
    <cfRule type="cellIs" dxfId="4025" priority="60" stopIfTrue="1" operator="notEqual">
      <formula>0</formula>
    </cfRule>
  </conditionalFormatting>
  <conditionalFormatting sqref="E55:F55">
    <cfRule type="expression" dxfId="4024" priority="59" stopIfTrue="1">
      <formula>#REF!=TRUE</formula>
    </cfRule>
  </conditionalFormatting>
  <conditionalFormatting sqref="L59 L57 L61">
    <cfRule type="cellIs" dxfId="4023" priority="58" stopIfTrue="1" operator="notEqual">
      <formula>0</formula>
    </cfRule>
  </conditionalFormatting>
  <conditionalFormatting sqref="E56:F56">
    <cfRule type="expression" dxfId="4022" priority="57" stopIfTrue="1">
      <formula>#REF!=TRUE</formula>
    </cfRule>
  </conditionalFormatting>
  <conditionalFormatting sqref="L57:L61">
    <cfRule type="cellIs" dxfId="4021" priority="56" stopIfTrue="1" operator="notEqual">
      <formula>0</formula>
    </cfRule>
  </conditionalFormatting>
  <conditionalFormatting sqref="E55:F56">
    <cfRule type="expression" dxfId="4020" priority="55" stopIfTrue="1">
      <formula>#REF!=TRUE</formula>
    </cfRule>
  </conditionalFormatting>
  <conditionalFormatting sqref="E56:F56">
    <cfRule type="expression" dxfId="4019" priority="54" stopIfTrue="1">
      <formula>#REF!=TRUE</formula>
    </cfRule>
  </conditionalFormatting>
  <conditionalFormatting sqref="L60 L58">
    <cfRule type="cellIs" dxfId="4018" priority="53" stopIfTrue="1" operator="notEqual">
      <formula>0</formula>
    </cfRule>
  </conditionalFormatting>
  <conditionalFormatting sqref="E55:F55">
    <cfRule type="expression" dxfId="4017" priority="52" stopIfTrue="1">
      <formula>#REF!=TRUE</formula>
    </cfRule>
  </conditionalFormatting>
  <conditionalFormatting sqref="L59 L57 L61">
    <cfRule type="cellIs" dxfId="4016" priority="51" stopIfTrue="1" operator="notEqual">
      <formula>0</formula>
    </cfRule>
  </conditionalFormatting>
  <conditionalFormatting sqref="E55:F55">
    <cfRule type="expression" dxfId="4015" priority="50" stopIfTrue="1">
      <formula>#REF!=TRUE</formula>
    </cfRule>
  </conditionalFormatting>
  <conditionalFormatting sqref="L59 L57 L61">
    <cfRule type="cellIs" dxfId="4014" priority="49" stopIfTrue="1" operator="notEqual">
      <formula>0</formula>
    </cfRule>
  </conditionalFormatting>
  <conditionalFormatting sqref="E56:F56">
    <cfRule type="expression" dxfId="4013" priority="48" stopIfTrue="1">
      <formula>#REF!=TRUE</formula>
    </cfRule>
  </conditionalFormatting>
  <conditionalFormatting sqref="L60 L58">
    <cfRule type="cellIs" dxfId="4012" priority="47" stopIfTrue="1" operator="notEqual">
      <formula>0</formula>
    </cfRule>
  </conditionalFormatting>
  <conditionalFormatting sqref="E55:F55">
    <cfRule type="expression" dxfId="4011" priority="46" stopIfTrue="1">
      <formula>#REF!=TRUE</formula>
    </cfRule>
  </conditionalFormatting>
  <conditionalFormatting sqref="L59 L57 L61">
    <cfRule type="cellIs" dxfId="4010" priority="45" stopIfTrue="1" operator="notEqual">
      <formula>0</formula>
    </cfRule>
  </conditionalFormatting>
  <conditionalFormatting sqref="E55:F55">
    <cfRule type="expression" dxfId="4009" priority="44" stopIfTrue="1">
      <formula>#REF!=TRUE</formula>
    </cfRule>
  </conditionalFormatting>
  <conditionalFormatting sqref="L59 L57 L61">
    <cfRule type="cellIs" dxfId="4008" priority="43" stopIfTrue="1" operator="notEqual">
      <formula>0</formula>
    </cfRule>
  </conditionalFormatting>
  <conditionalFormatting sqref="E56:F56">
    <cfRule type="expression" dxfId="4007" priority="42" stopIfTrue="1">
      <formula>#REF!=TRUE</formula>
    </cfRule>
  </conditionalFormatting>
  <conditionalFormatting sqref="L60 L58">
    <cfRule type="cellIs" dxfId="4006" priority="41" stopIfTrue="1" operator="notEqual">
      <formula>0</formula>
    </cfRule>
  </conditionalFormatting>
  <conditionalFormatting sqref="E55:F55">
    <cfRule type="expression" dxfId="4005" priority="40" stopIfTrue="1">
      <formula>#REF!=TRUE</formula>
    </cfRule>
  </conditionalFormatting>
  <conditionalFormatting sqref="L59 L57 L61">
    <cfRule type="cellIs" dxfId="4004" priority="39" stopIfTrue="1" operator="notEqual">
      <formula>0</formula>
    </cfRule>
  </conditionalFormatting>
  <conditionalFormatting sqref="E55:F55">
    <cfRule type="expression" dxfId="4003" priority="38" stopIfTrue="1">
      <formula>#REF!=TRUE</formula>
    </cfRule>
  </conditionalFormatting>
  <conditionalFormatting sqref="L59 L57 L61">
    <cfRule type="cellIs" dxfId="4002" priority="37" stopIfTrue="1" operator="notEqual">
      <formula>0</formula>
    </cfRule>
  </conditionalFormatting>
  <conditionalFormatting sqref="E56:F56">
    <cfRule type="expression" dxfId="4001" priority="36" stopIfTrue="1">
      <formula>#REF!=TRUE</formula>
    </cfRule>
  </conditionalFormatting>
  <conditionalFormatting sqref="L60 L58">
    <cfRule type="cellIs" dxfId="4000" priority="35" stopIfTrue="1" operator="notEqual">
      <formula>0</formula>
    </cfRule>
  </conditionalFormatting>
  <conditionalFormatting sqref="E55:F55">
    <cfRule type="expression" dxfId="3999" priority="34" stopIfTrue="1">
      <formula>#REF!=TRUE</formula>
    </cfRule>
  </conditionalFormatting>
  <conditionalFormatting sqref="L59 L57 L61">
    <cfRule type="cellIs" dxfId="3998" priority="33" stopIfTrue="1" operator="notEqual">
      <formula>0</formula>
    </cfRule>
  </conditionalFormatting>
  <conditionalFormatting sqref="E55:F55">
    <cfRule type="expression" dxfId="3997" priority="32" stopIfTrue="1">
      <formula>#REF!=TRUE</formula>
    </cfRule>
  </conditionalFormatting>
  <conditionalFormatting sqref="L59 L57 L61">
    <cfRule type="cellIs" dxfId="3996" priority="31" stopIfTrue="1" operator="notEqual">
      <formula>0</formula>
    </cfRule>
  </conditionalFormatting>
  <conditionalFormatting sqref="E56:F56">
    <cfRule type="expression" dxfId="3995" priority="30" stopIfTrue="1">
      <formula>#REF!=TRUE</formula>
    </cfRule>
  </conditionalFormatting>
  <conditionalFormatting sqref="L57:L61">
    <cfRule type="cellIs" dxfId="3994" priority="29" stopIfTrue="1" operator="notEqual">
      <formula>0</formula>
    </cfRule>
  </conditionalFormatting>
  <conditionalFormatting sqref="E55:F56">
    <cfRule type="expression" dxfId="3993" priority="28" stopIfTrue="1">
      <formula>#REF!=TRUE</formula>
    </cfRule>
  </conditionalFormatting>
  <conditionalFormatting sqref="E56:F56">
    <cfRule type="expression" dxfId="3992" priority="27" stopIfTrue="1">
      <formula>#REF!=TRUE</formula>
    </cfRule>
  </conditionalFormatting>
  <conditionalFormatting sqref="L60 L58">
    <cfRule type="cellIs" dxfId="3991" priority="26" stopIfTrue="1" operator="notEqual">
      <formula>0</formula>
    </cfRule>
  </conditionalFormatting>
  <conditionalFormatting sqref="E55:F55">
    <cfRule type="expression" dxfId="3990" priority="25" stopIfTrue="1">
      <formula>#REF!=TRUE</formula>
    </cfRule>
  </conditionalFormatting>
  <conditionalFormatting sqref="L59 L57 L61">
    <cfRule type="cellIs" dxfId="3989" priority="24" stopIfTrue="1" operator="notEqual">
      <formula>0</formula>
    </cfRule>
  </conditionalFormatting>
  <conditionalFormatting sqref="E55:F55">
    <cfRule type="expression" dxfId="3988" priority="23" stopIfTrue="1">
      <formula>#REF!=TRUE</formula>
    </cfRule>
  </conditionalFormatting>
  <conditionalFormatting sqref="L59 L57 L61">
    <cfRule type="cellIs" dxfId="3987" priority="22" stopIfTrue="1" operator="notEqual">
      <formula>0</formula>
    </cfRule>
  </conditionalFormatting>
  <conditionalFormatting sqref="E56:F56">
    <cfRule type="expression" dxfId="3986" priority="21" stopIfTrue="1">
      <formula>#REF!=TRUE</formula>
    </cfRule>
  </conditionalFormatting>
  <conditionalFormatting sqref="L60 L58">
    <cfRule type="cellIs" dxfId="3985" priority="20" stopIfTrue="1" operator="notEqual">
      <formula>0</formula>
    </cfRule>
  </conditionalFormatting>
  <conditionalFormatting sqref="E55:F55">
    <cfRule type="expression" dxfId="3984" priority="19" stopIfTrue="1">
      <formula>#REF!=TRUE</formula>
    </cfRule>
  </conditionalFormatting>
  <conditionalFormatting sqref="L59 L57 L61">
    <cfRule type="cellIs" dxfId="3983" priority="18" stopIfTrue="1" operator="notEqual">
      <formula>0</formula>
    </cfRule>
  </conditionalFormatting>
  <conditionalFormatting sqref="E55:F55">
    <cfRule type="expression" dxfId="3982" priority="17" stopIfTrue="1">
      <formula>#REF!=TRUE</formula>
    </cfRule>
  </conditionalFormatting>
  <conditionalFormatting sqref="L59 L57 L61">
    <cfRule type="cellIs" dxfId="3981" priority="16" stopIfTrue="1" operator="notEqual">
      <formula>0</formula>
    </cfRule>
  </conditionalFormatting>
  <conditionalFormatting sqref="E56:F56">
    <cfRule type="expression" dxfId="3980" priority="15" stopIfTrue="1">
      <formula>#REF!=TRUE</formula>
    </cfRule>
  </conditionalFormatting>
  <conditionalFormatting sqref="L60 L58">
    <cfRule type="cellIs" dxfId="3979" priority="14" stopIfTrue="1" operator="notEqual">
      <formula>0</formula>
    </cfRule>
  </conditionalFormatting>
  <conditionalFormatting sqref="E55:F55">
    <cfRule type="expression" dxfId="3978" priority="13" stopIfTrue="1">
      <formula>#REF!=TRUE</formula>
    </cfRule>
  </conditionalFormatting>
  <conditionalFormatting sqref="L59 L57 L61">
    <cfRule type="cellIs" dxfId="3977" priority="12" stopIfTrue="1" operator="notEqual">
      <formula>0</formula>
    </cfRule>
  </conditionalFormatting>
  <conditionalFormatting sqref="E55:F55">
    <cfRule type="expression" dxfId="3976" priority="11" stopIfTrue="1">
      <formula>#REF!=TRUE</formula>
    </cfRule>
  </conditionalFormatting>
  <conditionalFormatting sqref="L59 L57 L61">
    <cfRule type="cellIs" dxfId="3975" priority="10" stopIfTrue="1" operator="notEqual">
      <formula>0</formula>
    </cfRule>
  </conditionalFormatting>
  <conditionalFormatting sqref="E56:F56">
    <cfRule type="expression" dxfId="3974" priority="9" stopIfTrue="1">
      <formula>#REF!=TRUE</formula>
    </cfRule>
  </conditionalFormatting>
  <conditionalFormatting sqref="L60 L58">
    <cfRule type="cellIs" dxfId="3973" priority="8" stopIfTrue="1" operator="notEqual">
      <formula>0</formula>
    </cfRule>
  </conditionalFormatting>
  <conditionalFormatting sqref="E55:F55">
    <cfRule type="expression" dxfId="3972" priority="7" stopIfTrue="1">
      <formula>#REF!=TRUE</formula>
    </cfRule>
  </conditionalFormatting>
  <conditionalFormatting sqref="L59 L57 L61">
    <cfRule type="cellIs" dxfId="3971" priority="6" stopIfTrue="1" operator="notEqual">
      <formula>0</formula>
    </cfRule>
  </conditionalFormatting>
  <conditionalFormatting sqref="E55:F55">
    <cfRule type="expression" dxfId="3970" priority="5" stopIfTrue="1">
      <formula>#REF!=TRUE</formula>
    </cfRule>
  </conditionalFormatting>
  <conditionalFormatting sqref="L59 L57 L61">
    <cfRule type="cellIs" dxfId="3969" priority="4" stopIfTrue="1" operator="notEqual">
      <formula>0</formula>
    </cfRule>
  </conditionalFormatting>
  <conditionalFormatting sqref="E56:F56">
    <cfRule type="expression" dxfId="3968" priority="3" stopIfTrue="1">
      <formula>#REF!=TRUE</formula>
    </cfRule>
  </conditionalFormatting>
  <conditionalFormatting sqref="L57:L61">
    <cfRule type="cellIs" dxfId="3967" priority="2" stopIfTrue="1" operator="notEqual">
      <formula>0</formula>
    </cfRule>
  </conditionalFormatting>
  <conditionalFormatting sqref="E55:F56">
    <cfRule type="expression" dxfId="3966"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19" workbookViewId="0">
      <selection activeCell="E29" sqref="E29"/>
    </sheetView>
  </sheetViews>
  <sheetFormatPr defaultRowHeight="12"/>
  <cols>
    <col min="1" max="2" width="0.140625" style="2797" customWidth="1"/>
    <col min="3" max="3" width="70.7109375" style="1665" customWidth="1"/>
    <col min="4" max="4" width="12.7109375" style="1665" customWidth="1"/>
    <col min="5" max="6" width="26.7109375" style="1665" customWidth="1"/>
    <col min="7"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4" t="s">
        <v>5808</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编制单位：华软金信科技（北京）有限公司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2049">
        <f t="shared" ref="E7:E24" si="2">IF($B7="","",VLOOKUP($B7,Sheet_Trialbal,6,0))</f>
        <v>328458.53999999998</v>
      </c>
      <c r="F7" s="2050">
        <f t="shared" ref="F7:F24" si="3">IF($B7="","",VLOOKUP($B7,Sheet_Trialbal,10,0))</f>
        <v>6282.79</v>
      </c>
      <c r="G7" s="1885"/>
      <c r="H7" s="1885"/>
      <c r="I7" s="1664"/>
      <c r="J7" s="1664"/>
    </row>
    <row r="8" spans="1:10" ht="20.100000000000001" customHeight="1">
      <c r="A8" s="2863">
        <f t="shared" si="0"/>
        <v>0</v>
      </c>
      <c r="B8" s="2856">
        <v>6401</v>
      </c>
      <c r="C8" s="2051" t="str">
        <f t="shared" si="1"/>
        <v>减：营业成本</v>
      </c>
      <c r="D8" s="2052"/>
      <c r="E8" s="2049">
        <f t="shared" si="2"/>
        <v>8990453.4299999997</v>
      </c>
      <c r="F8" s="2050">
        <f t="shared" si="3"/>
        <v>0</v>
      </c>
      <c r="G8" s="1885"/>
      <c r="H8" s="1885"/>
      <c r="I8" s="1664"/>
      <c r="J8" s="1664"/>
    </row>
    <row r="9" spans="1:10" ht="20.100000000000001" customHeight="1">
      <c r="A9" s="2863">
        <f t="shared" si="0"/>
        <v>0</v>
      </c>
      <c r="B9" s="2856">
        <v>6600</v>
      </c>
      <c r="C9" s="2030" t="str">
        <f t="shared" si="1"/>
        <v>税金及附加</v>
      </c>
      <c r="D9" s="2052"/>
      <c r="E9" s="2049">
        <f t="shared" si="2"/>
        <v>88392.34</v>
      </c>
      <c r="F9" s="2050">
        <f t="shared" si="3"/>
        <v>102037.26</v>
      </c>
      <c r="G9" s="1885"/>
      <c r="H9" s="1885"/>
      <c r="I9" s="1664"/>
      <c r="J9" s="1664"/>
    </row>
    <row r="10" spans="1:10" ht="20.100000000000001" customHeight="1">
      <c r="A10" s="2863">
        <f t="shared" si="0"/>
        <v>0</v>
      </c>
      <c r="B10" s="2856">
        <v>6601</v>
      </c>
      <c r="C10" s="2030" t="str">
        <f t="shared" si="1"/>
        <v>销售费用</v>
      </c>
      <c r="D10" s="2052"/>
      <c r="E10" s="2049">
        <f t="shared" si="2"/>
        <v>6019256.5999999996</v>
      </c>
      <c r="F10" s="2050">
        <f t="shared" si="3"/>
        <v>533561.96</v>
      </c>
      <c r="G10" s="1885"/>
      <c r="H10" s="1885"/>
      <c r="I10" s="1664"/>
      <c r="J10" s="1664"/>
    </row>
    <row r="11" spans="1:10" ht="20.100000000000001" customHeight="1">
      <c r="A11" s="2863">
        <f t="shared" si="0"/>
        <v>0</v>
      </c>
      <c r="B11" s="2856">
        <v>6602</v>
      </c>
      <c r="C11" s="2030" t="str">
        <f t="shared" si="1"/>
        <v>管理费用</v>
      </c>
      <c r="D11" s="2052"/>
      <c r="E11" s="2049">
        <f t="shared" si="2"/>
        <v>15303416.08</v>
      </c>
      <c r="F11" s="2050">
        <f t="shared" si="3"/>
        <v>10602460.369999999</v>
      </c>
      <c r="G11" s="1885"/>
      <c r="H11" s="1885"/>
      <c r="I11" s="1664"/>
      <c r="J11" s="1664"/>
    </row>
    <row r="12" spans="1:10" ht="20.100000000000001" customHeight="1">
      <c r="A12" s="2863">
        <f t="shared" si="0"/>
        <v>0</v>
      </c>
      <c r="B12" s="2856">
        <v>6606</v>
      </c>
      <c r="C12" s="2030" t="str">
        <f t="shared" si="1"/>
        <v>研发费用</v>
      </c>
      <c r="D12" s="2052"/>
      <c r="E12" s="2049">
        <f t="shared" si="2"/>
        <v>0</v>
      </c>
      <c r="F12" s="2050">
        <f t="shared" si="3"/>
        <v>6800845.5</v>
      </c>
      <c r="G12" s="1885"/>
      <c r="H12" s="1885"/>
      <c r="I12" s="1664"/>
      <c r="J12" s="1664"/>
    </row>
    <row r="13" spans="1:10" ht="20.100000000000001" customHeight="1">
      <c r="A13" s="2863">
        <f t="shared" si="0"/>
        <v>0</v>
      </c>
      <c r="B13" s="2856">
        <v>6603</v>
      </c>
      <c r="C13" s="2030" t="str">
        <f t="shared" si="1"/>
        <v>财务费用</v>
      </c>
      <c r="D13" s="2052"/>
      <c r="E13" s="2049">
        <f t="shared" si="2"/>
        <v>1495429.05</v>
      </c>
      <c r="F13" s="2050">
        <f t="shared" si="3"/>
        <v>4448695.43</v>
      </c>
      <c r="G13" s="1885"/>
      <c r="H13" s="1885"/>
      <c r="I13" s="1664"/>
      <c r="J13" s="1664"/>
    </row>
    <row r="14" spans="1:10" ht="20.100000000000001" customHeight="1">
      <c r="A14" s="2863">
        <f t="shared" si="0"/>
        <v>0</v>
      </c>
      <c r="B14" s="2856" t="s">
        <v>803</v>
      </c>
      <c r="C14" s="2031" t="str">
        <f t="shared" si="1"/>
        <v>其中：利息费用</v>
      </c>
      <c r="D14" s="2052"/>
      <c r="E14" s="2049">
        <f t="shared" si="2"/>
        <v>1496740.48</v>
      </c>
      <c r="F14" s="2050">
        <f t="shared" si="3"/>
        <v>0</v>
      </c>
      <c r="G14" s="1885"/>
      <c r="H14" s="1885"/>
      <c r="I14" s="1664"/>
      <c r="J14" s="1664"/>
    </row>
    <row r="15" spans="1:10" ht="20.100000000000001" customHeight="1">
      <c r="A15" s="2863">
        <f t="shared" si="0"/>
        <v>0</v>
      </c>
      <c r="B15" s="2856" t="s">
        <v>810</v>
      </c>
      <c r="C15" s="2031" t="str">
        <f t="shared" si="1"/>
        <v>利息收入</v>
      </c>
      <c r="D15" s="2052"/>
      <c r="E15" s="2049">
        <f t="shared" si="2"/>
        <v>-1311.43</v>
      </c>
      <c r="F15" s="2050">
        <f t="shared" si="3"/>
        <v>0</v>
      </c>
      <c r="G15" s="1885"/>
      <c r="H15" s="1885"/>
      <c r="I15" s="1664"/>
      <c r="J15" s="1664"/>
    </row>
    <row r="16" spans="1:10" ht="20.100000000000001" customHeight="1">
      <c r="A16" s="2863">
        <f t="shared" si="0"/>
        <v>0</v>
      </c>
      <c r="B16" s="2856">
        <v>6181</v>
      </c>
      <c r="C16" s="2028" t="str">
        <f t="shared" si="1"/>
        <v>加：其他收益</v>
      </c>
      <c r="D16" s="2052"/>
      <c r="E16" s="2049">
        <f t="shared" si="2"/>
        <v>10113.33</v>
      </c>
      <c r="F16" s="2050">
        <f t="shared" si="3"/>
        <v>0</v>
      </c>
      <c r="G16" s="1885"/>
      <c r="H16" s="1885"/>
      <c r="I16" s="1664"/>
      <c r="J16" s="1664"/>
    </row>
    <row r="17" spans="1:10" ht="20.100000000000001" customHeight="1">
      <c r="A17" s="2863">
        <f t="shared" si="0"/>
        <v>0</v>
      </c>
      <c r="B17" s="2856">
        <v>6111</v>
      </c>
      <c r="C17" s="2030" t="str">
        <f t="shared" si="1"/>
        <v>投资收益（损失以“-”号填列）</v>
      </c>
      <c r="D17" s="2052"/>
      <c r="E17" s="2049">
        <f t="shared" si="2"/>
        <v>0</v>
      </c>
      <c r="F17" s="2050">
        <f t="shared" si="3"/>
        <v>0</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3895.59</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0</v>
      </c>
      <c r="F23" s="2050">
        <f t="shared" si="3"/>
        <v>-29565.119999999999</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0</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-31554480.039999999</v>
      </c>
      <c r="F25" s="2050">
        <f>SUM(F7)-SUM(F8:F13)+SUM(F16:F24)-SUM(F18,F19)</f>
        <v>-22510882.850000001</v>
      </c>
      <c r="G25" s="1885"/>
      <c r="H25" s="1885"/>
      <c r="I25" s="1664"/>
      <c r="J25" s="1664"/>
    </row>
    <row r="26" spans="1:10" ht="20.100000000000001" customHeight="1">
      <c r="A26" s="2863">
        <f t="shared" si="0"/>
        <v>0</v>
      </c>
      <c r="B26" s="2856">
        <v>6710</v>
      </c>
      <c r="C26" s="2030" t="str">
        <f t="shared" si="1"/>
        <v>加：营业外收入</v>
      </c>
      <c r="D26" s="2052"/>
      <c r="E26" s="2049">
        <f>IF($B26="","",VLOOKUP($B26,Sheet_Trialbal,6,0))</f>
        <v>0</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2049">
        <f>IF($B27="","",VLOOKUP($B27,Sheet_Trialbal,6,0))</f>
        <v>0</v>
      </c>
      <c r="F27" s="2050">
        <f>IF($B27="","",VLOOKUP($B27,Sheet_Trialbal,10,0))</f>
        <v>0</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-31554480.039999999</v>
      </c>
      <c r="F28" s="2050">
        <f>SUM(F25,F26,-F27)</f>
        <v>-22510882.850000001</v>
      </c>
      <c r="G28" s="1886"/>
      <c r="H28" s="1886"/>
      <c r="I28" s="1664"/>
      <c r="J28" s="1664"/>
    </row>
    <row r="29" spans="1:10" ht="20.100000000000001" customHeight="1">
      <c r="A29" s="2863">
        <f t="shared" si="0"/>
        <v>0</v>
      </c>
      <c r="B29" s="2856">
        <v>6791</v>
      </c>
      <c r="C29" s="2030" t="str">
        <f t="shared" si="1"/>
        <v>减：所得税费用</v>
      </c>
      <c r="D29" s="2052"/>
      <c r="E29" s="2049">
        <f>IF($B29="","",VLOOKUP($B29,Sheet_Trialbal,6,0))</f>
        <v>-6256690.8899999997</v>
      </c>
      <c r="F29" s="2050">
        <f>IF($B29="","",VLOOKUP($B29,Sheet_Trialbal,10,0))</f>
        <v>0</v>
      </c>
      <c r="G29" s="1885"/>
      <c r="H29" s="1885"/>
      <c r="I29" s="1664"/>
      <c r="J29" s="1664"/>
    </row>
    <row r="30" spans="1:10" ht="20.100000000000001" customHeight="1">
      <c r="A30" s="2863" t="str">
        <f t="shared" si="0"/>
        <v>＝</v>
      </c>
      <c r="B30" s="2856">
        <v>6799</v>
      </c>
      <c r="C30" s="2056" t="str">
        <f t="shared" si="1"/>
        <v>四、净利润（净亏损以“-”号填列）</v>
      </c>
      <c r="D30" s="2052"/>
      <c r="E30" s="2049">
        <f>SUM(E28,-E29)</f>
        <v>-25297789.149999999</v>
      </c>
      <c r="F30" s="2050">
        <f>SUM(F28,-F29)</f>
        <v>-22510882.850000001</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-25297789.149999999</v>
      </c>
      <c r="F31" s="2050">
        <f>F30</f>
        <v>-22510882.850000001</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3103"/>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-25297789.149999999</v>
      </c>
      <c r="F52" s="2050">
        <f>SUM(F30,F33)</f>
        <v>-22510882.850000001</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115"/>
      <c r="D56" s="3115"/>
      <c r="E56" s="3115"/>
      <c r="F56" s="3115"/>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-25297789.149999999</v>
      </c>
      <c r="F64" s="1899">
        <f>F30</f>
        <v>-22510882.850000001</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-25297789.149999999</v>
      </c>
      <c r="F65" s="1899">
        <f>F31+F32</f>
        <v>-22510882.850000001</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-25297789.149999999</v>
      </c>
      <c r="F69" s="1899">
        <f>F30</f>
        <v>-22510882.850000001</v>
      </c>
      <c r="G69" s="1895"/>
      <c r="H69" s="1895"/>
      <c r="I69" s="1664"/>
      <c r="J69" s="1664"/>
    </row>
    <row r="70" spans="1:10" ht="18">
      <c r="A70" s="2889" t="s">
        <v>2565</v>
      </c>
      <c r="B70" s="2890"/>
      <c r="C70" s="1900" t="str">
        <f>CE!$C$15&amp;" | "&amp;CE!$N$7</f>
        <v>（一）综合收益总额 | 未分配利润</v>
      </c>
      <c r="D70" s="1893" t="s">
        <v>5764</v>
      </c>
      <c r="E70" s="1898">
        <f>CE!N15</f>
        <v>-25297789.149999999</v>
      </c>
      <c r="F70" s="1899">
        <f>CE!AA15</f>
        <v>-22510882.850000001</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-25297789.149999999</v>
      </c>
      <c r="F77" s="1899">
        <f>F52</f>
        <v>-22510882.850000001</v>
      </c>
      <c r="G77" s="1895"/>
      <c r="H77" s="1885"/>
      <c r="I77" s="1664"/>
      <c r="J77" s="1664"/>
    </row>
    <row r="78" spans="1:10" ht="18">
      <c r="A78" s="2889" t="s">
        <v>2565</v>
      </c>
      <c r="B78" s="2890"/>
      <c r="C78" s="1900" t="str">
        <f>CE!$C$15&amp;" | "&amp;CE!$P$7</f>
        <v>（一）综合收益总额 | 所有者权益合计</v>
      </c>
      <c r="D78" s="1893" t="s">
        <v>5818</v>
      </c>
      <c r="E78" s="1898">
        <f>CE!P15</f>
        <v>-25297789.149999999</v>
      </c>
      <c r="F78" s="1899">
        <f ca="1">CE!AC15</f>
        <v>-22510882.850000001</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3965" priority="84" stopIfTrue="1" operator="notEqual">
      <formula>0</formula>
    </cfRule>
  </conditionalFormatting>
  <conditionalFormatting sqref="D61:D62 C61">
    <cfRule type="expression" dxfId="3964" priority="83" stopIfTrue="1">
      <formula>#REF!=TRUE</formula>
    </cfRule>
  </conditionalFormatting>
  <conditionalFormatting sqref="E81:F81 E75:F75 E79:F79 E71:F71">
    <cfRule type="cellIs" dxfId="3963" priority="82" stopIfTrue="1" operator="notEqual">
      <formula>0</formula>
    </cfRule>
  </conditionalFormatting>
  <conditionalFormatting sqref="E81:F81 E75:F75 E79:F79 E71:F71">
    <cfRule type="cellIs" dxfId="3962" priority="80" stopIfTrue="1" operator="notEqual">
      <formula>0</formula>
    </cfRule>
  </conditionalFormatting>
  <conditionalFormatting sqref="E81:F81 E75:F75 E79:F79 E71:F71">
    <cfRule type="cellIs" dxfId="3961" priority="79" stopIfTrue="1" operator="notEqual">
      <formula>0</formula>
    </cfRule>
  </conditionalFormatting>
  <conditionalFormatting sqref="E81:F81 E75:F75 E79:F79 E71:F71">
    <cfRule type="cellIs" dxfId="3960" priority="78" stopIfTrue="1" operator="notEqual">
      <formula>0</formula>
    </cfRule>
  </conditionalFormatting>
  <conditionalFormatting sqref="E81:F81 E75:F75 E79:F79 E71:F71">
    <cfRule type="cellIs" dxfId="3959" priority="77" stopIfTrue="1" operator="notEqual">
      <formula>0</formula>
    </cfRule>
  </conditionalFormatting>
  <conditionalFormatting sqref="E81:F81 E75:F75 E79:F79 E71:F71">
    <cfRule type="cellIs" dxfId="3958" priority="76" stopIfTrue="1" operator="notEqual">
      <formula>0</formula>
    </cfRule>
  </conditionalFormatting>
  <conditionalFormatting sqref="E81:F81 E75:F75 E79:F79 E71:F71">
    <cfRule type="cellIs" dxfId="3957" priority="74" stopIfTrue="1" operator="notEqual">
      <formula>0</formula>
    </cfRule>
  </conditionalFormatting>
  <conditionalFormatting sqref="E81:F81 E75:F75 E79:F79 E71:F71">
    <cfRule type="cellIs" dxfId="3956" priority="72" stopIfTrue="1" operator="notEqual">
      <formula>0</formula>
    </cfRule>
  </conditionalFormatting>
  <conditionalFormatting sqref="E81:F81 E75:F75 E79:F79 E71:F71">
    <cfRule type="cellIs" dxfId="3955" priority="71" stopIfTrue="1" operator="notEqual">
      <formula>0</formula>
    </cfRule>
  </conditionalFormatting>
  <conditionalFormatting sqref="E81:F81 E75:F75 E79:F79 E71:F71">
    <cfRule type="cellIs" dxfId="3954" priority="70" stopIfTrue="1" operator="notEqual">
      <formula>0</formula>
    </cfRule>
  </conditionalFormatting>
  <conditionalFormatting sqref="E81:F81 E75:F75 E79:F79 E71:F71">
    <cfRule type="cellIs" dxfId="3953" priority="69" stopIfTrue="1" operator="notEqual">
      <formula>0</formula>
    </cfRule>
  </conditionalFormatting>
  <conditionalFormatting sqref="E81:F81 E75:F75 E79:F79 E71:F71">
    <cfRule type="cellIs" dxfId="3952" priority="68" stopIfTrue="1" operator="notEqual">
      <formula>0</formula>
    </cfRule>
  </conditionalFormatting>
  <conditionalFormatting sqref="E81:F81 E75:F75 E79:F79 E71:F71">
    <cfRule type="cellIs" dxfId="3951" priority="66" stopIfTrue="1" operator="notEqual">
      <formula>0</formula>
    </cfRule>
  </conditionalFormatting>
  <conditionalFormatting sqref="E81:F81 E75:F75 E79:F79 E71:F71">
    <cfRule type="cellIs" dxfId="3950" priority="64" stopIfTrue="1" operator="notEqual">
      <formula>0</formula>
    </cfRule>
  </conditionalFormatting>
  <conditionalFormatting sqref="E81:F81 E75:F75 E79:F79 E71:F71">
    <cfRule type="cellIs" dxfId="3949" priority="63" stopIfTrue="1" operator="notEqual">
      <formula>0</formula>
    </cfRule>
  </conditionalFormatting>
  <conditionalFormatting sqref="E81:F81 E75:F75 E79:F79 E71:F71">
    <cfRule type="cellIs" dxfId="3948" priority="62" stopIfTrue="1" operator="notEqual">
      <formula>0</formula>
    </cfRule>
  </conditionalFormatting>
  <conditionalFormatting sqref="E81:F81 E75:F75 E79:F79 E71:F71">
    <cfRule type="cellIs" dxfId="3947" priority="61" stopIfTrue="1" operator="notEqual">
      <formula>0</formula>
    </cfRule>
  </conditionalFormatting>
  <conditionalFormatting sqref="E81:F81 E75:F75 E79:F79 E71:F71">
    <cfRule type="cellIs" dxfId="3946" priority="60" stopIfTrue="1" operator="notEqual">
      <formula>0</formula>
    </cfRule>
  </conditionalFormatting>
  <conditionalFormatting sqref="E81:F81 E75:F75 E79:F79 E71:F71">
    <cfRule type="cellIs" dxfId="3945" priority="58" stopIfTrue="1" operator="notEqual">
      <formula>0</formula>
    </cfRule>
  </conditionalFormatting>
  <conditionalFormatting sqref="E81:F81 E75:F75 E79:F79 E71:F71">
    <cfRule type="cellIs" dxfId="3944" priority="56" stopIfTrue="1" operator="notEqual">
      <formula>0</formula>
    </cfRule>
  </conditionalFormatting>
  <conditionalFormatting sqref="E81:F81 E75:F75 E79:F79 E71:F71">
    <cfRule type="cellIs" dxfId="3943" priority="55" stopIfTrue="1" operator="notEqual">
      <formula>0</formula>
    </cfRule>
  </conditionalFormatting>
  <conditionalFormatting sqref="E81:F81 E75:F75 E79:F79 E71:F71">
    <cfRule type="cellIs" dxfId="3942" priority="54" stopIfTrue="1" operator="notEqual">
      <formula>0</formula>
    </cfRule>
  </conditionalFormatting>
  <conditionalFormatting sqref="E81:F81 E75:F75 E79:F79 E71:F71">
    <cfRule type="cellIs" dxfId="3941" priority="53" stopIfTrue="1" operator="notEqual">
      <formula>0</formula>
    </cfRule>
  </conditionalFormatting>
  <conditionalFormatting sqref="E81:F81 E75:F75 E79:F79 E71:F71">
    <cfRule type="cellIs" dxfId="3940" priority="52" stopIfTrue="1" operator="notEqual">
      <formula>0</formula>
    </cfRule>
  </conditionalFormatting>
  <conditionalFormatting sqref="E81:F81 E75:F75 E79:F79 E71:F71">
    <cfRule type="cellIs" dxfId="3939" priority="50" stopIfTrue="1" operator="notEqual">
      <formula>0</formula>
    </cfRule>
  </conditionalFormatting>
  <conditionalFormatting sqref="E81:F81 E75:F75 E79:F79 E71:F71">
    <cfRule type="cellIs" dxfId="3938" priority="48" stopIfTrue="1" operator="notEqual">
      <formula>0</formula>
    </cfRule>
  </conditionalFormatting>
  <conditionalFormatting sqref="E81:F81 E75:F75 E79:F79 E71:F71">
    <cfRule type="cellIs" dxfId="3937" priority="47" stopIfTrue="1" operator="notEqual">
      <formula>0</formula>
    </cfRule>
  </conditionalFormatting>
  <conditionalFormatting sqref="E81:F81 E75:F75 E79:F79 E71:F71">
    <cfRule type="cellIs" dxfId="3936" priority="46" stopIfTrue="1" operator="notEqual">
      <formula>0</formula>
    </cfRule>
  </conditionalFormatting>
  <conditionalFormatting sqref="E81:F81 E75:F75 E79:F79 E71:F71">
    <cfRule type="cellIs" dxfId="3935" priority="45" stopIfTrue="1" operator="notEqual">
      <formula>0</formula>
    </cfRule>
  </conditionalFormatting>
  <conditionalFormatting sqref="E81:F81 E75:F75 E79:F79 E71:F71">
    <cfRule type="cellIs" dxfId="3934" priority="44" stopIfTrue="1" operator="notEqual">
      <formula>0</formula>
    </cfRule>
  </conditionalFormatting>
  <conditionalFormatting sqref="E81:F81 E75:F75 E79:F79 E71:F71">
    <cfRule type="cellIs" dxfId="3933" priority="42" stopIfTrue="1" operator="notEqual">
      <formula>0</formula>
    </cfRule>
  </conditionalFormatting>
  <conditionalFormatting sqref="E81:F81 E75:F75 E79:F79 E71:F71">
    <cfRule type="cellIs" dxfId="3932" priority="40" stopIfTrue="1" operator="notEqual">
      <formula>0</formula>
    </cfRule>
  </conditionalFormatting>
  <conditionalFormatting sqref="E81:F81 E75:F75 E79:F79 E71:F71">
    <cfRule type="cellIs" dxfId="3931" priority="39" stopIfTrue="1" operator="notEqual">
      <formula>0</formula>
    </cfRule>
  </conditionalFormatting>
  <conditionalFormatting sqref="E81:F81 E75:F75 E79:F79 E71:F71">
    <cfRule type="cellIs" dxfId="3930" priority="38" stopIfTrue="1" operator="notEqual">
      <formula>0</formula>
    </cfRule>
  </conditionalFormatting>
  <conditionalFormatting sqref="E81:F81 E75:F75 E79:F79 E71:F71">
    <cfRule type="cellIs" dxfId="3929"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100" workbookViewId="0">
      <selection activeCell="F7" sqref="F7"/>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4" t="s">
        <v>5809</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编制单位：华软金信科技（北京）有限公司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343138.18</v>
      </c>
      <c r="F8" s="2078">
        <f>VLOOKUP($B8,Sheet_Trialbal,10,0)</f>
        <v>0</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233275.97</v>
      </c>
      <c r="F10" s="2078">
        <f>VLOOKUP($B10,Sheet_Trialbal,10,0)</f>
        <v>111511418.34999999</v>
      </c>
      <c r="G10" s="852"/>
      <c r="H10" s="852"/>
      <c r="I10" s="1664"/>
      <c r="J10" s="1664"/>
    </row>
    <row r="11" spans="1:10" ht="19.5" customHeight="1">
      <c r="A11" s="2842" t="str">
        <f t="shared" si="0"/>
        <v>＝</v>
      </c>
      <c r="B11" s="2881">
        <v>7048</v>
      </c>
      <c r="C11" s="2075" t="str">
        <f t="shared" si="1"/>
        <v>经营活动现金流入小计</v>
      </c>
      <c r="D11" s="2076"/>
      <c r="E11" s="2077">
        <f>SUM(E8:E10)</f>
        <v>576414.15</v>
      </c>
      <c r="F11" s="2078">
        <f>SUM(F8:F10)</f>
        <v>111511418.34999999</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0</v>
      </c>
      <c r="F12" s="2078">
        <f>VLOOKUP($B12,Sheet_Trialbal,10,0)</f>
        <v>0</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21587533.059999999</v>
      </c>
      <c r="F13" s="2078">
        <f>VLOOKUP($B13,Sheet_Trialbal,10,0)</f>
        <v>9687769.6300000008</v>
      </c>
      <c r="G13" s="852"/>
      <c r="H13" s="852"/>
      <c r="I13" s="1664"/>
      <c r="J13" s="1664"/>
    </row>
    <row r="14" spans="1:10" ht="19.5" customHeight="1">
      <c r="A14" s="2842">
        <f t="shared" si="0"/>
        <v>0</v>
      </c>
      <c r="B14" s="2881">
        <v>7071</v>
      </c>
      <c r="C14" s="2079" t="str">
        <f t="shared" si="1"/>
        <v>支付的各项税费</v>
      </c>
      <c r="D14" s="2076"/>
      <c r="E14" s="2077">
        <f>VLOOKUP($B14,Sheet_Trialbal,6,0)</f>
        <v>0</v>
      </c>
      <c r="F14" s="2078">
        <f>VLOOKUP($B14,Sheet_Trialbal,10,0)</f>
        <v>197626.12</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9655236.5600000005</v>
      </c>
      <c r="F15" s="2078">
        <f>VLOOKUP($B15,Sheet_Trialbal,10,0)</f>
        <v>47546373.82</v>
      </c>
      <c r="G15" s="852"/>
      <c r="H15" s="852"/>
      <c r="I15" s="1664"/>
      <c r="J15" s="1664"/>
    </row>
    <row r="16" spans="1:10" ht="19.5" customHeight="1">
      <c r="A16" s="2842" t="str">
        <f t="shared" si="0"/>
        <v>＝</v>
      </c>
      <c r="B16" s="2881">
        <v>7098</v>
      </c>
      <c r="C16" s="2075" t="str">
        <f t="shared" si="1"/>
        <v>经营活动现金流出小计</v>
      </c>
      <c r="D16" s="2076"/>
      <c r="E16" s="2077">
        <f>SUM(E12:E15)</f>
        <v>31242769.620000001</v>
      </c>
      <c r="F16" s="2078">
        <f>SUM(F12:F15)</f>
        <v>57431769.57</v>
      </c>
      <c r="G16" s="852"/>
      <c r="H16" s="852"/>
      <c r="I16" s="1664"/>
      <c r="J16" s="1664"/>
    </row>
    <row r="17" spans="1:10" ht="19.5" customHeight="1">
      <c r="A17" s="2842" t="str">
        <f t="shared" si="0"/>
        <v>＝</v>
      </c>
      <c r="B17" s="2881">
        <v>7099</v>
      </c>
      <c r="C17" s="2075" t="str">
        <f t="shared" si="1"/>
        <v>经营活动产生的现金流量净额</v>
      </c>
      <c r="D17" s="2076"/>
      <c r="E17" s="2077">
        <f>SUM(E11,-E16)</f>
        <v>-30666355.469999999</v>
      </c>
      <c r="F17" s="2078">
        <f>SUM(F11,-F16)</f>
        <v>54079648.780000001</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0</v>
      </c>
      <c r="F20" s="2078">
        <f t="shared" si="3"/>
        <v>0</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0</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0</v>
      </c>
      <c r="F24" s="2078">
        <f>SUM(F19:F23)</f>
        <v>0</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13963177.92</v>
      </c>
      <c r="F25" s="2078">
        <f>VLOOKUP($B25,Sheet_Trialbal,10,0)</f>
        <v>1453325.99</v>
      </c>
      <c r="G25" s="852"/>
      <c r="H25" s="852"/>
      <c r="I25" s="1664"/>
      <c r="J25" s="1664"/>
    </row>
    <row r="26" spans="1:10" ht="19.5" customHeight="1">
      <c r="A26" s="2842">
        <f t="shared" si="0"/>
        <v>0</v>
      </c>
      <c r="B26" s="2881">
        <v>7161</v>
      </c>
      <c r="C26" s="2079" t="str">
        <f t="shared" si="1"/>
        <v>投资支付的现金</v>
      </c>
      <c r="D26" s="2076"/>
      <c r="E26" s="2077">
        <f>VLOOKUP($B26,Sheet_Trialbal,6,0)</f>
        <v>22000000</v>
      </c>
      <c r="F26" s="2078">
        <f>VLOOKUP($B26,Sheet_Trialbal,10,0)</f>
        <v>53000000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10000000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45963177.920000002</v>
      </c>
      <c r="F29" s="2078">
        <f>SUM(F25:F28)</f>
        <v>54453325.990000002</v>
      </c>
      <c r="G29" s="852"/>
      <c r="H29" s="852"/>
      <c r="I29" s="1664"/>
      <c r="J29" s="1664"/>
    </row>
    <row r="30" spans="1:10" ht="19.5" customHeight="1">
      <c r="A30" s="2842" t="str">
        <f t="shared" si="0"/>
        <v>＝</v>
      </c>
      <c r="B30" s="2881">
        <v>7199</v>
      </c>
      <c r="C30" s="2075" t="str">
        <f t="shared" si="1"/>
        <v>投资活动产生的现金流量净额</v>
      </c>
      <c r="D30" s="2076"/>
      <c r="E30" s="2077">
        <f>SUM(E24,-E29)</f>
        <v>-45963177.920000002</v>
      </c>
      <c r="F30" s="2078">
        <f>SUM(F24,-F29)</f>
        <v>-54453325.990000002</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81923075.409999996</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81923075.409999996</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0</v>
      </c>
      <c r="F37" s="2078">
        <f>VLOOKUP($B37,Sheet_Trialbal,10,0)</f>
        <v>0</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5575000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5575000</v>
      </c>
      <c r="F39" s="2078">
        <f>SUM(F36:F38)</f>
        <v>0</v>
      </c>
      <c r="G39" s="852"/>
      <c r="H39" s="852"/>
      <c r="I39" s="1664"/>
      <c r="J39" s="1664"/>
    </row>
    <row r="40" spans="1:16" ht="19.5" customHeight="1">
      <c r="A40" s="2842" t="str">
        <f t="shared" si="0"/>
        <v>＝</v>
      </c>
      <c r="B40" s="2881">
        <v>7299</v>
      </c>
      <c r="C40" s="2075" t="str">
        <f t="shared" si="1"/>
        <v>筹资活动产生的现金流量净额</v>
      </c>
      <c r="D40" s="2076"/>
      <c r="E40" s="2077">
        <f>SUM(E35,-E39)</f>
        <v>76348075.409999996</v>
      </c>
      <c r="F40" s="2078">
        <f>SUM(F35,-F39)</f>
        <v>0</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-281457.98</v>
      </c>
      <c r="F42" s="2078">
        <f>SUM(F17,F30,F40,F41)</f>
        <v>-373677.21</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340266.93</v>
      </c>
      <c r="F43" s="2078">
        <f>VLOOKUP($B43,Sheet_Trialbal,10,0)</f>
        <v>713944.14</v>
      </c>
      <c r="G43" s="852"/>
      <c r="H43" s="852"/>
      <c r="I43" s="1664"/>
      <c r="J43" s="1664"/>
    </row>
    <row r="44" spans="1:16" ht="19.5" customHeight="1" thickBot="1">
      <c r="A44" s="2842" t="str">
        <f t="shared" si="0"/>
        <v>＝</v>
      </c>
      <c r="B44" s="2881">
        <v>7399</v>
      </c>
      <c r="C44" s="2081" t="str">
        <f t="shared" si="1"/>
        <v>六、期末现金及现金等价物余额</v>
      </c>
      <c r="D44" s="2082"/>
      <c r="E44" s="2083">
        <f>SUM(E42,E43)</f>
        <v>58808.95</v>
      </c>
      <c r="F44" s="2084">
        <f>SUM(F42,F43)</f>
        <v>340266.93</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-25297789.149999999</v>
      </c>
      <c r="F51" s="1925">
        <f>VLOOKUP(6799,Sheet_Trialbal,10,0)</f>
        <v>-22510882.850000001</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0</v>
      </c>
      <c r="F52" s="1925">
        <f t="shared" ref="F52:F67" si="6">VLOOKUP($B52,Sheet_Trialbal,10,0)</f>
        <v>29565.119999999999</v>
      </c>
      <c r="G52" s="1857"/>
      <c r="H52" s="1857"/>
      <c r="I52" s="1751"/>
      <c r="J52" s="1664"/>
    </row>
    <row r="53" spans="1:10" ht="18">
      <c r="A53" s="2884" t="str">
        <f t="shared" si="4"/>
        <v>_JR</v>
      </c>
      <c r="B53" s="2864">
        <v>7504</v>
      </c>
      <c r="C53" s="1926" t="str">
        <f t="shared" ref="C53:C78" si="7">VLOOKUP($B53,Sheet_Items,6,0)</f>
        <v>信用减值损失</v>
      </c>
      <c r="D53" s="1923"/>
      <c r="E53" s="1924">
        <f t="shared" si="5"/>
        <v>-3895.59</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63520.08</v>
      </c>
      <c r="F54" s="1925">
        <f t="shared" si="6"/>
        <v>5709.33</v>
      </c>
      <c r="G54" s="1857"/>
      <c r="H54" s="1857"/>
      <c r="I54" s="1751"/>
      <c r="J54" s="1664"/>
    </row>
    <row r="55" spans="1:10" ht="18">
      <c r="A55" s="2884">
        <f t="shared" si="4"/>
        <v>0</v>
      </c>
      <c r="B55" s="2864">
        <v>7506</v>
      </c>
      <c r="C55" s="1926" t="str">
        <f t="shared" si="7"/>
        <v>无形资产摊销</v>
      </c>
      <c r="D55" s="1923"/>
      <c r="E55" s="1924">
        <f t="shared" si="5"/>
        <v>77952.14</v>
      </c>
      <c r="F55" s="1925">
        <f t="shared" si="6"/>
        <v>0</v>
      </c>
      <c r="G55" s="1857"/>
      <c r="H55" s="1857"/>
      <c r="I55" s="1751"/>
      <c r="J55" s="1664"/>
    </row>
    <row r="56" spans="1:10" ht="18">
      <c r="A56" s="2884">
        <f t="shared" si="4"/>
        <v>0</v>
      </c>
      <c r="B56" s="2864">
        <v>7507</v>
      </c>
      <c r="C56" s="1926" t="str">
        <f t="shared" si="7"/>
        <v>长期待摊费用摊销</v>
      </c>
      <c r="D56" s="1923"/>
      <c r="E56" s="1924">
        <f t="shared" si="5"/>
        <v>380521.72</v>
      </c>
      <c r="F56" s="1925">
        <f t="shared" si="6"/>
        <v>110985.51</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0</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0</v>
      </c>
      <c r="F60" s="1925">
        <f t="shared" si="6"/>
        <v>0</v>
      </c>
      <c r="G60" s="1857"/>
      <c r="H60" s="1857"/>
      <c r="I60" s="1751"/>
      <c r="J60" s="1664"/>
    </row>
    <row r="61" spans="1:10" ht="18">
      <c r="A61" s="2884">
        <f t="shared" si="4"/>
        <v>0</v>
      </c>
      <c r="B61" s="2864">
        <v>7512</v>
      </c>
      <c r="C61" s="1926" t="str">
        <f t="shared" si="7"/>
        <v>投资损失（收益以“－”号填列）</v>
      </c>
      <c r="D61" s="1923"/>
      <c r="E61" s="1924">
        <f t="shared" si="5"/>
        <v>0</v>
      </c>
      <c r="F61" s="1925">
        <f t="shared" si="6"/>
        <v>0</v>
      </c>
      <c r="G61" s="1857"/>
      <c r="H61" s="1857"/>
      <c r="I61" s="1751"/>
      <c r="J61" s="1664"/>
    </row>
    <row r="62" spans="1:10" ht="18">
      <c r="A62" s="2884">
        <f t="shared" si="4"/>
        <v>0</v>
      </c>
      <c r="B62" s="2864">
        <v>7515</v>
      </c>
      <c r="C62" s="1926" t="str">
        <f t="shared" si="7"/>
        <v>递延所得税资产减少（增加以“－”号填列）</v>
      </c>
      <c r="D62" s="1923"/>
      <c r="E62" s="1924">
        <f t="shared" si="5"/>
        <v>-6256690.8899999997</v>
      </c>
      <c r="F62" s="1925">
        <f t="shared" si="6"/>
        <v>0</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0</v>
      </c>
      <c r="F64" s="1925">
        <f t="shared" si="6"/>
        <v>0</v>
      </c>
      <c r="G64" s="1857"/>
      <c r="H64" s="1857"/>
      <c r="I64" s="1751"/>
      <c r="J64" s="1664"/>
    </row>
    <row r="65" spans="1:10" ht="18">
      <c r="A65" s="2884">
        <f t="shared" si="4"/>
        <v>0</v>
      </c>
      <c r="B65" s="2864">
        <v>7518</v>
      </c>
      <c r="C65" s="1926" t="str">
        <f t="shared" si="7"/>
        <v>经营性应收项目的减少（增加以“－”号填列）</v>
      </c>
      <c r="D65" s="1923"/>
      <c r="E65" s="1924">
        <f t="shared" si="5"/>
        <v>-111864.86</v>
      </c>
      <c r="F65" s="1925">
        <f t="shared" si="6"/>
        <v>-4716956.07</v>
      </c>
      <c r="G65" s="1857"/>
      <c r="H65" s="1857"/>
      <c r="I65" s="1751"/>
      <c r="J65" s="1664"/>
    </row>
    <row r="66" spans="1:10" ht="18">
      <c r="A66" s="2884">
        <f t="shared" si="4"/>
        <v>0</v>
      </c>
      <c r="B66" s="2864">
        <v>7519</v>
      </c>
      <c r="C66" s="1926" t="str">
        <f t="shared" si="7"/>
        <v>经营性应付项目的增加（减少以“－”号填列）</v>
      </c>
      <c r="D66" s="1923"/>
      <c r="E66" s="1924">
        <f t="shared" si="5"/>
        <v>481891.08</v>
      </c>
      <c r="F66" s="1925">
        <f t="shared" si="6"/>
        <v>81161227.739999995</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-30666355.469999999</v>
      </c>
      <c r="F68" s="1929">
        <f>SUM(F51:F67)</f>
        <v>54079648.780000001</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58808.95</v>
      </c>
      <c r="F74" s="1925">
        <f>VLOOKUP($B74,Sheet_Trialbal,10,0)</f>
        <v>340266.93</v>
      </c>
      <c r="G74" s="1857"/>
      <c r="H74" s="1857"/>
      <c r="I74" s="1751"/>
      <c r="J74" s="1664"/>
    </row>
    <row r="75" spans="1:10" ht="18">
      <c r="A75" s="2884">
        <f t="shared" si="4"/>
        <v>0</v>
      </c>
      <c r="B75" s="2864">
        <v>7536</v>
      </c>
      <c r="C75" s="1926" t="str">
        <f t="shared" si="7"/>
        <v>减：现金的年初余额</v>
      </c>
      <c r="D75" s="1923"/>
      <c r="E75" s="1924">
        <f>VLOOKUP($B75,Sheet_Trialbal,6,0)</f>
        <v>340266.93</v>
      </c>
      <c r="F75" s="1925">
        <f>VLOOKUP($B75,Sheet_Trialbal,10,0)</f>
        <v>713944.14</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-281457.98</v>
      </c>
      <c r="F78" s="1933">
        <f>SUM(F74,-F75,F76,-F77)</f>
        <v>-373677.21</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340266.93</v>
      </c>
      <c r="F83" s="1951"/>
      <c r="G83" s="1857"/>
      <c r="H83" s="1857"/>
      <c r="I83" s="1751"/>
      <c r="J83" s="1664"/>
    </row>
    <row r="84" spans="1:10" ht="18">
      <c r="A84" s="2884"/>
      <c r="B84" s="2864"/>
      <c r="C84" s="1949" t="str">
        <f>C44&amp;" | "&amp;F81</f>
        <v>六、期末现金及现金等价物余额 | 上期金额</v>
      </c>
      <c r="D84" s="1946" t="s">
        <v>5827</v>
      </c>
      <c r="E84" s="1950">
        <f>F44</f>
        <v>340266.93</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-25297789.149999999</v>
      </c>
      <c r="F88" s="1951">
        <f>F51</f>
        <v>-22510882.850000001</v>
      </c>
      <c r="G88" s="1857"/>
      <c r="H88" s="1857"/>
      <c r="I88" s="1751"/>
      <c r="J88" s="1664"/>
    </row>
    <row r="89" spans="1:10" ht="18">
      <c r="A89" s="2884"/>
      <c r="B89" s="2864">
        <v>6799</v>
      </c>
      <c r="C89" s="1949" t="str">
        <f>VLOOKUP($B89,Sheet_Items,2,0)</f>
        <v>净利润</v>
      </c>
      <c r="D89" s="1946" t="s">
        <v>5831</v>
      </c>
      <c r="E89" s="1950">
        <f>IS!E30</f>
        <v>-25297789.149999999</v>
      </c>
      <c r="F89" s="1951">
        <f>IS!F30</f>
        <v>-22510882.850000001</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-30666355.469999999</v>
      </c>
      <c r="F93" s="1951">
        <f>F68</f>
        <v>54079648.780000001</v>
      </c>
      <c r="G93" s="1857"/>
      <c r="H93" s="1857"/>
      <c r="I93" s="1751"/>
      <c r="J93" s="1664"/>
    </row>
    <row r="94" spans="1:10" ht="18">
      <c r="A94" s="2884"/>
      <c r="B94" s="2864">
        <v>7099</v>
      </c>
      <c r="C94" s="1949" t="str">
        <f>C17&amp;"（主表）"</f>
        <v>经营活动产生的现金流量净额（主表）</v>
      </c>
      <c r="D94" s="1946" t="s">
        <v>5827</v>
      </c>
      <c r="E94" s="1950">
        <f>E17</f>
        <v>-30666355.469999999</v>
      </c>
      <c r="F94" s="1951">
        <f>F17</f>
        <v>54079648.780000001</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58808.95</v>
      </c>
      <c r="F97" s="1951">
        <f>SUM(F74,F76)</f>
        <v>340266.93</v>
      </c>
      <c r="G97" s="1857"/>
      <c r="H97" s="1857"/>
      <c r="I97" s="1751"/>
      <c r="J97" s="1664"/>
    </row>
    <row r="98" spans="1:10" ht="18">
      <c r="A98" s="2884"/>
      <c r="B98" s="2864">
        <v>7399</v>
      </c>
      <c r="C98" s="1949" t="str">
        <f>C44&amp;"（主表）"</f>
        <v>六、期末现金及现金等价物余额（主表）</v>
      </c>
      <c r="D98" s="1946" t="s">
        <v>5827</v>
      </c>
      <c r="E98" s="1950">
        <f>E44</f>
        <v>58808.95</v>
      </c>
      <c r="F98" s="1951">
        <f>F44</f>
        <v>340266.93</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340266.93</v>
      </c>
      <c r="F101" s="1951">
        <f>SUM(F75,F77)</f>
        <v>713944.14</v>
      </c>
      <c r="G101" s="1857"/>
      <c r="H101" s="1857"/>
      <c r="I101" s="1751"/>
      <c r="J101" s="1664"/>
    </row>
    <row r="102" spans="1:10" ht="18">
      <c r="A102" s="2884"/>
      <c r="B102" s="2864">
        <v>7349</v>
      </c>
      <c r="C102" s="1949" t="str">
        <f>C43&amp;"（主表）"</f>
        <v>加：期初现金及现金等价物余额（主表）</v>
      </c>
      <c r="D102" s="1946" t="s">
        <v>5827</v>
      </c>
      <c r="E102" s="1950">
        <f>E43</f>
        <v>340266.93</v>
      </c>
      <c r="F102" s="1951">
        <f>F43</f>
        <v>713944.14</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-281457.98</v>
      </c>
      <c r="F105" s="1951">
        <f>F78</f>
        <v>-373677.21</v>
      </c>
      <c r="G105" s="1857"/>
      <c r="H105" s="1857"/>
      <c r="I105" s="1751"/>
      <c r="J105" s="1664"/>
    </row>
    <row r="106" spans="1:10" ht="18">
      <c r="A106" s="2884"/>
      <c r="B106" s="2864">
        <v>7348</v>
      </c>
      <c r="C106" s="1949" t="str">
        <f>C42&amp;"（主表）"</f>
        <v>五、现金及现金等价物净增加额（主表）</v>
      </c>
      <c r="D106" s="1946" t="s">
        <v>5827</v>
      </c>
      <c r="E106" s="1950">
        <f>E42</f>
        <v>-281457.98</v>
      </c>
      <c r="F106" s="1951">
        <f>F42</f>
        <v>-373677.21</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3928" priority="16" stopIfTrue="1" operator="notEqual">
      <formula>0</formula>
    </cfRule>
  </conditionalFormatting>
  <conditionalFormatting sqref="C80:D80 D81">
    <cfRule type="expression" dxfId="3927" priority="15" stopIfTrue="1">
      <formula>#REF!=TRUE</formula>
    </cfRule>
  </conditionalFormatting>
  <conditionalFormatting sqref="E109:F109 E95:F95 E90:F90 E99:F99 E103:F103 E107:F107 E85:F85">
    <cfRule type="cellIs" dxfId="3926" priority="14" stopIfTrue="1" operator="notEqual">
      <formula>0</formula>
    </cfRule>
  </conditionalFormatting>
  <conditionalFormatting sqref="C80:D80 D81">
    <cfRule type="expression" dxfId="3925" priority="13" stopIfTrue="1">
      <formula>#REF!=TRUE</formula>
    </cfRule>
  </conditionalFormatting>
  <conditionalFormatting sqref="E109:F109 E95:F95 E90:F90 E99:F99 E103:F103 E107:F107 E85:F85">
    <cfRule type="cellIs" dxfId="3924" priority="12" stopIfTrue="1" operator="notEqual">
      <formula>0</formula>
    </cfRule>
  </conditionalFormatting>
  <conditionalFormatting sqref="C80:D80 D81">
    <cfRule type="expression" dxfId="3923" priority="11" stopIfTrue="1">
      <formula>#REF!=TRUE</formula>
    </cfRule>
  </conditionalFormatting>
  <conditionalFormatting sqref="E109:F109 E95:F95 E90:F90 E99:F99 E103:F103 E107:F107 E85:F85">
    <cfRule type="cellIs" dxfId="3922" priority="10" stopIfTrue="1" operator="notEqual">
      <formula>0</formula>
    </cfRule>
  </conditionalFormatting>
  <conditionalFormatting sqref="C80:D80 D81">
    <cfRule type="expression" dxfId="3921" priority="9" stopIfTrue="1">
      <formula>#REF!=TRUE</formula>
    </cfRule>
  </conditionalFormatting>
  <conditionalFormatting sqref="E109:F109 E95:F95 E90:F90 E99:F99 E103:F103 E107:F107 E85:F85">
    <cfRule type="cellIs" dxfId="3920" priority="8" stopIfTrue="1" operator="notEqual">
      <formula>0</formula>
    </cfRule>
  </conditionalFormatting>
  <conditionalFormatting sqref="C80:D80 D81">
    <cfRule type="expression" dxfId="3919" priority="7" stopIfTrue="1">
      <formula>#REF!=TRUE</formula>
    </cfRule>
  </conditionalFormatting>
  <conditionalFormatting sqref="E109:F109 E95:F95 E90:F90 E99:F99 E103:F103 E107:F107 E85:F85">
    <cfRule type="cellIs" dxfId="3918" priority="6" stopIfTrue="1" operator="notEqual">
      <formula>0</formula>
    </cfRule>
  </conditionalFormatting>
  <conditionalFormatting sqref="C80:D80 D81">
    <cfRule type="expression" dxfId="3917" priority="5" stopIfTrue="1">
      <formula>#REF!=TRUE</formula>
    </cfRule>
  </conditionalFormatting>
  <conditionalFormatting sqref="E109:F109 E95:F95 E90:F90 E99:F99 E103:F103 E107:F107 E85:F85">
    <cfRule type="cellIs" dxfId="3916" priority="4" stopIfTrue="1" operator="notEqual">
      <formula>0</formula>
    </cfRule>
  </conditionalFormatting>
  <conditionalFormatting sqref="C80:D80 D81">
    <cfRule type="expression" dxfId="3915" priority="3" stopIfTrue="1">
      <formula>#REF!=TRUE</formula>
    </cfRule>
  </conditionalFormatting>
  <conditionalFormatting sqref="E109:F109 E95:F95 E90:F90 E99:F99 E103:F103 E107:F107 E85:F85">
    <cfRule type="cellIs" dxfId="3914" priority="2" stopIfTrue="1" operator="notEqual">
      <formula>0</formula>
    </cfRule>
  </conditionalFormatting>
  <conditionalFormatting sqref="C80:D80 D81">
    <cfRule type="expression" dxfId="3913"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H28" workbookViewId="0">
      <selection activeCell="N45" sqref="N45"/>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编制单位：华软金信科技（北京）有限公司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119" t="str">
        <f>Lead!$F$7</f>
        <v>2019年度</v>
      </c>
      <c r="E6" s="3119"/>
      <c r="F6" s="3119"/>
      <c r="G6" s="3119"/>
      <c r="H6" s="3119"/>
      <c r="I6" s="3119"/>
      <c r="J6" s="3119"/>
      <c r="K6" s="3119"/>
      <c r="L6" s="3119"/>
      <c r="M6" s="3119"/>
      <c r="N6" s="3119"/>
      <c r="O6" s="3119"/>
      <c r="P6" s="3120"/>
      <c r="Q6" s="3121" t="str">
        <f>Lead!$F$8</f>
        <v>2018年度</v>
      </c>
      <c r="R6" s="3119"/>
      <c r="S6" s="3119"/>
      <c r="T6" s="3119"/>
      <c r="U6" s="3119"/>
      <c r="V6" s="3119"/>
      <c r="W6" s="3119"/>
      <c r="X6" s="3119"/>
      <c r="Y6" s="3119"/>
      <c r="Z6" s="3119"/>
      <c r="AA6" s="3119"/>
      <c r="AB6" s="3119"/>
      <c r="AC6" s="3120"/>
      <c r="AD6" s="1803"/>
      <c r="AE6" s="1803"/>
      <c r="AF6" s="1803"/>
      <c r="AG6" s="1803"/>
    </row>
    <row r="7" spans="1:33" ht="18" customHeight="1">
      <c r="A7" s="2835" t="s">
        <v>2556</v>
      </c>
      <c r="B7" s="2835" t="s">
        <v>2558</v>
      </c>
      <c r="C7" s="2897" t="s">
        <v>5134</v>
      </c>
      <c r="D7" s="3122" t="s">
        <v>5851</v>
      </c>
      <c r="E7" s="3123" t="s">
        <v>5795</v>
      </c>
      <c r="F7" s="3123"/>
      <c r="G7" s="3123"/>
      <c r="H7" s="3118" t="s">
        <v>592</v>
      </c>
      <c r="I7" s="3118" t="s">
        <v>682</v>
      </c>
      <c r="J7" s="3118" t="s">
        <v>5796</v>
      </c>
      <c r="K7" s="3118" t="s">
        <v>627</v>
      </c>
      <c r="L7" s="3118" t="s">
        <v>602</v>
      </c>
      <c r="M7" s="3116" t="s">
        <v>5873</v>
      </c>
      <c r="N7" s="3118" t="s">
        <v>611</v>
      </c>
      <c r="O7" s="3118" t="s">
        <v>932</v>
      </c>
      <c r="P7" s="3124" t="s">
        <v>2614</v>
      </c>
      <c r="Q7" s="3125" t="s">
        <v>5851</v>
      </c>
      <c r="R7" s="3123" t="s">
        <v>5795</v>
      </c>
      <c r="S7" s="3123"/>
      <c r="T7" s="3123"/>
      <c r="U7" s="3118" t="s">
        <v>592</v>
      </c>
      <c r="V7" s="3118" t="s">
        <v>682</v>
      </c>
      <c r="W7" s="3118" t="s">
        <v>5796</v>
      </c>
      <c r="X7" s="3118" t="s">
        <v>627</v>
      </c>
      <c r="Y7" s="3118" t="s">
        <v>602</v>
      </c>
      <c r="Z7" s="3116" t="s">
        <v>5873</v>
      </c>
      <c r="AA7" s="3118" t="s">
        <v>611</v>
      </c>
      <c r="AB7" s="3118" t="s">
        <v>932</v>
      </c>
      <c r="AC7" s="3124" t="s">
        <v>5850</v>
      </c>
      <c r="AD7" s="1806"/>
      <c r="AE7" s="1803"/>
      <c r="AF7" s="1803"/>
      <c r="AG7" s="1803"/>
    </row>
    <row r="8" spans="1:33" ht="18" customHeight="1">
      <c r="A8" s="2835"/>
      <c r="B8" s="2835"/>
      <c r="C8" s="2111" t="s">
        <v>5761</v>
      </c>
      <c r="D8" s="3122"/>
      <c r="E8" s="2094" t="s">
        <v>2662</v>
      </c>
      <c r="F8" s="2094" t="s">
        <v>2663</v>
      </c>
      <c r="G8" s="2094" t="s">
        <v>932</v>
      </c>
      <c r="H8" s="3118"/>
      <c r="I8" s="3118"/>
      <c r="J8" s="3118"/>
      <c r="K8" s="3118"/>
      <c r="L8" s="3118"/>
      <c r="M8" s="3117"/>
      <c r="N8" s="3118"/>
      <c r="O8" s="3118"/>
      <c r="P8" s="3124"/>
      <c r="Q8" s="3125"/>
      <c r="R8" s="2094" t="s">
        <v>2662</v>
      </c>
      <c r="S8" s="2094" t="s">
        <v>2663</v>
      </c>
      <c r="T8" s="2094" t="s">
        <v>932</v>
      </c>
      <c r="U8" s="3118"/>
      <c r="V8" s="3118"/>
      <c r="W8" s="3118"/>
      <c r="X8" s="3118"/>
      <c r="Y8" s="3118"/>
      <c r="Z8" s="3117"/>
      <c r="AA8" s="3118"/>
      <c r="AB8" s="3118"/>
      <c r="AC8" s="3124"/>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0</v>
      </c>
      <c r="M9" s="2096">
        <f t="shared" si="3"/>
        <v>0</v>
      </c>
      <c r="N9" s="2096">
        <f t="shared" si="3"/>
        <v>0</v>
      </c>
      <c r="O9" s="2096">
        <f t="shared" si="3"/>
        <v>0</v>
      </c>
      <c r="P9" s="2114">
        <f t="shared" ref="P9:P35" si="4">SUM(D9:H9,-I9,J9:O9)</f>
        <v>0</v>
      </c>
      <c r="Q9" s="2112">
        <f>IF(ISERROR(VLOOKUP(VALUE(Q$2&amp;$B9),Sheet_Trialbal,10,0)),0,VLOOKUP(VALUE(Q$2&amp;$B9),Sheet_Trialbal,10,0))</f>
        <v>100000000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0</v>
      </c>
      <c r="Z9" s="2097"/>
      <c r="AA9" s="2097">
        <f t="shared" si="7"/>
        <v>-24720001.289999999</v>
      </c>
      <c r="AB9" s="2097">
        <f t="shared" si="7"/>
        <v>0</v>
      </c>
      <c r="AC9" s="2098">
        <f t="shared" ref="AC9:AC35" ca="1" si="8">SUM(Q9:U9,-V9,W9:AB9)</f>
        <v>75279998.709999993</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0</v>
      </c>
      <c r="O10" s="2096">
        <f t="shared" si="3"/>
        <v>0</v>
      </c>
      <c r="P10" s="2114">
        <f t="shared" si="4"/>
        <v>0</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0</v>
      </c>
      <c r="E13" s="2096">
        <f t="shared" si="9"/>
        <v>0</v>
      </c>
      <c r="F13" s="2096">
        <f t="shared" si="9"/>
        <v>0</v>
      </c>
      <c r="G13" s="2096">
        <f t="shared" si="9"/>
        <v>0</v>
      </c>
      <c r="H13" s="2096">
        <f t="shared" si="9"/>
        <v>0</v>
      </c>
      <c r="I13" s="2096">
        <f t="shared" si="9"/>
        <v>0</v>
      </c>
      <c r="J13" s="2096">
        <f t="shared" si="9"/>
        <v>0</v>
      </c>
      <c r="K13" s="2096">
        <f t="shared" si="9"/>
        <v>0</v>
      </c>
      <c r="L13" s="2096">
        <f t="shared" si="9"/>
        <v>0</v>
      </c>
      <c r="M13" s="2096">
        <f t="shared" ref="M13" si="10">SUM(M9:M12)</f>
        <v>0</v>
      </c>
      <c r="N13" s="2096">
        <f t="shared" si="9"/>
        <v>0</v>
      </c>
      <c r="O13" s="2096">
        <f t="shared" si="9"/>
        <v>0</v>
      </c>
      <c r="P13" s="2114">
        <f t="shared" si="4"/>
        <v>0</v>
      </c>
      <c r="Q13" s="2112">
        <f t="shared" ref="Q13:AB13" si="11">SUM(Q9:Q12)</f>
        <v>100000000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0</v>
      </c>
      <c r="Z13" s="2097"/>
      <c r="AA13" s="2097">
        <f t="shared" si="11"/>
        <v>-24720001.289999999</v>
      </c>
      <c r="AB13" s="2097">
        <f t="shared" si="11"/>
        <v>0</v>
      </c>
      <c r="AC13" s="2098">
        <f t="shared" ca="1" si="8"/>
        <v>75279998.709999993</v>
      </c>
      <c r="AD13" s="1803"/>
      <c r="AE13" s="1803"/>
      <c r="AF13" s="1803"/>
      <c r="AG13" s="1803"/>
    </row>
    <row r="14" spans="1:33" ht="18">
      <c r="A14" s="2836" t="s">
        <v>287</v>
      </c>
      <c r="B14" s="2837" t="s">
        <v>2621</v>
      </c>
      <c r="C14" s="2095" t="str">
        <f t="shared" si="0"/>
        <v>三、本年增减变动金额（减少以“－”号填列）</v>
      </c>
      <c r="D14" s="2096">
        <f t="shared" ref="D14:O14" si="12">SUM(D15,D16,D21,D25,D32,D35)</f>
        <v>0</v>
      </c>
      <c r="E14" s="2096">
        <f t="shared" si="12"/>
        <v>0</v>
      </c>
      <c r="F14" s="2096">
        <f t="shared" si="12"/>
        <v>0</v>
      </c>
      <c r="G14" s="2096">
        <f t="shared" si="12"/>
        <v>0</v>
      </c>
      <c r="H14" s="2096">
        <f t="shared" si="12"/>
        <v>0</v>
      </c>
      <c r="I14" s="2096">
        <f t="shared" si="12"/>
        <v>0</v>
      </c>
      <c r="J14" s="2096">
        <f t="shared" si="12"/>
        <v>0</v>
      </c>
      <c r="K14" s="2096">
        <f t="shared" si="12"/>
        <v>0</v>
      </c>
      <c r="L14" s="2096">
        <f t="shared" si="12"/>
        <v>0</v>
      </c>
      <c r="M14" s="2096">
        <f t="shared" ref="M14" si="13">SUM(M15,M16,M21,M25,M32,M35)</f>
        <v>0</v>
      </c>
      <c r="N14" s="2096">
        <f t="shared" si="12"/>
        <v>-25297789.149999999</v>
      </c>
      <c r="O14" s="2096">
        <f t="shared" si="12"/>
        <v>0</v>
      </c>
      <c r="P14" s="2114">
        <f t="shared" si="4"/>
        <v>-25297789.149999999</v>
      </c>
      <c r="Q14" s="2112">
        <f t="shared" ref="Q14:AB14" si="14">SUM(Q15,Q16,Q21,Q25,Q32,Q35)</f>
        <v>0</v>
      </c>
      <c r="R14" s="2097">
        <f t="shared" ca="1" si="14"/>
        <v>0</v>
      </c>
      <c r="S14" s="2097">
        <f t="shared" ca="1" si="14"/>
        <v>0</v>
      </c>
      <c r="T14" s="2097">
        <f t="shared" ca="1" si="14"/>
        <v>0</v>
      </c>
      <c r="U14" s="2097">
        <f t="shared" si="14"/>
        <v>0</v>
      </c>
      <c r="V14" s="2097">
        <f t="shared" si="14"/>
        <v>0</v>
      </c>
      <c r="W14" s="2097">
        <f t="shared" ca="1" si="14"/>
        <v>0</v>
      </c>
      <c r="X14" s="2097">
        <f t="shared" si="14"/>
        <v>0</v>
      </c>
      <c r="Y14" s="2097">
        <f t="shared" si="14"/>
        <v>0</v>
      </c>
      <c r="Z14" s="2097"/>
      <c r="AA14" s="2097">
        <f t="shared" si="14"/>
        <v>-22510882.850000001</v>
      </c>
      <c r="AB14" s="2097">
        <f t="shared" si="14"/>
        <v>0</v>
      </c>
      <c r="AC14" s="2098">
        <f t="shared" ca="1" si="8"/>
        <v>-22510882.850000001</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-25297789.149999999</v>
      </c>
      <c r="O15" s="2096">
        <f>IF(ISERROR(VLOOKUP(VALUE(O$2&amp;$B15),Sheet_Trialbal,6,0)),0,VLOOKUP(VALUE(O$2&amp;$B15),Sheet_Trialbal,6,0))</f>
        <v>0</v>
      </c>
      <c r="P15" s="2114">
        <f t="shared" si="4"/>
        <v>-25297789.149999999</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-22510882.850000001</v>
      </c>
      <c r="AB15" s="2097">
        <f>IF(ISERROR(VLOOKUP(VALUE(AB$2&amp;$B15),Sheet_Trialbal,10,0)),0,VLOOKUP(VALUE(AB$2&amp;$B15),Sheet_Trialbal,10,0))</f>
        <v>0</v>
      </c>
      <c r="AC15" s="2098">
        <f t="shared" ca="1" si="8"/>
        <v>-22510882.850000001</v>
      </c>
      <c r="AD15" s="1803"/>
      <c r="AE15" s="1803"/>
      <c r="AF15" s="1803"/>
      <c r="AG15" s="1803"/>
    </row>
    <row r="16" spans="1:33" ht="21.95" customHeight="1">
      <c r="A16" s="2836" t="s">
        <v>287</v>
      </c>
      <c r="B16" s="2837" t="s">
        <v>2625</v>
      </c>
      <c r="C16" s="2100" t="str">
        <f>VLOOKUP(VALUE($P$2&amp;$B16),Sheet_Items,6,0)</f>
        <v>（二）所有者投入和减少资本</v>
      </c>
      <c r="D16" s="2096">
        <f t="shared" ref="D16:O16" si="15">SUM(D17:D20)</f>
        <v>0</v>
      </c>
      <c r="E16" s="2096">
        <f t="shared" si="15"/>
        <v>0</v>
      </c>
      <c r="F16" s="2096">
        <f t="shared" si="15"/>
        <v>0</v>
      </c>
      <c r="G16" s="2096">
        <f t="shared" si="15"/>
        <v>0</v>
      </c>
      <c r="H16" s="2096">
        <f t="shared" si="15"/>
        <v>0</v>
      </c>
      <c r="I16" s="2096">
        <f t="shared" si="15"/>
        <v>0</v>
      </c>
      <c r="J16" s="2096">
        <f t="shared" si="15"/>
        <v>0</v>
      </c>
      <c r="K16" s="2096">
        <f t="shared" si="15"/>
        <v>0</v>
      </c>
      <c r="L16" s="2096">
        <f t="shared" si="15"/>
        <v>0</v>
      </c>
      <c r="M16" s="2096">
        <f t="shared" ref="M16" si="16">SUM(M17:M20)</f>
        <v>0</v>
      </c>
      <c r="N16" s="2096">
        <f t="shared" si="15"/>
        <v>0</v>
      </c>
      <c r="O16" s="2096">
        <f t="shared" si="15"/>
        <v>0</v>
      </c>
      <c r="P16" s="2114">
        <f t="shared" si="4"/>
        <v>0</v>
      </c>
      <c r="Q16" s="2112">
        <f t="shared" ref="Q16:AB16" si="17">SUM(Q17:Q20)</f>
        <v>0</v>
      </c>
      <c r="R16" s="2097">
        <f t="shared" ca="1" si="17"/>
        <v>0</v>
      </c>
      <c r="S16" s="2097">
        <f t="shared" ca="1" si="17"/>
        <v>0</v>
      </c>
      <c r="T16" s="2097">
        <f t="shared" ca="1" si="17"/>
        <v>0</v>
      </c>
      <c r="U16" s="2097">
        <f t="shared" si="17"/>
        <v>0</v>
      </c>
      <c r="V16" s="2097">
        <f t="shared" si="17"/>
        <v>0</v>
      </c>
      <c r="W16" s="2097">
        <f t="shared" ca="1" si="17"/>
        <v>0</v>
      </c>
      <c r="X16" s="2097">
        <f t="shared" si="17"/>
        <v>0</v>
      </c>
      <c r="Y16" s="2097">
        <f t="shared" si="17"/>
        <v>0</v>
      </c>
      <c r="Z16" s="2097">
        <f t="shared" ref="Z16" si="18">SUM(Z17:Z20)</f>
        <v>0</v>
      </c>
      <c r="AA16" s="2097">
        <f t="shared" si="17"/>
        <v>0</v>
      </c>
      <c r="AB16" s="2097">
        <f t="shared" si="17"/>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19">IF(ISERROR(VLOOKUP(E$2&amp;$B17,Sheet_Trialbal,6,0)),0,VLOOKUP(E$2&amp;$B17,Sheet_Trialbal,6,0))</f>
        <v>0</v>
      </c>
      <c r="F17" s="2096">
        <f t="shared" si="19"/>
        <v>0</v>
      </c>
      <c r="G17" s="2096">
        <f t="shared" si="19"/>
        <v>0</v>
      </c>
      <c r="H17" s="2096">
        <f t="shared" ref="H17:I20" si="20">IF(ISERROR(VLOOKUP(VALUE(H$2&amp;$B17),Sheet_Trialbal,6,0)),0,VLOOKUP(VALUE(H$2&amp;$B17),Sheet_Trialbal,6,0))</f>
        <v>0</v>
      </c>
      <c r="I17" s="2096">
        <f t="shared" si="20"/>
        <v>0</v>
      </c>
      <c r="J17" s="2096">
        <f>IF(ISERROR(VLOOKUP(J$2&amp;$B17,Sheet_Trialbal,6,0)),0,VLOOKUP(J$2&amp;$B17,Sheet_Trialbal,6,0))</f>
        <v>0</v>
      </c>
      <c r="K17" s="2096">
        <f t="shared" ref="K17:O20" si="21">IF(ISERROR(VLOOKUP(VALUE(K$2&amp;$B17),Sheet_Trialbal,6,0)),0,VLOOKUP(VALUE(K$2&amp;$B17),Sheet_Trialbal,6,0))</f>
        <v>0</v>
      </c>
      <c r="L17" s="2096">
        <f t="shared" si="21"/>
        <v>0</v>
      </c>
      <c r="M17" s="2096">
        <f t="shared" si="21"/>
        <v>0</v>
      </c>
      <c r="N17" s="2096">
        <f t="shared" si="21"/>
        <v>0</v>
      </c>
      <c r="O17" s="2096">
        <f t="shared" si="21"/>
        <v>0</v>
      </c>
      <c r="P17" s="2114">
        <f t="shared" si="4"/>
        <v>0</v>
      </c>
      <c r="Q17" s="2112">
        <f>IF(ISERROR(VLOOKUP(VALUE(Q$2&amp;$B17),Sheet_Trialbal,10,0)),0,VLOOKUP(VALUE(Q$2&amp;$B17),Sheet_Trialbal,10,0))</f>
        <v>0</v>
      </c>
      <c r="R17" s="2097">
        <f t="shared" ref="R17:T20" ca="1" si="22">IF(ISERROR(VLOOKUP(R$2&amp;$B17,Sheet_Trialbal,10,0)),0,VLOOKUP(R$2&amp;$B17,Sheet_Trialbal,10,0))</f>
        <v>0</v>
      </c>
      <c r="S17" s="2097">
        <f t="shared" ca="1" si="22"/>
        <v>0</v>
      </c>
      <c r="T17" s="2097">
        <f t="shared" ca="1" si="22"/>
        <v>0</v>
      </c>
      <c r="U17" s="2097">
        <f t="shared" ref="U17:V20" si="23">IF(ISERROR(VLOOKUP(VALUE(U$2&amp;$B17),Sheet_Trialbal,10,0)),0,VLOOKUP(VALUE(U$2&amp;$B17),Sheet_Trialbal,10,0))</f>
        <v>0</v>
      </c>
      <c r="V17" s="2097">
        <f t="shared" si="23"/>
        <v>0</v>
      </c>
      <c r="W17" s="2097">
        <f ca="1">IF(ISERROR(VLOOKUP(W$2&amp;$B17,Sheet_Trialbal,10,0)),0,VLOOKUP(W$2&amp;$B17,Sheet_Trialbal,10,0))</f>
        <v>0</v>
      </c>
      <c r="X17" s="2097">
        <f t="shared" ref="X17:AB20" si="24">IF(ISERROR(VLOOKUP(VALUE(X$2&amp;$B17),Sheet_Trialbal,10,0)),0,VLOOKUP(VALUE(X$2&amp;$B17),Sheet_Trialbal,10,0))</f>
        <v>0</v>
      </c>
      <c r="Y17" s="2097">
        <f t="shared" si="24"/>
        <v>0</v>
      </c>
      <c r="Z17" s="2097">
        <f t="shared" si="24"/>
        <v>0</v>
      </c>
      <c r="AA17" s="2097">
        <f t="shared" si="24"/>
        <v>0</v>
      </c>
      <c r="AB17" s="2097">
        <f t="shared" si="24"/>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19"/>
        <v>0</v>
      </c>
      <c r="F18" s="2096">
        <f t="shared" si="19"/>
        <v>0</v>
      </c>
      <c r="G18" s="2096">
        <f t="shared" si="19"/>
        <v>0</v>
      </c>
      <c r="H18" s="2096">
        <f t="shared" si="20"/>
        <v>0</v>
      </c>
      <c r="I18" s="2096">
        <f t="shared" si="20"/>
        <v>0</v>
      </c>
      <c r="J18" s="2096">
        <f>IF(ISERROR(VLOOKUP(J$2&amp;$B18,Sheet_Trialbal,6,0)),0,VLOOKUP(J$2&amp;$B18,Sheet_Trialbal,6,0))</f>
        <v>0</v>
      </c>
      <c r="K18" s="2096">
        <f t="shared" si="21"/>
        <v>0</v>
      </c>
      <c r="L18" s="2096">
        <f t="shared" si="21"/>
        <v>0</v>
      </c>
      <c r="M18" s="2096">
        <f t="shared" si="21"/>
        <v>0</v>
      </c>
      <c r="N18" s="2096">
        <f t="shared" si="21"/>
        <v>0</v>
      </c>
      <c r="O18" s="2096">
        <f t="shared" si="21"/>
        <v>0</v>
      </c>
      <c r="P18" s="2114">
        <f t="shared" si="4"/>
        <v>0</v>
      </c>
      <c r="Q18" s="2112">
        <f>IF(ISERROR(VLOOKUP(VALUE(Q$2&amp;$B18),Sheet_Trialbal,10,0)),0,VLOOKUP(VALUE(Q$2&amp;$B18),Sheet_Trialbal,10,0))</f>
        <v>0</v>
      </c>
      <c r="R18" s="2097">
        <f t="shared" ca="1" si="22"/>
        <v>0</v>
      </c>
      <c r="S18" s="2097">
        <f t="shared" ca="1" si="22"/>
        <v>0</v>
      </c>
      <c r="T18" s="2097">
        <f t="shared" ca="1" si="22"/>
        <v>0</v>
      </c>
      <c r="U18" s="2097">
        <f t="shared" si="23"/>
        <v>0</v>
      </c>
      <c r="V18" s="2097">
        <f t="shared" si="23"/>
        <v>0</v>
      </c>
      <c r="W18" s="2097">
        <f ca="1">IF(ISERROR(VLOOKUP(W$2&amp;$B18,Sheet_Trialbal,10,0)),0,VLOOKUP(W$2&amp;$B18,Sheet_Trialbal,10,0))</f>
        <v>0</v>
      </c>
      <c r="X18" s="2097">
        <f t="shared" si="24"/>
        <v>0</v>
      </c>
      <c r="Y18" s="2097">
        <f t="shared" si="24"/>
        <v>0</v>
      </c>
      <c r="Z18" s="2097">
        <f t="shared" si="24"/>
        <v>0</v>
      </c>
      <c r="AA18" s="2097">
        <f t="shared" si="24"/>
        <v>0</v>
      </c>
      <c r="AB18" s="2097">
        <f t="shared" si="24"/>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19"/>
        <v>0</v>
      </c>
      <c r="F19" s="2096">
        <f t="shared" si="19"/>
        <v>0</v>
      </c>
      <c r="G19" s="2096">
        <f t="shared" si="19"/>
        <v>0</v>
      </c>
      <c r="H19" s="2096">
        <f t="shared" si="20"/>
        <v>0</v>
      </c>
      <c r="I19" s="2096">
        <f t="shared" si="20"/>
        <v>0</v>
      </c>
      <c r="J19" s="2096">
        <f>IF(ISERROR(VLOOKUP(J$2&amp;$B19,Sheet_Trialbal,6,0)),0,VLOOKUP(J$2&amp;$B19,Sheet_Trialbal,6,0))</f>
        <v>0</v>
      </c>
      <c r="K19" s="2096">
        <f t="shared" si="21"/>
        <v>0</v>
      </c>
      <c r="L19" s="2096">
        <f t="shared" si="21"/>
        <v>0</v>
      </c>
      <c r="M19" s="2096">
        <f t="shared" si="21"/>
        <v>0</v>
      </c>
      <c r="N19" s="2096">
        <f t="shared" si="21"/>
        <v>0</v>
      </c>
      <c r="O19" s="2096">
        <f t="shared" si="21"/>
        <v>0</v>
      </c>
      <c r="P19" s="2114">
        <f t="shared" si="4"/>
        <v>0</v>
      </c>
      <c r="Q19" s="2112">
        <f>IF(ISERROR(VLOOKUP(VALUE(Q$2&amp;$B19),Sheet_Trialbal,10,0)),0,VLOOKUP(VALUE(Q$2&amp;$B19),Sheet_Trialbal,10,0))</f>
        <v>0</v>
      </c>
      <c r="R19" s="2097">
        <f t="shared" ca="1" si="22"/>
        <v>0</v>
      </c>
      <c r="S19" s="2097">
        <f t="shared" ca="1" si="22"/>
        <v>0</v>
      </c>
      <c r="T19" s="2097">
        <f t="shared" ca="1" si="22"/>
        <v>0</v>
      </c>
      <c r="U19" s="2097">
        <f t="shared" si="23"/>
        <v>0</v>
      </c>
      <c r="V19" s="2097">
        <f t="shared" si="23"/>
        <v>0</v>
      </c>
      <c r="W19" s="2097">
        <f ca="1">IF(ISERROR(VLOOKUP(W$2&amp;$B19,Sheet_Trialbal,10,0)),0,VLOOKUP(W$2&amp;$B19,Sheet_Trialbal,10,0))</f>
        <v>0</v>
      </c>
      <c r="X19" s="2097">
        <f t="shared" si="24"/>
        <v>0</v>
      </c>
      <c r="Y19" s="2097">
        <f t="shared" si="24"/>
        <v>0</v>
      </c>
      <c r="Z19" s="2097">
        <f t="shared" si="24"/>
        <v>0</v>
      </c>
      <c r="AA19" s="2097">
        <f t="shared" si="24"/>
        <v>0</v>
      </c>
      <c r="AB19" s="2097">
        <f t="shared" si="24"/>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19"/>
        <v>0</v>
      </c>
      <c r="F20" s="2096">
        <f t="shared" si="19"/>
        <v>0</v>
      </c>
      <c r="G20" s="2096">
        <f t="shared" si="19"/>
        <v>0</v>
      </c>
      <c r="H20" s="2096">
        <f t="shared" si="20"/>
        <v>0</v>
      </c>
      <c r="I20" s="2096">
        <f t="shared" si="20"/>
        <v>0</v>
      </c>
      <c r="J20" s="2096">
        <f>IF(ISERROR(VLOOKUP(J$2&amp;$B20,Sheet_Trialbal,6,0)),0,VLOOKUP(J$2&amp;$B20,Sheet_Trialbal,6,0))</f>
        <v>0</v>
      </c>
      <c r="K20" s="2096">
        <f t="shared" si="21"/>
        <v>0</v>
      </c>
      <c r="L20" s="2096">
        <f t="shared" si="21"/>
        <v>0</v>
      </c>
      <c r="M20" s="2096">
        <f t="shared" si="21"/>
        <v>0</v>
      </c>
      <c r="N20" s="2096">
        <f t="shared" si="21"/>
        <v>0</v>
      </c>
      <c r="O20" s="2096">
        <f t="shared" si="21"/>
        <v>0</v>
      </c>
      <c r="P20" s="2114">
        <f t="shared" si="4"/>
        <v>0</v>
      </c>
      <c r="Q20" s="2112">
        <f>IF(ISERROR(VLOOKUP(VALUE(Q$2&amp;$B20),Sheet_Trialbal,10,0)),0,VLOOKUP(VALUE(Q$2&amp;$B20),Sheet_Trialbal,10,0))</f>
        <v>0</v>
      </c>
      <c r="R20" s="2097">
        <f t="shared" ca="1" si="22"/>
        <v>0</v>
      </c>
      <c r="S20" s="2097">
        <f t="shared" ca="1" si="22"/>
        <v>0</v>
      </c>
      <c r="T20" s="2097">
        <f t="shared" ca="1" si="22"/>
        <v>0</v>
      </c>
      <c r="U20" s="2097">
        <f t="shared" si="23"/>
        <v>0</v>
      </c>
      <c r="V20" s="2097">
        <f t="shared" si="23"/>
        <v>0</v>
      </c>
      <c r="W20" s="2097">
        <f ca="1">IF(ISERROR(VLOOKUP(W$2&amp;$B20,Sheet_Trialbal,10,0)),0,VLOOKUP(W$2&amp;$B20,Sheet_Trialbal,10,0))</f>
        <v>0</v>
      </c>
      <c r="X20" s="2097">
        <f t="shared" si="24"/>
        <v>0</v>
      </c>
      <c r="Y20" s="2097">
        <f t="shared" si="24"/>
        <v>0</v>
      </c>
      <c r="Z20" s="2097">
        <f t="shared" si="24"/>
        <v>0</v>
      </c>
      <c r="AA20" s="2097">
        <f t="shared" si="24"/>
        <v>0</v>
      </c>
      <c r="AB20" s="2097">
        <f t="shared" si="24"/>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5">SUM(D22:D24)</f>
        <v>0</v>
      </c>
      <c r="E21" s="2096">
        <f t="shared" si="25"/>
        <v>0</v>
      </c>
      <c r="F21" s="2096">
        <f t="shared" si="25"/>
        <v>0</v>
      </c>
      <c r="G21" s="2096">
        <f t="shared" si="25"/>
        <v>0</v>
      </c>
      <c r="H21" s="2096">
        <f t="shared" si="25"/>
        <v>0</v>
      </c>
      <c r="I21" s="2096">
        <f t="shared" si="25"/>
        <v>0</v>
      </c>
      <c r="J21" s="2096">
        <f t="shared" si="25"/>
        <v>0</v>
      </c>
      <c r="K21" s="2096">
        <f t="shared" si="25"/>
        <v>0</v>
      </c>
      <c r="L21" s="2096">
        <f t="shared" si="25"/>
        <v>0</v>
      </c>
      <c r="M21" s="2096">
        <f t="shared" ref="M21" si="26">SUM(M22:M24)</f>
        <v>0</v>
      </c>
      <c r="N21" s="2096">
        <f t="shared" si="25"/>
        <v>0</v>
      </c>
      <c r="O21" s="2096">
        <f t="shared" si="25"/>
        <v>0</v>
      </c>
      <c r="P21" s="2114">
        <f t="shared" si="4"/>
        <v>0</v>
      </c>
      <c r="Q21" s="2112">
        <f t="shared" ref="Q21:AB21" si="27">SUM(Q22:Q24)</f>
        <v>0</v>
      </c>
      <c r="R21" s="2097">
        <f t="shared" ca="1" si="27"/>
        <v>0</v>
      </c>
      <c r="S21" s="2097">
        <f t="shared" ca="1" si="27"/>
        <v>0</v>
      </c>
      <c r="T21" s="2097">
        <f t="shared" ca="1" si="27"/>
        <v>0</v>
      </c>
      <c r="U21" s="2097">
        <f t="shared" si="27"/>
        <v>0</v>
      </c>
      <c r="V21" s="2097">
        <f t="shared" si="27"/>
        <v>0</v>
      </c>
      <c r="W21" s="2097">
        <f t="shared" ca="1" si="27"/>
        <v>0</v>
      </c>
      <c r="X21" s="2097">
        <f t="shared" si="27"/>
        <v>0</v>
      </c>
      <c r="Y21" s="2097">
        <f t="shared" si="27"/>
        <v>0</v>
      </c>
      <c r="Z21" s="2097">
        <f t="shared" ref="Z21" si="28">SUM(Z22:Z24)</f>
        <v>0</v>
      </c>
      <c r="AA21" s="2097">
        <f t="shared" si="27"/>
        <v>0</v>
      </c>
      <c r="AB21" s="2097">
        <f t="shared" si="27"/>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29">IF(ISERROR(VLOOKUP(E$2&amp;$B22,Sheet_Trialbal,6,0)),0,VLOOKUP(E$2&amp;$B22,Sheet_Trialbal,6,0))</f>
        <v>0</v>
      </c>
      <c r="F22" s="2096">
        <f t="shared" si="29"/>
        <v>0</v>
      </c>
      <c r="G22" s="2096">
        <f t="shared" si="29"/>
        <v>0</v>
      </c>
      <c r="H22" s="2096">
        <f t="shared" ref="H22:I24" si="30">IF(ISERROR(VLOOKUP(VALUE(H$2&amp;$B22),Sheet_Trialbal,6,0)),0,VLOOKUP(VALUE(H$2&amp;$B22),Sheet_Trialbal,6,0))</f>
        <v>0</v>
      </c>
      <c r="I22" s="2096">
        <f t="shared" si="30"/>
        <v>0</v>
      </c>
      <c r="J22" s="2096">
        <f>IF(ISERROR(VLOOKUP(J$2&amp;$B22,Sheet_Trialbal,6,0)),0,VLOOKUP(J$2&amp;$B22,Sheet_Trialbal,6,0))</f>
        <v>0</v>
      </c>
      <c r="K22" s="2096">
        <f t="shared" ref="K22:O24" si="31">IF(ISERROR(VLOOKUP(VALUE(K$2&amp;$B22),Sheet_Trialbal,6,0)),0,VLOOKUP(VALUE(K$2&amp;$B22),Sheet_Trialbal,6,0))</f>
        <v>0</v>
      </c>
      <c r="L22" s="2096">
        <f t="shared" si="31"/>
        <v>0</v>
      </c>
      <c r="M22" s="2096">
        <f t="shared" si="31"/>
        <v>0</v>
      </c>
      <c r="N22" s="2096">
        <f t="shared" si="31"/>
        <v>0</v>
      </c>
      <c r="O22" s="2096">
        <f t="shared" si="31"/>
        <v>0</v>
      </c>
      <c r="P22" s="2114">
        <f t="shared" si="4"/>
        <v>0</v>
      </c>
      <c r="Q22" s="2112">
        <f>IF(ISERROR(VLOOKUP(VALUE(Q$2&amp;$B22),Sheet_Trialbal,10,0)),0,VLOOKUP(VALUE(Q$2&amp;$B22),Sheet_Trialbal,10,0))</f>
        <v>0</v>
      </c>
      <c r="R22" s="2097">
        <f t="shared" ref="R22:T24" ca="1" si="32">IF(ISERROR(VLOOKUP(R$2&amp;$B22,Sheet_Trialbal,10,0)),0,VLOOKUP(R$2&amp;$B22,Sheet_Trialbal,10,0))</f>
        <v>0</v>
      </c>
      <c r="S22" s="2097">
        <f t="shared" ca="1" si="32"/>
        <v>0</v>
      </c>
      <c r="T22" s="2097">
        <f t="shared" ca="1" si="32"/>
        <v>0</v>
      </c>
      <c r="U22" s="2097">
        <f t="shared" ref="U22:V24" si="33">IF(ISERROR(VLOOKUP(VALUE(U$2&amp;$B22),Sheet_Trialbal,10,0)),0,VLOOKUP(VALUE(U$2&amp;$B22),Sheet_Trialbal,10,0))</f>
        <v>0</v>
      </c>
      <c r="V22" s="2097">
        <f t="shared" si="33"/>
        <v>0</v>
      </c>
      <c r="W22" s="2097">
        <f ca="1">IF(ISERROR(VLOOKUP(W$2&amp;$B22,Sheet_Trialbal,10,0)),0,VLOOKUP(W$2&amp;$B22,Sheet_Trialbal,10,0))</f>
        <v>0</v>
      </c>
      <c r="X22" s="2097">
        <f t="shared" ref="X22:AB24" si="34">IF(ISERROR(VLOOKUP(VALUE(X$2&amp;$B22),Sheet_Trialbal,10,0)),0,VLOOKUP(VALUE(X$2&amp;$B22),Sheet_Trialbal,10,0))</f>
        <v>0</v>
      </c>
      <c r="Y22" s="2097">
        <f t="shared" si="34"/>
        <v>0</v>
      </c>
      <c r="Z22" s="2097">
        <f t="shared" si="34"/>
        <v>0</v>
      </c>
      <c r="AA22" s="2097">
        <f t="shared" si="34"/>
        <v>0</v>
      </c>
      <c r="AB22" s="2097">
        <f t="shared" si="34"/>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29"/>
        <v>0</v>
      </c>
      <c r="F23" s="2096">
        <f t="shared" si="29"/>
        <v>0</v>
      </c>
      <c r="G23" s="2096">
        <f t="shared" si="29"/>
        <v>0</v>
      </c>
      <c r="H23" s="2096">
        <f t="shared" si="30"/>
        <v>0</v>
      </c>
      <c r="I23" s="2096">
        <f t="shared" si="30"/>
        <v>0</v>
      </c>
      <c r="J23" s="2096">
        <f>IF(ISERROR(VLOOKUP(J$2&amp;$B23,Sheet_Trialbal,6,0)),0,VLOOKUP(J$2&amp;$B23,Sheet_Trialbal,6,0))</f>
        <v>0</v>
      </c>
      <c r="K23" s="2096">
        <f t="shared" si="31"/>
        <v>0</v>
      </c>
      <c r="L23" s="2096">
        <f t="shared" si="31"/>
        <v>0</v>
      </c>
      <c r="M23" s="2096">
        <f t="shared" si="31"/>
        <v>0</v>
      </c>
      <c r="N23" s="2096">
        <f t="shared" si="31"/>
        <v>0</v>
      </c>
      <c r="O23" s="2096">
        <f t="shared" si="31"/>
        <v>0</v>
      </c>
      <c r="P23" s="2114">
        <f t="shared" si="4"/>
        <v>0</v>
      </c>
      <c r="Q23" s="2112">
        <f>IF(ISERROR(VLOOKUP(VALUE(Q$2&amp;$B23),Sheet_Trialbal,10,0)),0,VLOOKUP(VALUE(Q$2&amp;$B23),Sheet_Trialbal,10,0))</f>
        <v>0</v>
      </c>
      <c r="R23" s="2097">
        <f t="shared" ca="1" si="32"/>
        <v>0</v>
      </c>
      <c r="S23" s="2097">
        <f t="shared" ca="1" si="32"/>
        <v>0</v>
      </c>
      <c r="T23" s="2097">
        <f t="shared" ca="1" si="32"/>
        <v>0</v>
      </c>
      <c r="U23" s="2097">
        <f t="shared" si="33"/>
        <v>0</v>
      </c>
      <c r="V23" s="2097">
        <f t="shared" si="33"/>
        <v>0</v>
      </c>
      <c r="W23" s="2097">
        <f ca="1">IF(ISERROR(VLOOKUP(W$2&amp;$B23,Sheet_Trialbal,10,0)),0,VLOOKUP(W$2&amp;$B23,Sheet_Trialbal,10,0))</f>
        <v>0</v>
      </c>
      <c r="X23" s="2097">
        <f t="shared" si="34"/>
        <v>0</v>
      </c>
      <c r="Y23" s="2097">
        <f t="shared" si="34"/>
        <v>0</v>
      </c>
      <c r="Z23" s="2097">
        <f t="shared" si="34"/>
        <v>0</v>
      </c>
      <c r="AA23" s="2097">
        <f t="shared" si="34"/>
        <v>0</v>
      </c>
      <c r="AB23" s="2097">
        <f t="shared" si="34"/>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29"/>
        <v>0</v>
      </c>
      <c r="F24" s="2096">
        <f t="shared" si="29"/>
        <v>0</v>
      </c>
      <c r="G24" s="2096">
        <f t="shared" si="29"/>
        <v>0</v>
      </c>
      <c r="H24" s="2096">
        <f t="shared" si="30"/>
        <v>0</v>
      </c>
      <c r="I24" s="2096">
        <f t="shared" si="30"/>
        <v>0</v>
      </c>
      <c r="J24" s="2096">
        <f>IF(ISERROR(VLOOKUP(J$2&amp;$B24,Sheet_Trialbal,6,0)),0,VLOOKUP(J$2&amp;$B24,Sheet_Trialbal,6,0))</f>
        <v>0</v>
      </c>
      <c r="K24" s="2096">
        <f t="shared" si="31"/>
        <v>0</v>
      </c>
      <c r="L24" s="2096">
        <f t="shared" si="31"/>
        <v>0</v>
      </c>
      <c r="M24" s="2096">
        <f t="shared" si="31"/>
        <v>0</v>
      </c>
      <c r="N24" s="2096">
        <f t="shared" si="31"/>
        <v>0</v>
      </c>
      <c r="O24" s="2096">
        <f t="shared" si="31"/>
        <v>0</v>
      </c>
      <c r="P24" s="2114">
        <f t="shared" si="4"/>
        <v>0</v>
      </c>
      <c r="Q24" s="2112">
        <f>IF(ISERROR(VLOOKUP(VALUE(Q$2&amp;$B24),Sheet_Trialbal,10,0)),0,VLOOKUP(VALUE(Q$2&amp;$B24),Sheet_Trialbal,10,0))</f>
        <v>0</v>
      </c>
      <c r="R24" s="2097">
        <f t="shared" ca="1" si="32"/>
        <v>0</v>
      </c>
      <c r="S24" s="2097">
        <f t="shared" ca="1" si="32"/>
        <v>0</v>
      </c>
      <c r="T24" s="2097">
        <f t="shared" ca="1" si="32"/>
        <v>0</v>
      </c>
      <c r="U24" s="2097">
        <f t="shared" si="33"/>
        <v>0</v>
      </c>
      <c r="V24" s="2097">
        <f t="shared" si="33"/>
        <v>0</v>
      </c>
      <c r="W24" s="2097">
        <f ca="1">IF(ISERROR(VLOOKUP(W$2&amp;$B24,Sheet_Trialbal,10,0)),0,VLOOKUP(W$2&amp;$B24,Sheet_Trialbal,10,0))</f>
        <v>0</v>
      </c>
      <c r="X24" s="2097">
        <f t="shared" si="34"/>
        <v>0</v>
      </c>
      <c r="Y24" s="2097">
        <f t="shared" si="34"/>
        <v>0</v>
      </c>
      <c r="Z24" s="2097">
        <f t="shared" si="34"/>
        <v>0</v>
      </c>
      <c r="AA24" s="2097">
        <f t="shared" si="34"/>
        <v>0</v>
      </c>
      <c r="AB24" s="2097">
        <f t="shared" si="34"/>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5">SUM(D26:D31)</f>
        <v>0</v>
      </c>
      <c r="E25" s="2096">
        <f t="shared" si="35"/>
        <v>0</v>
      </c>
      <c r="F25" s="2096">
        <f t="shared" si="35"/>
        <v>0</v>
      </c>
      <c r="G25" s="2096">
        <f t="shared" si="35"/>
        <v>0</v>
      </c>
      <c r="H25" s="2096">
        <f t="shared" si="35"/>
        <v>0</v>
      </c>
      <c r="I25" s="2096">
        <f t="shared" si="35"/>
        <v>0</v>
      </c>
      <c r="J25" s="2096">
        <f t="shared" si="35"/>
        <v>0</v>
      </c>
      <c r="K25" s="2096">
        <f t="shared" si="35"/>
        <v>0</v>
      </c>
      <c r="L25" s="2096">
        <f t="shared" si="35"/>
        <v>0</v>
      </c>
      <c r="M25" s="2096">
        <f t="shared" ref="M25" si="36">SUM(M26:M31)</f>
        <v>0</v>
      </c>
      <c r="N25" s="2096">
        <f t="shared" si="35"/>
        <v>0</v>
      </c>
      <c r="O25" s="2096">
        <f t="shared" si="35"/>
        <v>0</v>
      </c>
      <c r="P25" s="2114">
        <f t="shared" si="4"/>
        <v>0</v>
      </c>
      <c r="Q25" s="2112">
        <f t="shared" ref="Q25:AB25" si="37">SUM(Q26:Q31)</f>
        <v>0</v>
      </c>
      <c r="R25" s="2097">
        <f t="shared" ca="1" si="37"/>
        <v>0</v>
      </c>
      <c r="S25" s="2097">
        <f t="shared" ca="1" si="37"/>
        <v>0</v>
      </c>
      <c r="T25" s="2097">
        <f t="shared" ca="1" si="37"/>
        <v>0</v>
      </c>
      <c r="U25" s="2097">
        <f t="shared" si="37"/>
        <v>0</v>
      </c>
      <c r="V25" s="2097">
        <f t="shared" si="37"/>
        <v>0</v>
      </c>
      <c r="W25" s="2097">
        <f t="shared" ca="1" si="37"/>
        <v>0</v>
      </c>
      <c r="X25" s="2097">
        <f t="shared" si="37"/>
        <v>0</v>
      </c>
      <c r="Y25" s="2097">
        <f t="shared" si="37"/>
        <v>0</v>
      </c>
      <c r="Z25" s="2097">
        <f t="shared" ref="Z25" si="38">SUM(Z26:Z31)</f>
        <v>0</v>
      </c>
      <c r="AA25" s="2097">
        <f t="shared" si="37"/>
        <v>0</v>
      </c>
      <c r="AB25" s="2097">
        <f t="shared" si="37"/>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39">IF(ISERROR(VLOOKUP(VALUE(D$2&amp;$B26),Sheet_Trialbal,6,0)),0,VLOOKUP(VALUE(D$2&amp;$B26),Sheet_Trialbal,6,0))</f>
        <v>0</v>
      </c>
      <c r="E26" s="2096">
        <f t="shared" ref="E26:G31" si="40">IF(ISERROR(VLOOKUP(E$2&amp;$B26,Sheet_Trialbal,6,0)),0,VLOOKUP(E$2&amp;$B26,Sheet_Trialbal,6,0))</f>
        <v>0</v>
      </c>
      <c r="F26" s="2096">
        <f t="shared" si="40"/>
        <v>0</v>
      </c>
      <c r="G26" s="2096">
        <f t="shared" si="40"/>
        <v>0</v>
      </c>
      <c r="H26" s="2096">
        <f t="shared" ref="H26:I31" si="41">IF(ISERROR(VLOOKUP(VALUE(H$2&amp;$B26),Sheet_Trialbal,6,0)),0,VLOOKUP(VALUE(H$2&amp;$B26),Sheet_Trialbal,6,0))</f>
        <v>0</v>
      </c>
      <c r="I26" s="2096">
        <f t="shared" si="41"/>
        <v>0</v>
      </c>
      <c r="J26" s="2096">
        <f t="shared" ref="J26:J31" si="42">IF(ISERROR(VLOOKUP(J$2&amp;$B26,Sheet_Trialbal,6,0)),0,VLOOKUP(J$2&amp;$B26,Sheet_Trialbal,6,0))</f>
        <v>0</v>
      </c>
      <c r="K26" s="2096">
        <f t="shared" ref="K26:O31" si="43">IF(ISERROR(VLOOKUP(VALUE(K$2&amp;$B26),Sheet_Trialbal,6,0)),0,VLOOKUP(VALUE(K$2&amp;$B26),Sheet_Trialbal,6,0))</f>
        <v>0</v>
      </c>
      <c r="L26" s="2096">
        <f t="shared" si="43"/>
        <v>0</v>
      </c>
      <c r="M26" s="2096">
        <f t="shared" si="43"/>
        <v>0</v>
      </c>
      <c r="N26" s="2096">
        <f t="shared" si="43"/>
        <v>0</v>
      </c>
      <c r="O26" s="2096">
        <f t="shared" si="43"/>
        <v>0</v>
      </c>
      <c r="P26" s="2114">
        <f t="shared" si="4"/>
        <v>0</v>
      </c>
      <c r="Q26" s="2112">
        <f t="shared" ref="Q26:Q31" si="44">IF(ISERROR(VLOOKUP(VALUE(Q$2&amp;$B26),Sheet_Trialbal,10,0)),0,VLOOKUP(VALUE(Q$2&amp;$B26),Sheet_Trialbal,10,0))</f>
        <v>0</v>
      </c>
      <c r="R26" s="2097">
        <f t="shared" ref="R26:T31" ca="1" si="45">IF(ISERROR(VLOOKUP(R$2&amp;$B26,Sheet_Trialbal,10,0)),0,VLOOKUP(R$2&amp;$B26,Sheet_Trialbal,10,0))</f>
        <v>0</v>
      </c>
      <c r="S26" s="2097">
        <f t="shared" ca="1" si="45"/>
        <v>0</v>
      </c>
      <c r="T26" s="2097">
        <f t="shared" ca="1" si="45"/>
        <v>0</v>
      </c>
      <c r="U26" s="2097">
        <f t="shared" ref="U26:V31" si="46">IF(ISERROR(VLOOKUP(VALUE(U$2&amp;$B26),Sheet_Trialbal,10,0)),0,VLOOKUP(VALUE(U$2&amp;$B26),Sheet_Trialbal,10,0))</f>
        <v>0</v>
      </c>
      <c r="V26" s="2097">
        <f t="shared" si="46"/>
        <v>0</v>
      </c>
      <c r="W26" s="2097">
        <f t="shared" ref="W26:W31" ca="1" si="47">IF(ISERROR(VLOOKUP(W$2&amp;$B26,Sheet_Trialbal,10,0)),0,VLOOKUP(W$2&amp;$B26,Sheet_Trialbal,10,0))</f>
        <v>0</v>
      </c>
      <c r="X26" s="2097">
        <f t="shared" ref="X26:AB31" si="48">IF(ISERROR(VLOOKUP(VALUE(X$2&amp;$B26),Sheet_Trialbal,10,0)),0,VLOOKUP(VALUE(X$2&amp;$B26),Sheet_Trialbal,10,0))</f>
        <v>0</v>
      </c>
      <c r="Y26" s="2097">
        <f t="shared" si="48"/>
        <v>0</v>
      </c>
      <c r="Z26" s="2097">
        <f t="shared" si="48"/>
        <v>0</v>
      </c>
      <c r="AA26" s="2097">
        <f t="shared" si="48"/>
        <v>0</v>
      </c>
      <c r="AB26" s="2097">
        <f t="shared" si="48"/>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39"/>
        <v>0</v>
      </c>
      <c r="E27" s="2096">
        <f t="shared" si="40"/>
        <v>0</v>
      </c>
      <c r="F27" s="2096">
        <f t="shared" si="40"/>
        <v>0</v>
      </c>
      <c r="G27" s="2096">
        <f t="shared" si="40"/>
        <v>0</v>
      </c>
      <c r="H27" s="2096">
        <f t="shared" si="41"/>
        <v>0</v>
      </c>
      <c r="I27" s="2096">
        <f t="shared" si="41"/>
        <v>0</v>
      </c>
      <c r="J27" s="2096">
        <f t="shared" si="42"/>
        <v>0</v>
      </c>
      <c r="K27" s="2096">
        <f t="shared" si="43"/>
        <v>0</v>
      </c>
      <c r="L27" s="2096">
        <f t="shared" si="43"/>
        <v>0</v>
      </c>
      <c r="M27" s="2096">
        <f t="shared" si="43"/>
        <v>0</v>
      </c>
      <c r="N27" s="2096">
        <f t="shared" si="43"/>
        <v>0</v>
      </c>
      <c r="O27" s="2096">
        <f t="shared" si="43"/>
        <v>0</v>
      </c>
      <c r="P27" s="2114">
        <f t="shared" si="4"/>
        <v>0</v>
      </c>
      <c r="Q27" s="2112">
        <f t="shared" si="44"/>
        <v>0</v>
      </c>
      <c r="R27" s="2097">
        <f t="shared" ca="1" si="45"/>
        <v>0</v>
      </c>
      <c r="S27" s="2097">
        <f t="shared" ca="1" si="45"/>
        <v>0</v>
      </c>
      <c r="T27" s="2097">
        <f t="shared" ca="1" si="45"/>
        <v>0</v>
      </c>
      <c r="U27" s="2097">
        <f t="shared" si="46"/>
        <v>0</v>
      </c>
      <c r="V27" s="2097">
        <f t="shared" si="46"/>
        <v>0</v>
      </c>
      <c r="W27" s="2097">
        <f t="shared" ca="1" si="47"/>
        <v>0</v>
      </c>
      <c r="X27" s="2097">
        <f t="shared" si="48"/>
        <v>0</v>
      </c>
      <c r="Y27" s="2097">
        <f t="shared" si="48"/>
        <v>0</v>
      </c>
      <c r="Z27" s="2097">
        <f t="shared" si="48"/>
        <v>0</v>
      </c>
      <c r="AA27" s="2097">
        <f t="shared" si="48"/>
        <v>0</v>
      </c>
      <c r="AB27" s="2097">
        <f t="shared" si="48"/>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39"/>
        <v>0</v>
      </c>
      <c r="E28" s="2096">
        <f t="shared" si="40"/>
        <v>0</v>
      </c>
      <c r="F28" s="2096">
        <f t="shared" si="40"/>
        <v>0</v>
      </c>
      <c r="G28" s="2096">
        <f t="shared" si="40"/>
        <v>0</v>
      </c>
      <c r="H28" s="2096">
        <f t="shared" si="41"/>
        <v>0</v>
      </c>
      <c r="I28" s="2096">
        <f t="shared" si="41"/>
        <v>0</v>
      </c>
      <c r="J28" s="2096">
        <f t="shared" si="42"/>
        <v>0</v>
      </c>
      <c r="K28" s="2096">
        <f t="shared" si="43"/>
        <v>0</v>
      </c>
      <c r="L28" s="2096">
        <f t="shared" si="43"/>
        <v>0</v>
      </c>
      <c r="M28" s="2096">
        <f t="shared" si="43"/>
        <v>0</v>
      </c>
      <c r="N28" s="2096">
        <f t="shared" si="43"/>
        <v>0</v>
      </c>
      <c r="O28" s="2096">
        <f t="shared" si="43"/>
        <v>0</v>
      </c>
      <c r="P28" s="2114">
        <f t="shared" si="4"/>
        <v>0</v>
      </c>
      <c r="Q28" s="2112">
        <f t="shared" si="44"/>
        <v>0</v>
      </c>
      <c r="R28" s="2097">
        <f t="shared" ca="1" si="45"/>
        <v>0</v>
      </c>
      <c r="S28" s="2097">
        <f t="shared" ca="1" si="45"/>
        <v>0</v>
      </c>
      <c r="T28" s="2097">
        <f t="shared" ca="1" si="45"/>
        <v>0</v>
      </c>
      <c r="U28" s="2097">
        <f t="shared" si="46"/>
        <v>0</v>
      </c>
      <c r="V28" s="2097">
        <f t="shared" si="46"/>
        <v>0</v>
      </c>
      <c r="W28" s="2097">
        <f t="shared" ca="1" si="47"/>
        <v>0</v>
      </c>
      <c r="X28" s="2097">
        <f t="shared" si="48"/>
        <v>0</v>
      </c>
      <c r="Y28" s="2097">
        <f t="shared" si="48"/>
        <v>0</v>
      </c>
      <c r="Z28" s="2097">
        <f t="shared" si="48"/>
        <v>0</v>
      </c>
      <c r="AA28" s="2097">
        <f t="shared" si="48"/>
        <v>0</v>
      </c>
      <c r="AB28" s="2097">
        <f t="shared" si="48"/>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39"/>
        <v>0</v>
      </c>
      <c r="E29" s="2096">
        <f t="shared" si="40"/>
        <v>0</v>
      </c>
      <c r="F29" s="2096">
        <f t="shared" si="40"/>
        <v>0</v>
      </c>
      <c r="G29" s="2096">
        <f t="shared" si="40"/>
        <v>0</v>
      </c>
      <c r="H29" s="2096">
        <f t="shared" si="41"/>
        <v>0</v>
      </c>
      <c r="I29" s="2096">
        <f t="shared" si="41"/>
        <v>0</v>
      </c>
      <c r="J29" s="2096">
        <f t="shared" si="42"/>
        <v>0</v>
      </c>
      <c r="K29" s="2096">
        <f t="shared" si="43"/>
        <v>0</v>
      </c>
      <c r="L29" s="2096">
        <f t="shared" si="43"/>
        <v>0</v>
      </c>
      <c r="M29" s="2096">
        <f t="shared" si="43"/>
        <v>0</v>
      </c>
      <c r="N29" s="2096">
        <f t="shared" si="43"/>
        <v>0</v>
      </c>
      <c r="O29" s="2096">
        <f t="shared" si="43"/>
        <v>0</v>
      </c>
      <c r="P29" s="2114">
        <f t="shared" si="4"/>
        <v>0</v>
      </c>
      <c r="Q29" s="2112">
        <f t="shared" si="44"/>
        <v>0</v>
      </c>
      <c r="R29" s="2097">
        <f t="shared" ca="1" si="45"/>
        <v>0</v>
      </c>
      <c r="S29" s="2097">
        <f t="shared" ca="1" si="45"/>
        <v>0</v>
      </c>
      <c r="T29" s="2097">
        <f t="shared" ca="1" si="45"/>
        <v>0</v>
      </c>
      <c r="U29" s="2097">
        <f t="shared" si="46"/>
        <v>0</v>
      </c>
      <c r="V29" s="2097">
        <f t="shared" si="46"/>
        <v>0</v>
      </c>
      <c r="W29" s="2097">
        <f t="shared" ca="1" si="47"/>
        <v>0</v>
      </c>
      <c r="X29" s="2097">
        <f t="shared" si="48"/>
        <v>0</v>
      </c>
      <c r="Y29" s="2097">
        <f t="shared" si="48"/>
        <v>0</v>
      </c>
      <c r="Z29" s="2097">
        <f t="shared" si="48"/>
        <v>0</v>
      </c>
      <c r="AA29" s="2097">
        <f t="shared" si="48"/>
        <v>0</v>
      </c>
      <c r="AB29" s="2097">
        <f t="shared" si="48"/>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39"/>
        <v>0</v>
      </c>
      <c r="E30" s="2096">
        <f t="shared" si="40"/>
        <v>0</v>
      </c>
      <c r="F30" s="2096">
        <f t="shared" si="40"/>
        <v>0</v>
      </c>
      <c r="G30" s="2096">
        <f t="shared" si="40"/>
        <v>0</v>
      </c>
      <c r="H30" s="2096">
        <f t="shared" si="41"/>
        <v>0</v>
      </c>
      <c r="I30" s="2096">
        <f t="shared" si="41"/>
        <v>0</v>
      </c>
      <c r="J30" s="2096">
        <f t="shared" si="42"/>
        <v>0</v>
      </c>
      <c r="K30" s="2096">
        <f t="shared" si="43"/>
        <v>0</v>
      </c>
      <c r="L30" s="2096">
        <f t="shared" si="43"/>
        <v>0</v>
      </c>
      <c r="M30" s="2096">
        <f t="shared" si="43"/>
        <v>0</v>
      </c>
      <c r="N30" s="2096">
        <f t="shared" si="43"/>
        <v>0</v>
      </c>
      <c r="O30" s="2096">
        <f t="shared" si="43"/>
        <v>0</v>
      </c>
      <c r="P30" s="2114">
        <f t="shared" si="4"/>
        <v>0</v>
      </c>
      <c r="Q30" s="2112">
        <f t="shared" si="44"/>
        <v>0</v>
      </c>
      <c r="R30" s="2097">
        <f t="shared" ca="1" si="45"/>
        <v>0</v>
      </c>
      <c r="S30" s="2097">
        <f t="shared" ca="1" si="45"/>
        <v>0</v>
      </c>
      <c r="T30" s="2097">
        <f t="shared" ca="1" si="45"/>
        <v>0</v>
      </c>
      <c r="U30" s="2097">
        <f t="shared" si="46"/>
        <v>0</v>
      </c>
      <c r="V30" s="2097">
        <f t="shared" si="46"/>
        <v>0</v>
      </c>
      <c r="W30" s="2097">
        <f t="shared" ca="1" si="47"/>
        <v>0</v>
      </c>
      <c r="X30" s="2097">
        <f t="shared" si="48"/>
        <v>0</v>
      </c>
      <c r="Y30" s="2097">
        <f t="shared" si="48"/>
        <v>0</v>
      </c>
      <c r="Z30" s="2097">
        <f t="shared" si="48"/>
        <v>0</v>
      </c>
      <c r="AA30" s="2097">
        <f t="shared" si="48"/>
        <v>0</v>
      </c>
      <c r="AB30" s="2097">
        <f t="shared" si="48"/>
        <v>0</v>
      </c>
      <c r="AC30" s="2098">
        <f t="shared" ca="1" si="8"/>
        <v>0</v>
      </c>
      <c r="AD30" s="1803"/>
      <c r="AE30" s="1803"/>
      <c r="AF30" s="1803"/>
      <c r="AG30" s="1803"/>
    </row>
    <row r="31" spans="1:33" ht="21.95" customHeight="1">
      <c r="A31" s="2836"/>
      <c r="B31" s="2837" t="s">
        <v>2641</v>
      </c>
      <c r="C31" s="2106" t="str">
        <f>VLOOKUP(VALUE($P$2&amp;$B31),Sheet_Items,7,0)</f>
        <v>其他</v>
      </c>
      <c r="D31" s="2096">
        <f t="shared" si="39"/>
        <v>0</v>
      </c>
      <c r="E31" s="2096">
        <f t="shared" si="40"/>
        <v>0</v>
      </c>
      <c r="F31" s="2096">
        <f t="shared" si="40"/>
        <v>0</v>
      </c>
      <c r="G31" s="2096">
        <f t="shared" si="40"/>
        <v>0</v>
      </c>
      <c r="H31" s="2096">
        <f t="shared" si="41"/>
        <v>0</v>
      </c>
      <c r="I31" s="2096">
        <f t="shared" si="41"/>
        <v>0</v>
      </c>
      <c r="J31" s="2096">
        <f t="shared" si="42"/>
        <v>0</v>
      </c>
      <c r="K31" s="2096">
        <f t="shared" si="43"/>
        <v>0</v>
      </c>
      <c r="L31" s="2096">
        <f t="shared" si="43"/>
        <v>0</v>
      </c>
      <c r="M31" s="2096">
        <f t="shared" si="43"/>
        <v>0</v>
      </c>
      <c r="N31" s="2096">
        <f t="shared" si="43"/>
        <v>0</v>
      </c>
      <c r="O31" s="2096">
        <f t="shared" si="43"/>
        <v>0</v>
      </c>
      <c r="P31" s="2114">
        <f t="shared" si="4"/>
        <v>0</v>
      </c>
      <c r="Q31" s="2112">
        <f t="shared" si="44"/>
        <v>0</v>
      </c>
      <c r="R31" s="2097">
        <f t="shared" ca="1" si="45"/>
        <v>0</v>
      </c>
      <c r="S31" s="2097">
        <f t="shared" ca="1" si="45"/>
        <v>0</v>
      </c>
      <c r="T31" s="2097">
        <f t="shared" ca="1" si="45"/>
        <v>0</v>
      </c>
      <c r="U31" s="2097">
        <f t="shared" si="46"/>
        <v>0</v>
      </c>
      <c r="V31" s="2097">
        <f t="shared" si="46"/>
        <v>0</v>
      </c>
      <c r="W31" s="2097">
        <f t="shared" ca="1" si="47"/>
        <v>0</v>
      </c>
      <c r="X31" s="2097">
        <f t="shared" si="48"/>
        <v>0</v>
      </c>
      <c r="Y31" s="2097">
        <f t="shared" si="48"/>
        <v>0</v>
      </c>
      <c r="Z31" s="2097">
        <f t="shared" si="48"/>
        <v>0</v>
      </c>
      <c r="AA31" s="2097">
        <f t="shared" si="48"/>
        <v>0</v>
      </c>
      <c r="AB31" s="2097">
        <f t="shared" si="48"/>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49">SUM(D33:D34)</f>
        <v>0</v>
      </c>
      <c r="E32" s="2096">
        <f t="shared" si="49"/>
        <v>0</v>
      </c>
      <c r="F32" s="2096">
        <f t="shared" si="49"/>
        <v>0</v>
      </c>
      <c r="G32" s="2096">
        <f t="shared" si="49"/>
        <v>0</v>
      </c>
      <c r="H32" s="2096">
        <f t="shared" si="49"/>
        <v>0</v>
      </c>
      <c r="I32" s="2096">
        <f t="shared" si="49"/>
        <v>0</v>
      </c>
      <c r="J32" s="2096">
        <f t="shared" si="49"/>
        <v>0</v>
      </c>
      <c r="K32" s="2096">
        <f t="shared" si="49"/>
        <v>0</v>
      </c>
      <c r="L32" s="2096">
        <f t="shared" si="49"/>
        <v>0</v>
      </c>
      <c r="M32" s="2096">
        <f t="shared" ref="M32" si="50">SUM(M33:M34)</f>
        <v>0</v>
      </c>
      <c r="N32" s="2096">
        <f t="shared" si="49"/>
        <v>0</v>
      </c>
      <c r="O32" s="2096">
        <f t="shared" si="49"/>
        <v>0</v>
      </c>
      <c r="P32" s="2114">
        <f t="shared" si="4"/>
        <v>0</v>
      </c>
      <c r="Q32" s="2112">
        <f t="shared" ref="Q32:AB32" si="51">SUM(Q33:Q34)</f>
        <v>0</v>
      </c>
      <c r="R32" s="2097">
        <f t="shared" ca="1" si="51"/>
        <v>0</v>
      </c>
      <c r="S32" s="2097">
        <f t="shared" ca="1" si="51"/>
        <v>0</v>
      </c>
      <c r="T32" s="2097">
        <f t="shared" ca="1" si="51"/>
        <v>0</v>
      </c>
      <c r="U32" s="2097">
        <f t="shared" si="51"/>
        <v>0</v>
      </c>
      <c r="V32" s="2097">
        <f t="shared" si="51"/>
        <v>0</v>
      </c>
      <c r="W32" s="2097">
        <f t="shared" ca="1" si="51"/>
        <v>0</v>
      </c>
      <c r="X32" s="2097">
        <f t="shared" si="51"/>
        <v>0</v>
      </c>
      <c r="Y32" s="2097">
        <f t="shared" si="51"/>
        <v>0</v>
      </c>
      <c r="Z32" s="2097">
        <f t="shared" ref="Z32" si="52">SUM(Z33:Z34)</f>
        <v>0</v>
      </c>
      <c r="AA32" s="2097">
        <f t="shared" si="51"/>
        <v>0</v>
      </c>
      <c r="AB32" s="2097">
        <f t="shared" si="51"/>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3">IF(ISERROR(VLOOKUP(E$2&amp;$B33,Sheet_Trialbal,6,0)),0,VLOOKUP(E$2&amp;$B33,Sheet_Trialbal,6,0))</f>
        <v>0</v>
      </c>
      <c r="F33" s="2096">
        <f t="shared" si="53"/>
        <v>0</v>
      </c>
      <c r="G33" s="2096">
        <f t="shared" si="53"/>
        <v>0</v>
      </c>
      <c r="H33" s="2096">
        <f t="shared" ref="H33:I35" si="54">IF(ISERROR(VLOOKUP(VALUE(H$2&amp;$B33),Sheet_Trialbal,6,0)),0,VLOOKUP(VALUE(H$2&amp;$B33),Sheet_Trialbal,6,0))</f>
        <v>0</v>
      </c>
      <c r="I33" s="2096">
        <f t="shared" si="54"/>
        <v>0</v>
      </c>
      <c r="J33" s="2096">
        <f>IF(ISERROR(VLOOKUP(J$2&amp;$B33,Sheet_Trialbal,6,0)),0,VLOOKUP(J$2&amp;$B33,Sheet_Trialbal,6,0))</f>
        <v>0</v>
      </c>
      <c r="K33" s="2096">
        <f t="shared" ref="K33:O35" si="55">IF(ISERROR(VLOOKUP(VALUE(K$2&amp;$B33),Sheet_Trialbal,6,0)),0,VLOOKUP(VALUE(K$2&amp;$B33),Sheet_Trialbal,6,0))</f>
        <v>0</v>
      </c>
      <c r="L33" s="2096">
        <f t="shared" si="55"/>
        <v>0</v>
      </c>
      <c r="M33" s="2096">
        <f t="shared" si="55"/>
        <v>0</v>
      </c>
      <c r="N33" s="2096">
        <f t="shared" si="55"/>
        <v>0</v>
      </c>
      <c r="O33" s="2096">
        <f t="shared" si="55"/>
        <v>0</v>
      </c>
      <c r="P33" s="2114">
        <f t="shared" si="4"/>
        <v>0</v>
      </c>
      <c r="Q33" s="2112">
        <f>IF(ISERROR(VLOOKUP(VALUE(Q$2&amp;$B33),Sheet_Trialbal,10,0)),0,VLOOKUP(VALUE(Q$2&amp;$B33),Sheet_Trialbal,10,0))</f>
        <v>0</v>
      </c>
      <c r="R33" s="2097">
        <f t="shared" ref="R33:T35" ca="1" si="56">IF(ISERROR(VLOOKUP(R$2&amp;$B33,Sheet_Trialbal,10,0)),0,VLOOKUP(R$2&amp;$B33,Sheet_Trialbal,10,0))</f>
        <v>0</v>
      </c>
      <c r="S33" s="2097">
        <f t="shared" ca="1" si="56"/>
        <v>0</v>
      </c>
      <c r="T33" s="2097">
        <f t="shared" ca="1" si="56"/>
        <v>0</v>
      </c>
      <c r="U33" s="2097">
        <f t="shared" ref="U33:V35" si="57">IF(ISERROR(VLOOKUP(VALUE(U$2&amp;$B33),Sheet_Trialbal,10,0)),0,VLOOKUP(VALUE(U$2&amp;$B33),Sheet_Trialbal,10,0))</f>
        <v>0</v>
      </c>
      <c r="V33" s="2097">
        <f t="shared" si="57"/>
        <v>0</v>
      </c>
      <c r="W33" s="2097">
        <f ca="1">IF(ISERROR(VLOOKUP(W$2&amp;$B33,Sheet_Trialbal,10,0)),0,VLOOKUP(W$2&amp;$B33,Sheet_Trialbal,10,0))</f>
        <v>0</v>
      </c>
      <c r="X33" s="2097">
        <f t="shared" ref="X33:AB35" si="58">IF(ISERROR(VLOOKUP(VALUE(X$2&amp;$B33),Sheet_Trialbal,10,0)),0,VLOOKUP(VALUE(X$2&amp;$B33),Sheet_Trialbal,10,0))</f>
        <v>0</v>
      </c>
      <c r="Y33" s="2097">
        <f t="shared" si="58"/>
        <v>0</v>
      </c>
      <c r="Z33" s="2097">
        <f t="shared" si="58"/>
        <v>0</v>
      </c>
      <c r="AA33" s="2097">
        <f t="shared" si="58"/>
        <v>0</v>
      </c>
      <c r="AB33" s="2097">
        <f t="shared" si="58"/>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3"/>
        <v>0</v>
      </c>
      <c r="F34" s="2096">
        <f t="shared" si="53"/>
        <v>0</v>
      </c>
      <c r="G34" s="2096">
        <f t="shared" si="53"/>
        <v>0</v>
      </c>
      <c r="H34" s="2096">
        <f t="shared" si="54"/>
        <v>0</v>
      </c>
      <c r="I34" s="2096">
        <f t="shared" si="54"/>
        <v>0</v>
      </c>
      <c r="J34" s="2096">
        <f>IF(ISERROR(VLOOKUP(J$2&amp;$B34,Sheet_Trialbal,6,0)),0,VLOOKUP(J$2&amp;$B34,Sheet_Trialbal,6,0))</f>
        <v>0</v>
      </c>
      <c r="K34" s="2096">
        <f t="shared" si="55"/>
        <v>0</v>
      </c>
      <c r="L34" s="2096">
        <f t="shared" si="55"/>
        <v>0</v>
      </c>
      <c r="M34" s="2096">
        <f t="shared" si="55"/>
        <v>0</v>
      </c>
      <c r="N34" s="2096">
        <f t="shared" si="55"/>
        <v>0</v>
      </c>
      <c r="O34" s="2096">
        <f t="shared" si="55"/>
        <v>0</v>
      </c>
      <c r="P34" s="2114">
        <f t="shared" si="4"/>
        <v>0</v>
      </c>
      <c r="Q34" s="2112">
        <f>IF(ISERROR(VLOOKUP(VALUE(Q$2&amp;$B34),Sheet_Trialbal,10,0)),0,VLOOKUP(VALUE(Q$2&amp;$B34),Sheet_Trialbal,10,0))</f>
        <v>0</v>
      </c>
      <c r="R34" s="2097">
        <f t="shared" ca="1" si="56"/>
        <v>0</v>
      </c>
      <c r="S34" s="2097">
        <f t="shared" ca="1" si="56"/>
        <v>0</v>
      </c>
      <c r="T34" s="2097">
        <f t="shared" ca="1" si="56"/>
        <v>0</v>
      </c>
      <c r="U34" s="2097">
        <f t="shared" si="57"/>
        <v>0</v>
      </c>
      <c r="V34" s="2097">
        <f t="shared" si="57"/>
        <v>0</v>
      </c>
      <c r="W34" s="2097">
        <f ca="1">IF(ISERROR(VLOOKUP(W$2&amp;$B34,Sheet_Trialbal,10,0)),0,VLOOKUP(W$2&amp;$B34,Sheet_Trialbal,10,0))</f>
        <v>0</v>
      </c>
      <c r="X34" s="2097">
        <f t="shared" si="58"/>
        <v>0</v>
      </c>
      <c r="Y34" s="2097">
        <f t="shared" si="58"/>
        <v>0</v>
      </c>
      <c r="Z34" s="2097">
        <f t="shared" si="58"/>
        <v>0</v>
      </c>
      <c r="AA34" s="2097">
        <f t="shared" si="58"/>
        <v>0</v>
      </c>
      <c r="AB34" s="2097">
        <f t="shared" si="58"/>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3"/>
        <v>0</v>
      </c>
      <c r="F35" s="2096">
        <f t="shared" si="53"/>
        <v>0</v>
      </c>
      <c r="G35" s="2096">
        <f t="shared" si="53"/>
        <v>0</v>
      </c>
      <c r="H35" s="2096">
        <f t="shared" si="54"/>
        <v>0</v>
      </c>
      <c r="I35" s="2096">
        <f t="shared" si="54"/>
        <v>0</v>
      </c>
      <c r="J35" s="2096">
        <f>IF(ISERROR(VLOOKUP(J$2&amp;$B35,Sheet_Trialbal,6,0)),0,VLOOKUP(J$2&amp;$B35,Sheet_Trialbal,6,0))</f>
        <v>0</v>
      </c>
      <c r="K35" s="2096">
        <f t="shared" si="55"/>
        <v>0</v>
      </c>
      <c r="L35" s="2096">
        <f t="shared" si="55"/>
        <v>0</v>
      </c>
      <c r="M35" s="2096">
        <f t="shared" si="55"/>
        <v>0</v>
      </c>
      <c r="N35" s="2096">
        <f t="shared" si="55"/>
        <v>0</v>
      </c>
      <c r="O35" s="2096">
        <f t="shared" si="55"/>
        <v>0</v>
      </c>
      <c r="P35" s="2114">
        <f t="shared" si="4"/>
        <v>0</v>
      </c>
      <c r="Q35" s="2112">
        <f>IF(ISERROR(VLOOKUP(VALUE(Q$2&amp;$B35),Sheet_Trialbal,10,0)),0,VLOOKUP(VALUE(Q$2&amp;$B35),Sheet_Trialbal,10,0))</f>
        <v>0</v>
      </c>
      <c r="R35" s="2097">
        <f t="shared" ca="1" si="56"/>
        <v>0</v>
      </c>
      <c r="S35" s="2097">
        <f t="shared" ca="1" si="56"/>
        <v>0</v>
      </c>
      <c r="T35" s="2097">
        <f t="shared" ca="1" si="56"/>
        <v>0</v>
      </c>
      <c r="U35" s="2097">
        <f t="shared" si="57"/>
        <v>0</v>
      </c>
      <c r="V35" s="2097">
        <f t="shared" si="57"/>
        <v>0</v>
      </c>
      <c r="W35" s="2097">
        <f ca="1">IF(ISERROR(VLOOKUP(W$2&amp;$B35,Sheet_Trialbal,10,0)),0,VLOOKUP(W$2&amp;$B35,Sheet_Trialbal,10,0))</f>
        <v>0</v>
      </c>
      <c r="X35" s="2097">
        <f t="shared" si="58"/>
        <v>0</v>
      </c>
      <c r="Y35" s="2097">
        <f t="shared" si="58"/>
        <v>0</v>
      </c>
      <c r="Z35" s="2097">
        <f t="shared" si="58"/>
        <v>0</v>
      </c>
      <c r="AA35" s="2097">
        <f t="shared" si="58"/>
        <v>0</v>
      </c>
      <c r="AB35" s="2097">
        <f t="shared" si="58"/>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59">SUM(D13,D14)</f>
        <v>0</v>
      </c>
      <c r="E36" s="2108">
        <f t="shared" si="59"/>
        <v>0</v>
      </c>
      <c r="F36" s="2108">
        <f t="shared" si="59"/>
        <v>0</v>
      </c>
      <c r="G36" s="2108">
        <f t="shared" si="59"/>
        <v>0</v>
      </c>
      <c r="H36" s="2108">
        <f t="shared" si="59"/>
        <v>0</v>
      </c>
      <c r="I36" s="2108">
        <f t="shared" si="59"/>
        <v>0</v>
      </c>
      <c r="J36" s="2108">
        <f t="shared" si="59"/>
        <v>0</v>
      </c>
      <c r="K36" s="2108">
        <f t="shared" si="59"/>
        <v>0</v>
      </c>
      <c r="L36" s="2108">
        <f t="shared" si="59"/>
        <v>0</v>
      </c>
      <c r="M36" s="2108">
        <f t="shared" ref="M36" si="60">SUM(M13,M14)</f>
        <v>0</v>
      </c>
      <c r="N36" s="2108">
        <f t="shared" si="59"/>
        <v>-25297789.149999999</v>
      </c>
      <c r="O36" s="2108">
        <f t="shared" si="59"/>
        <v>0</v>
      </c>
      <c r="P36" s="2115">
        <f t="shared" si="59"/>
        <v>-25297789.149999999</v>
      </c>
      <c r="Q36" s="2113">
        <f t="shared" si="59"/>
        <v>100000000</v>
      </c>
      <c r="R36" s="2109">
        <f t="shared" ca="1" si="59"/>
        <v>0</v>
      </c>
      <c r="S36" s="2109">
        <f t="shared" ca="1" si="59"/>
        <v>0</v>
      </c>
      <c r="T36" s="2109">
        <f t="shared" ca="1" si="59"/>
        <v>0</v>
      </c>
      <c r="U36" s="2109">
        <f t="shared" si="59"/>
        <v>0</v>
      </c>
      <c r="V36" s="2109">
        <f t="shared" si="59"/>
        <v>0</v>
      </c>
      <c r="W36" s="2109">
        <f t="shared" ca="1" si="59"/>
        <v>0</v>
      </c>
      <c r="X36" s="2109">
        <f t="shared" si="59"/>
        <v>0</v>
      </c>
      <c r="Y36" s="2109">
        <f t="shared" si="59"/>
        <v>0</v>
      </c>
      <c r="Z36" s="2109">
        <f t="shared" ref="Z36" si="61">SUM(Z13,Z14)</f>
        <v>0</v>
      </c>
      <c r="AA36" s="2109">
        <f t="shared" si="59"/>
        <v>-47230884.140000001</v>
      </c>
      <c r="AB36" s="2109">
        <f t="shared" si="59"/>
        <v>0</v>
      </c>
      <c r="AC36" s="2110">
        <f t="shared" ca="1" si="59"/>
        <v>52769115.859999999</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-52769115.859999999</v>
      </c>
      <c r="D43" s="1976"/>
      <c r="E43" s="1976"/>
      <c r="F43" s="1976"/>
      <c r="G43" s="1976"/>
      <c r="H43" s="1976"/>
      <c r="I43" s="1976"/>
      <c r="J43" s="1976"/>
      <c r="K43" s="1976"/>
      <c r="L43" s="1980" t="str">
        <f>$C$13&amp;":"&amp;$D$6</f>
        <v>二、本年年初余额:2019年度</v>
      </c>
      <c r="M43" s="1980"/>
      <c r="N43" s="1978"/>
      <c r="O43" s="1978"/>
      <c r="P43" s="1893"/>
      <c r="Q43" s="1898">
        <f t="shared" ref="Q43:Z43" si="62">D13</f>
        <v>0</v>
      </c>
      <c r="R43" s="1898">
        <f t="shared" si="62"/>
        <v>0</v>
      </c>
      <c r="S43" s="1898">
        <f t="shared" si="62"/>
        <v>0</v>
      </c>
      <c r="T43" s="1898">
        <f t="shared" si="62"/>
        <v>0</v>
      </c>
      <c r="U43" s="1898">
        <f t="shared" si="62"/>
        <v>0</v>
      </c>
      <c r="V43" s="1898">
        <f t="shared" si="62"/>
        <v>0</v>
      </c>
      <c r="W43" s="1898">
        <f t="shared" si="62"/>
        <v>0</v>
      </c>
      <c r="X43" s="1898">
        <f t="shared" si="62"/>
        <v>0</v>
      </c>
      <c r="Y43" s="1898">
        <f t="shared" si="62"/>
        <v>0</v>
      </c>
      <c r="Z43" s="1898">
        <f t="shared" si="62"/>
        <v>0</v>
      </c>
      <c r="AA43" s="1898">
        <f t="shared" ref="AA43:AC43" si="63">N13</f>
        <v>0</v>
      </c>
      <c r="AB43" s="1898">
        <f t="shared" si="63"/>
        <v>0</v>
      </c>
      <c r="AC43" s="1867">
        <f t="shared" si="63"/>
        <v>0</v>
      </c>
      <c r="AD43" s="1973"/>
      <c r="AE43" s="1973"/>
      <c r="AF43" s="1973"/>
      <c r="AG43" s="1973"/>
    </row>
    <row r="44" spans="1:33" s="1974" customFormat="1" ht="18">
      <c r="A44" s="2879" t="s">
        <v>2565</v>
      </c>
      <c r="B44" s="2880"/>
      <c r="C44" s="1981" t="str">
        <f ca="1">IF(C43=0,"Balanced","Diff "&amp;TEXT(ROUND(C43,2),"#,###.00"))</f>
        <v>Diff -52,769,115.86</v>
      </c>
      <c r="D44" s="1976"/>
      <c r="E44" s="1976"/>
      <c r="F44" s="1976"/>
      <c r="G44" s="1976"/>
      <c r="H44" s="1976"/>
      <c r="I44" s="1976"/>
      <c r="J44" s="1976"/>
      <c r="K44" s="1976"/>
      <c r="L44" s="1980" t="str">
        <f>$Q$6&amp;":"&amp;$C$36</f>
        <v>2018年度:四、本年年末余额</v>
      </c>
      <c r="M44" s="1980"/>
      <c r="N44" s="1978"/>
      <c r="O44" s="1978"/>
      <c r="P44" s="1893"/>
      <c r="Q44" s="1982">
        <f t="shared" ref="Q44:AC44" si="64">Q36</f>
        <v>100000000</v>
      </c>
      <c r="R44" s="1982">
        <f t="shared" ca="1" si="64"/>
        <v>0</v>
      </c>
      <c r="S44" s="1982">
        <f t="shared" ca="1" si="64"/>
        <v>0</v>
      </c>
      <c r="T44" s="1982">
        <f t="shared" ca="1" si="64"/>
        <v>0</v>
      </c>
      <c r="U44" s="1983">
        <f t="shared" si="64"/>
        <v>0</v>
      </c>
      <c r="V44" s="1983">
        <f t="shared" si="64"/>
        <v>0</v>
      </c>
      <c r="W44" s="1983">
        <f t="shared" ca="1" si="64"/>
        <v>0</v>
      </c>
      <c r="X44" s="1983">
        <f t="shared" si="64"/>
        <v>0</v>
      </c>
      <c r="Y44" s="1983">
        <f t="shared" si="64"/>
        <v>0</v>
      </c>
      <c r="Z44" s="1983">
        <f t="shared" si="64"/>
        <v>0</v>
      </c>
      <c r="AA44" s="1983">
        <f t="shared" si="64"/>
        <v>-47230884.140000001</v>
      </c>
      <c r="AB44" s="1983">
        <f t="shared" si="64"/>
        <v>0</v>
      </c>
      <c r="AC44" s="1899">
        <f t="shared" ca="1" si="64"/>
        <v>52769115.859999999</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5">ROUND(Q43-Q44,2)</f>
        <v>-100000000</v>
      </c>
      <c r="R45" s="1902">
        <f t="shared" ca="1" si="65"/>
        <v>0</v>
      </c>
      <c r="S45" s="1902">
        <f t="shared" ca="1" si="65"/>
        <v>0</v>
      </c>
      <c r="T45" s="1902">
        <f t="shared" ca="1" si="65"/>
        <v>0</v>
      </c>
      <c r="U45" s="1986">
        <f t="shared" si="65"/>
        <v>0</v>
      </c>
      <c r="V45" s="1986">
        <f t="shared" si="65"/>
        <v>0</v>
      </c>
      <c r="W45" s="1986">
        <f t="shared" ca="1" si="65"/>
        <v>0</v>
      </c>
      <c r="X45" s="1986">
        <f t="shared" si="65"/>
        <v>0</v>
      </c>
      <c r="Y45" s="1986">
        <f t="shared" si="65"/>
        <v>0</v>
      </c>
      <c r="Z45" s="1986">
        <f t="shared" ref="Z45" si="66">ROUND(Z43-Z44,2)</f>
        <v>0</v>
      </c>
      <c r="AA45" s="1986">
        <f t="shared" si="65"/>
        <v>47230884.140000001</v>
      </c>
      <c r="AB45" s="1986">
        <f t="shared" si="65"/>
        <v>0</v>
      </c>
      <c r="AC45" s="1903">
        <f t="shared" ca="1" si="65"/>
        <v>-52769115.859999999</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7">IF(Q45=0,"√","×")</f>
        <v>×</v>
      </c>
      <c r="R46" s="1905" t="str">
        <f t="shared" ca="1" si="67"/>
        <v>√</v>
      </c>
      <c r="S46" s="1905" t="str">
        <f t="shared" ca="1" si="67"/>
        <v>√</v>
      </c>
      <c r="T46" s="1905" t="str">
        <f t="shared" ca="1" si="67"/>
        <v>√</v>
      </c>
      <c r="U46" s="1987" t="str">
        <f t="shared" si="67"/>
        <v>√</v>
      </c>
      <c r="V46" s="1987" t="str">
        <f t="shared" si="67"/>
        <v>√</v>
      </c>
      <c r="W46" s="1987" t="str">
        <f t="shared" ca="1" si="67"/>
        <v>√</v>
      </c>
      <c r="X46" s="1987" t="str">
        <f t="shared" si="67"/>
        <v>√</v>
      </c>
      <c r="Y46" s="1987" t="str">
        <f t="shared" si="67"/>
        <v>√</v>
      </c>
      <c r="Z46" s="1987" t="str">
        <f t="shared" ref="Z46" si="68">IF(Z45=0,"√","×")</f>
        <v>√</v>
      </c>
      <c r="AA46" s="1987" t="str">
        <f t="shared" si="67"/>
        <v>×</v>
      </c>
      <c r="AB46" s="1987" t="str">
        <f t="shared" si="67"/>
        <v>√</v>
      </c>
      <c r="AC46" s="1906" t="str">
        <f t="shared" ca="1" si="67"/>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69">D36</f>
        <v>0</v>
      </c>
      <c r="E50" s="1873">
        <f t="shared" si="69"/>
        <v>0</v>
      </c>
      <c r="F50" s="1873">
        <f t="shared" si="69"/>
        <v>0</v>
      </c>
      <c r="G50" s="1873">
        <f t="shared" si="69"/>
        <v>0</v>
      </c>
      <c r="H50" s="1873">
        <f t="shared" si="69"/>
        <v>0</v>
      </c>
      <c r="I50" s="1873">
        <f t="shared" si="69"/>
        <v>0</v>
      </c>
      <c r="J50" s="1873">
        <f t="shared" si="69"/>
        <v>0</v>
      </c>
      <c r="K50" s="1873">
        <f t="shared" si="69"/>
        <v>0</v>
      </c>
      <c r="L50" s="1873">
        <f t="shared" si="69"/>
        <v>0</v>
      </c>
      <c r="M50" s="1873">
        <f t="shared" si="69"/>
        <v>0</v>
      </c>
      <c r="N50" s="1873">
        <f t="shared" si="69"/>
        <v>-25297789.149999999</v>
      </c>
      <c r="O50" s="1873">
        <f t="shared" si="69"/>
        <v>0</v>
      </c>
      <c r="P50" s="2003">
        <f t="shared" si="69"/>
        <v>-25297789.149999999</v>
      </c>
      <c r="Q50" s="1982">
        <f t="shared" si="69"/>
        <v>100000000</v>
      </c>
      <c r="R50" s="1982">
        <f t="shared" ca="1" si="69"/>
        <v>0</v>
      </c>
      <c r="S50" s="1982">
        <f t="shared" ca="1" si="69"/>
        <v>0</v>
      </c>
      <c r="T50" s="1982">
        <f t="shared" ca="1" si="69"/>
        <v>0</v>
      </c>
      <c r="U50" s="1983">
        <f t="shared" si="69"/>
        <v>0</v>
      </c>
      <c r="V50" s="1983">
        <f t="shared" si="69"/>
        <v>0</v>
      </c>
      <c r="W50" s="1983">
        <f t="shared" ca="1" si="69"/>
        <v>0</v>
      </c>
      <c r="X50" s="1983">
        <f t="shared" si="69"/>
        <v>0</v>
      </c>
      <c r="Y50" s="1983">
        <f t="shared" si="69"/>
        <v>0</v>
      </c>
      <c r="Z50" s="1983">
        <f t="shared" si="69"/>
        <v>0</v>
      </c>
      <c r="AA50" s="1983">
        <f t="shared" si="69"/>
        <v>-47230884.140000001</v>
      </c>
      <c r="AB50" s="1983">
        <f t="shared" si="69"/>
        <v>0</v>
      </c>
      <c r="AC50" s="1899">
        <f t="shared" ca="1" si="69"/>
        <v>52769115.859999999</v>
      </c>
      <c r="AD50" s="1973"/>
      <c r="AE50" s="1973"/>
      <c r="AF50" s="1973"/>
      <c r="AG50" s="1973"/>
    </row>
    <row r="51" spans="1:33" s="1974" customFormat="1" ht="18">
      <c r="A51" s="2879" t="s">
        <v>2565</v>
      </c>
      <c r="B51" s="2880"/>
      <c r="C51" s="2004" t="s">
        <v>5845</v>
      </c>
      <c r="D51" s="1873">
        <f>BS!K38</f>
        <v>0</v>
      </c>
      <c r="E51" s="1873">
        <f>BS!K40</f>
        <v>0</v>
      </c>
      <c r="F51" s="1873">
        <f>BS!K41</f>
        <v>0</v>
      </c>
      <c r="G51" s="1873">
        <f>BS!K39-BS!K40-BS!K41</f>
        <v>0</v>
      </c>
      <c r="H51" s="1873">
        <f>BS!K42</f>
        <v>0</v>
      </c>
      <c r="I51" s="1873">
        <f>BS!K43</f>
        <v>0</v>
      </c>
      <c r="J51" s="1873">
        <f>BS!K44</f>
        <v>0</v>
      </c>
      <c r="K51" s="1873">
        <f>BS!K45</f>
        <v>0</v>
      </c>
      <c r="L51" s="1873">
        <f>BS!K46</f>
        <v>0</v>
      </c>
      <c r="M51" s="1873">
        <f>BS!K47</f>
        <v>0</v>
      </c>
      <c r="N51" s="1873">
        <f>BS!K48</f>
        <v>-25297789.149999999</v>
      </c>
      <c r="O51" s="1873"/>
      <c r="P51" s="2003">
        <f>BS!K49</f>
        <v>-25297789.149999999</v>
      </c>
      <c r="Q51" s="1982">
        <f>BS!L38</f>
        <v>100000000</v>
      </c>
      <c r="R51" s="1982">
        <f>BS!L40</f>
        <v>0</v>
      </c>
      <c r="S51" s="1982">
        <f>BS!L41</f>
        <v>0</v>
      </c>
      <c r="T51" s="1982">
        <f>BS!L39-BS!L40-BS!L41</f>
        <v>0</v>
      </c>
      <c r="U51" s="1983">
        <f>BS!L42</f>
        <v>0</v>
      </c>
      <c r="V51" s="1983">
        <f>BS!L43</f>
        <v>0</v>
      </c>
      <c r="W51" s="1983">
        <f>BS!L44</f>
        <v>0</v>
      </c>
      <c r="X51" s="1983">
        <f>BS!L45</f>
        <v>0</v>
      </c>
      <c r="Y51" s="1983">
        <f>BS!L46</f>
        <v>0</v>
      </c>
      <c r="Z51" s="1983">
        <f>BS!L47</f>
        <v>0</v>
      </c>
      <c r="AA51" s="1983">
        <f>BS!L48</f>
        <v>-47230884.140000001</v>
      </c>
      <c r="AB51" s="1983"/>
      <c r="AC51" s="1899">
        <f>BS!L49</f>
        <v>52769115.859999999</v>
      </c>
      <c r="AD51" s="1973"/>
      <c r="AE51" s="1973"/>
      <c r="AF51" s="1973"/>
      <c r="AG51" s="1973"/>
    </row>
    <row r="52" spans="1:33" s="1974" customFormat="1" ht="18.75" thickBot="1">
      <c r="A52" s="2879" t="s">
        <v>2565</v>
      </c>
      <c r="B52" s="2880"/>
      <c r="C52" s="2005" t="s">
        <v>2580</v>
      </c>
      <c r="D52" s="1986">
        <f t="shared" ref="D52:AC52" si="70">ROUND(D50-D51,2)</f>
        <v>0</v>
      </c>
      <c r="E52" s="1986">
        <f t="shared" si="70"/>
        <v>0</v>
      </c>
      <c r="F52" s="1986">
        <f t="shared" si="70"/>
        <v>0</v>
      </c>
      <c r="G52" s="1986">
        <f t="shared" si="70"/>
        <v>0</v>
      </c>
      <c r="H52" s="1986">
        <f t="shared" si="70"/>
        <v>0</v>
      </c>
      <c r="I52" s="1986">
        <f t="shared" si="70"/>
        <v>0</v>
      </c>
      <c r="J52" s="1986">
        <f t="shared" si="70"/>
        <v>0</v>
      </c>
      <c r="K52" s="1986">
        <f t="shared" si="70"/>
        <v>0</v>
      </c>
      <c r="L52" s="1986">
        <f t="shared" si="70"/>
        <v>0</v>
      </c>
      <c r="M52" s="1986">
        <f t="shared" ref="M52" si="71">ROUND(M50-M51,2)</f>
        <v>0</v>
      </c>
      <c r="N52" s="1986">
        <f t="shared" si="70"/>
        <v>0</v>
      </c>
      <c r="O52" s="1986">
        <f t="shared" si="70"/>
        <v>0</v>
      </c>
      <c r="P52" s="2006">
        <f t="shared" si="70"/>
        <v>0</v>
      </c>
      <c r="Q52" s="1902">
        <f t="shared" si="70"/>
        <v>0</v>
      </c>
      <c r="R52" s="1902">
        <f t="shared" ca="1" si="70"/>
        <v>0</v>
      </c>
      <c r="S52" s="1902">
        <f t="shared" ca="1" si="70"/>
        <v>0</v>
      </c>
      <c r="T52" s="1902">
        <f t="shared" ca="1" si="70"/>
        <v>0</v>
      </c>
      <c r="U52" s="1986">
        <f t="shared" si="70"/>
        <v>0</v>
      </c>
      <c r="V52" s="1986">
        <f t="shared" si="70"/>
        <v>0</v>
      </c>
      <c r="W52" s="1986">
        <f t="shared" ca="1" si="70"/>
        <v>0</v>
      </c>
      <c r="X52" s="1986">
        <f t="shared" si="70"/>
        <v>0</v>
      </c>
      <c r="Y52" s="1986">
        <f t="shared" si="70"/>
        <v>0</v>
      </c>
      <c r="Z52" s="1986">
        <f t="shared" ref="Z52" si="72">ROUND(Z50-Z51,2)</f>
        <v>0</v>
      </c>
      <c r="AA52" s="1986">
        <f t="shared" si="70"/>
        <v>0</v>
      </c>
      <c r="AB52" s="1986">
        <f t="shared" si="70"/>
        <v>0</v>
      </c>
      <c r="AC52" s="1903">
        <f t="shared" ca="1" si="70"/>
        <v>0</v>
      </c>
      <c r="AD52" s="1973"/>
      <c r="AE52" s="1973"/>
      <c r="AF52" s="1973"/>
      <c r="AG52" s="1973"/>
    </row>
    <row r="53" spans="1:33" s="1974" customFormat="1" ht="19.5" thickTop="1" thickBot="1">
      <c r="A53" s="2879" t="s">
        <v>2565</v>
      </c>
      <c r="B53" s="2880"/>
      <c r="C53" s="2007" t="s">
        <v>5820</v>
      </c>
      <c r="D53" s="2008" t="str">
        <f t="shared" ref="D53:AC53" si="73">IF(D52=0,"√","×")</f>
        <v>√</v>
      </c>
      <c r="E53" s="2008" t="str">
        <f t="shared" si="73"/>
        <v>√</v>
      </c>
      <c r="F53" s="2008" t="str">
        <f t="shared" si="73"/>
        <v>√</v>
      </c>
      <c r="G53" s="2008" t="str">
        <f t="shared" si="73"/>
        <v>√</v>
      </c>
      <c r="H53" s="2008" t="str">
        <f t="shared" si="73"/>
        <v>√</v>
      </c>
      <c r="I53" s="2008" t="str">
        <f t="shared" si="73"/>
        <v>√</v>
      </c>
      <c r="J53" s="2008" t="str">
        <f t="shared" si="73"/>
        <v>√</v>
      </c>
      <c r="K53" s="2008" t="str">
        <f t="shared" si="73"/>
        <v>√</v>
      </c>
      <c r="L53" s="2008" t="str">
        <f t="shared" si="73"/>
        <v>√</v>
      </c>
      <c r="M53" s="2008" t="str">
        <f t="shared" ref="M53" si="74">IF(M52=0,"√","×")</f>
        <v>√</v>
      </c>
      <c r="N53" s="2008" t="str">
        <f t="shared" si="73"/>
        <v>√</v>
      </c>
      <c r="O53" s="2008" t="str">
        <f t="shared" si="73"/>
        <v>√</v>
      </c>
      <c r="P53" s="2009" t="str">
        <f t="shared" si="73"/>
        <v>√</v>
      </c>
      <c r="Q53" s="2010" t="str">
        <f t="shared" si="73"/>
        <v>√</v>
      </c>
      <c r="R53" s="2010" t="str">
        <f t="shared" ca="1" si="73"/>
        <v>√</v>
      </c>
      <c r="S53" s="2010" t="str">
        <f t="shared" ca="1" si="73"/>
        <v>√</v>
      </c>
      <c r="T53" s="2010" t="str">
        <f t="shared" ca="1" si="73"/>
        <v>√</v>
      </c>
      <c r="U53" s="2008" t="str">
        <f t="shared" si="73"/>
        <v>√</v>
      </c>
      <c r="V53" s="2008" t="str">
        <f t="shared" si="73"/>
        <v>√</v>
      </c>
      <c r="W53" s="2008" t="str">
        <f t="shared" ca="1" si="73"/>
        <v>√</v>
      </c>
      <c r="X53" s="2008" t="str">
        <f t="shared" si="73"/>
        <v>√</v>
      </c>
      <c r="Y53" s="2008" t="str">
        <f t="shared" si="73"/>
        <v>√</v>
      </c>
      <c r="Z53" s="2008" t="str">
        <f t="shared" ref="Z53" si="75">IF(Z52=0,"√","×")</f>
        <v>√</v>
      </c>
      <c r="AA53" s="2008" t="str">
        <f t="shared" si="73"/>
        <v>√</v>
      </c>
      <c r="AB53" s="2008" t="str">
        <f t="shared" si="73"/>
        <v>√</v>
      </c>
      <c r="AC53" s="2011" t="str">
        <f t="shared" ca="1" si="73"/>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password="94A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3912" priority="128" stopIfTrue="1" operator="notEqual">
      <formula>0</formula>
    </cfRule>
  </conditionalFormatting>
  <conditionalFormatting sqref="C47:C48 C41">
    <cfRule type="expression" dxfId="3911" priority="127" stopIfTrue="1">
      <formula>#REF!=TRUE</formula>
    </cfRule>
  </conditionalFormatting>
  <conditionalFormatting sqref="C47:C48 C41">
    <cfRule type="expression" dxfId="3910"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555" workbookViewId="0">
      <selection activeCell="H563" sqref="H563"/>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华软金信科技（北京）有限公司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43861</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92"/>
      <c r="U6" s="1647" t="s">
        <v>6812</v>
      </c>
    </row>
    <row r="7" spans="1:21" ht="12.75" thickTop="1">
      <c r="A7" s="1647"/>
      <c r="B7" s="1647"/>
      <c r="C7" s="1647"/>
      <c r="D7" s="876"/>
      <c r="E7" s="877"/>
      <c r="F7" s="878" t="s">
        <v>2437</v>
      </c>
      <c r="G7" s="879"/>
      <c r="H7" s="879"/>
      <c r="I7" s="906"/>
      <c r="J7" s="907" t="s">
        <v>2444</v>
      </c>
      <c r="K7" s="908"/>
      <c r="L7" s="908"/>
      <c r="M7" s="909"/>
      <c r="N7" s="641"/>
      <c r="O7" s="641"/>
      <c r="P7" s="641"/>
      <c r="Q7" s="641"/>
      <c r="T7" s="3093"/>
      <c r="U7" s="906"/>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100"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94">
        <v>1</v>
      </c>
      <c r="U9" s="3101"/>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94">
        <v>1000</v>
      </c>
      <c r="U10" s="3101"/>
    </row>
    <row r="11" spans="1:21" ht="18">
      <c r="A11" s="1648">
        <f t="shared" si="0"/>
        <v>0</v>
      </c>
      <c r="B11" s="1647">
        <f t="shared" si="1"/>
        <v>1</v>
      </c>
      <c r="C11" s="1647" t="str">
        <f t="shared" si="2"/>
        <v>J</v>
      </c>
      <c r="D11" s="1659">
        <v>1015</v>
      </c>
      <c r="E11" s="886" t="str">
        <f t="shared" si="3"/>
        <v>货币资金</v>
      </c>
      <c r="F11" s="884">
        <f t="shared" ref="F11:F62" si="4">VLOOKUP($D11,Sheet_Prebs1,4,0)</f>
        <v>0</v>
      </c>
      <c r="G11" s="885">
        <f>SUMIF(AJE!$B:$B,$C11&amp;$D11&amp;"*",AJE!$O:$O)</f>
        <v>0</v>
      </c>
      <c r="H11" s="885">
        <f>SUMIF(AJE!$B:$B,$C11&amp;$D11&amp;"*",AJE!$P:$P)</f>
        <v>0</v>
      </c>
      <c r="I11" s="913">
        <f>($B11*F11+G11-H11)*$B11</f>
        <v>0</v>
      </c>
      <c r="J11" s="914">
        <f t="shared" ref="J11:J62" si="5">VLOOKUP($D11,Sheet_Prebs1,5,0)</f>
        <v>340266.93</v>
      </c>
      <c r="K11" s="885">
        <f>SUMIF('AJE1'!$B:$B,$C11&amp;$D11&amp;"*",'AJE1'!$O:$O)</f>
        <v>0</v>
      </c>
      <c r="L11" s="885">
        <f>SUMIF('AJE1'!$B:$B,$C11&amp;$D11&amp;"*",'AJE1'!$P:$P)</f>
        <v>0</v>
      </c>
      <c r="M11" s="891">
        <f t="shared" ref="M11:M62" si="6">($B11*J11+K11-L11)*$B11</f>
        <v>340266.93</v>
      </c>
      <c r="N11" s="641"/>
      <c r="O11" s="641"/>
      <c r="P11" s="641"/>
      <c r="Q11" s="641"/>
      <c r="T11" s="3094">
        <v>1015</v>
      </c>
      <c r="U11" s="3101">
        <v>340266.93</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94">
        <v>1021</v>
      </c>
      <c r="U12" s="3101">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94">
        <v>1302</v>
      </c>
      <c r="U13" s="3101">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94">
        <v>1101</v>
      </c>
      <c r="U14" s="3101">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94">
        <v>1115</v>
      </c>
      <c r="U15" s="3101">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94">
        <v>1123</v>
      </c>
      <c r="U16" s="3101">
        <v>0</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0</v>
      </c>
      <c r="G17" s="885">
        <f>SUMIF(AJE!$B:$B,$C17&amp;$D17&amp;"*",AJE!$O:$O)+SUMIF(AJE!$B:$B,"J1121*",AJE!$O:$O)+SUMIF(AJE!$B:$B,"J1122*",AJE!$O:$O)</f>
        <v>0</v>
      </c>
      <c r="H17" s="885">
        <f>SUMIF(AJE!$B:$B,$C17&amp;$D17&amp;"*",AJE!$P:$P)+SUMIF(AJE!$B:$B,"J1121*",AJE!$P:$P)+SUMIF(AJE!$B:$B,"J1122*",AJE!$P:$P)</f>
        <v>0</v>
      </c>
      <c r="I17" s="913">
        <f>($B17*F17+G17-H17)*$B17</f>
        <v>0</v>
      </c>
      <c r="J17" s="914">
        <f>SUM(J18:J19)</f>
        <v>0</v>
      </c>
      <c r="K17" s="885">
        <f>SUMIF('AJE1'!$B:$B,$C17&amp;$D17&amp;"*",'AJE1'!$O:$O)+SUMIF('AJE1'!$B:$B,"J1121*",'AJE1'!$O:$O)+SUMIF('AJE1'!$B:$B,"J1122*",'AJE1'!$O:$O)</f>
        <v>0</v>
      </c>
      <c r="L17" s="885">
        <f>SUMIF('AJE1'!$B:$B,$C17&amp;$D17&amp;"*",'AJE1'!$P:$P)+SUMIF('AJE1'!$B:$B,"J1121*",'AJE1'!$P:$P)+SUMIF('AJE1'!$B:$B,"J1122*",'AJE1'!$P:$P)</f>
        <v>0</v>
      </c>
      <c r="M17" s="891">
        <f t="shared" si="6"/>
        <v>0</v>
      </c>
      <c r="N17" s="641"/>
      <c r="O17" s="641"/>
      <c r="P17" s="641"/>
      <c r="Q17" s="641"/>
      <c r="T17" s="3094">
        <v>1121</v>
      </c>
      <c r="U17" s="3101">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94">
        <v>1122</v>
      </c>
      <c r="U18" s="3101">
        <v>0</v>
      </c>
    </row>
    <row r="19" spans="1:21" ht="18">
      <c r="A19" s="1648">
        <f t="shared" si="0"/>
        <v>0</v>
      </c>
      <c r="B19" s="1647">
        <f t="shared" si="1"/>
        <v>1</v>
      </c>
      <c r="C19" s="1647" t="str">
        <f t="shared" si="2"/>
        <v>J</v>
      </c>
      <c r="D19" s="1659">
        <v>1122</v>
      </c>
      <c r="E19" s="886" t="str">
        <f t="shared" si="3"/>
        <v>应收账款</v>
      </c>
      <c r="F19" s="884">
        <f t="shared" si="4"/>
        <v>0</v>
      </c>
      <c r="G19" s="885">
        <f>SUMIF(AJE!$B:$B,$C19&amp;$D19&amp;"*",AJE!$O:$O)</f>
        <v>0</v>
      </c>
      <c r="H19" s="885">
        <f>SUMIF(AJE!$B:$B,$C19&amp;$D19&amp;"*",AJE!$P:$P)</f>
        <v>0</v>
      </c>
      <c r="I19" s="913">
        <f t="shared" si="7"/>
        <v>0</v>
      </c>
      <c r="J19" s="914">
        <f t="shared" si="5"/>
        <v>0</v>
      </c>
      <c r="K19" s="885">
        <f>SUMIF('AJE1'!$B:$B,$C19&amp;$D19&amp;"*",'AJE1'!$O:$O)</f>
        <v>0</v>
      </c>
      <c r="L19" s="885">
        <f>SUMIF('AJE1'!$B:$B,$C19&amp;$D19&amp;"*",'AJE1'!$P:$P)</f>
        <v>0</v>
      </c>
      <c r="M19" s="891">
        <f t="shared" si="6"/>
        <v>0</v>
      </c>
      <c r="N19" s="641"/>
      <c r="O19" s="641"/>
      <c r="P19" s="641"/>
      <c r="Q19" s="641"/>
      <c r="T19" s="3094">
        <v>1125</v>
      </c>
      <c r="U19" s="3101">
        <v>496233.65</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0</v>
      </c>
      <c r="H20" s="885">
        <f>SUMIF(AJE!$B:$B,$C20&amp;$D20&amp;"*",AJE!$P:$P)</f>
        <v>0</v>
      </c>
      <c r="I20" s="913">
        <f>($B20*F20+G20-H20)*$B20</f>
        <v>0</v>
      </c>
      <c r="J20" s="914">
        <f t="shared" si="5"/>
        <v>0</v>
      </c>
      <c r="K20" s="885">
        <f>SUMIF('AJE1'!$B:$B,$C20&amp;$D20&amp;"*",'AJE1'!$O:$O)</f>
        <v>0</v>
      </c>
      <c r="L20" s="885">
        <f>SUMIF('AJE1'!$B:$B,$C20&amp;$D20&amp;"*",'AJE1'!$P:$P)</f>
        <v>0</v>
      </c>
      <c r="M20" s="891">
        <f t="shared" ref="M20" si="9">($B20*J20+K20-L20)*$B20</f>
        <v>0</v>
      </c>
      <c r="N20" s="641"/>
      <c r="O20" s="641"/>
      <c r="P20" s="641"/>
      <c r="Q20" s="641"/>
      <c r="T20" s="3094">
        <v>1127</v>
      </c>
      <c r="U20" s="3101">
        <v>0</v>
      </c>
    </row>
    <row r="21" spans="1:21" ht="18">
      <c r="A21" s="1648">
        <f t="shared" si="0"/>
        <v>0</v>
      </c>
      <c r="B21" s="1647">
        <f t="shared" si="1"/>
        <v>1</v>
      </c>
      <c r="C21" s="1647" t="str">
        <f t="shared" si="2"/>
        <v>J</v>
      </c>
      <c r="D21" s="1659">
        <v>1125</v>
      </c>
      <c r="E21" s="886" t="str">
        <f t="shared" si="3"/>
        <v>预付款项</v>
      </c>
      <c r="F21" s="884">
        <f t="shared" si="4"/>
        <v>0</v>
      </c>
      <c r="G21" s="885">
        <f>SUMIF(AJE!$B:$B,$C21&amp;$D21&amp;"*",AJE!$O:$O)</f>
        <v>0</v>
      </c>
      <c r="H21" s="885">
        <f>SUMIF(AJE!$B:$B,$C21&amp;$D21&amp;"*",AJE!$P:$P)</f>
        <v>0</v>
      </c>
      <c r="I21" s="913">
        <f t="shared" si="7"/>
        <v>0</v>
      </c>
      <c r="J21" s="914">
        <f t="shared" si="5"/>
        <v>496233.65</v>
      </c>
      <c r="K21" s="885">
        <f>SUMIF('AJE1'!$B:$B,$C21&amp;$D21&amp;"*",'AJE1'!$O:$O)</f>
        <v>0</v>
      </c>
      <c r="L21" s="885">
        <f>SUMIF('AJE1'!$B:$B,$C21&amp;$D21&amp;"*",'AJE1'!$P:$P)</f>
        <v>0</v>
      </c>
      <c r="M21" s="891">
        <f t="shared" si="6"/>
        <v>496233.65</v>
      </c>
      <c r="N21" s="641"/>
      <c r="O21" s="641"/>
      <c r="P21" s="641"/>
      <c r="Q21" s="641"/>
      <c r="T21" s="3094">
        <v>1211</v>
      </c>
      <c r="U21" s="3101">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94">
        <v>1212</v>
      </c>
      <c r="U22" s="3101">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94">
        <v>1220</v>
      </c>
      <c r="U23" s="3101">
        <v>4191637.3</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94">
        <v>1132</v>
      </c>
      <c r="U24" s="3101">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0</v>
      </c>
      <c r="G25" s="885">
        <f>SUMIF(AJE!$B:$B,"J1221*",AJE!$O:$O)+SUMIF(AJE!$B:$B,"J1132*",AJE!$O:$O)+SUMIF(AJE!$B:$B,"J1131*",AJE!$O:$O)</f>
        <v>0</v>
      </c>
      <c r="H25" s="885">
        <f>SUMIF(AJE!$B:$B,"J1221*",AJE!$P:$P)+SUMIF(AJE!$B:$B,"J1132*",AJE!$P:$P)+SUMIF(AJE!$B:$B,"J1131*",AJE!$P:$P)</f>
        <v>0</v>
      </c>
      <c r="I25" s="913">
        <f>($B25*F25+G25-H25)*$B25</f>
        <v>0</v>
      </c>
      <c r="J25" s="914">
        <f t="shared" si="5"/>
        <v>4191637.3</v>
      </c>
      <c r="K25" s="885">
        <f>SUMIF('AJE1'!$B:$B,"J1221*",'AJE1'!$O:$O)+SUMIF('AJE1'!$B:$B,"J1132*",'AJE1'!$O:$O)+SUMIF('AJE1'!$B:$B,"J1131*",'AJE1'!$O:$O)</f>
        <v>0</v>
      </c>
      <c r="L25" s="885">
        <f>SUMIF('AJE1'!$B:$B,"J1221*",'AJE1'!$P:$P)+SUMIF('AJE1'!$B:$B,"J1132*",'AJE1'!$P:$P)+SUMIF('AJE1'!$B:$B,"J1131*",'AJE1'!$P:$P)</f>
        <v>0</v>
      </c>
      <c r="M25" s="891">
        <f t="shared" si="6"/>
        <v>4191637.3</v>
      </c>
      <c r="N25" s="641"/>
      <c r="O25" s="641"/>
      <c r="P25" s="641"/>
      <c r="Q25" s="641"/>
      <c r="T25" s="3094">
        <v>1131</v>
      </c>
      <c r="U25" s="3101">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94">
        <v>1221</v>
      </c>
      <c r="U26" s="3101">
        <v>4191637.3</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94">
        <v>1111</v>
      </c>
      <c r="U27" s="3101">
        <v>0</v>
      </c>
    </row>
    <row r="28" spans="1:21" ht="18">
      <c r="A28" s="1648">
        <f t="shared" si="0"/>
        <v>0</v>
      </c>
      <c r="B28" s="1647">
        <f t="shared" si="1"/>
        <v>1</v>
      </c>
      <c r="C28" s="1647" t="str">
        <f t="shared" si="2"/>
        <v>J</v>
      </c>
      <c r="D28" s="1659">
        <v>1221</v>
      </c>
      <c r="E28" s="2185" t="str">
        <f t="shared" si="3"/>
        <v>其他应收款</v>
      </c>
      <c r="F28" s="884">
        <f t="shared" si="4"/>
        <v>0</v>
      </c>
      <c r="G28" s="885">
        <f>SUMIF(AJE!$B:$B,$C28&amp;$D28&amp;"*",AJE!$O:$O)</f>
        <v>0</v>
      </c>
      <c r="H28" s="885">
        <f>SUMIF(AJE!$B:$B,$C28&amp;$D28&amp;"*",AJE!$P:$P)</f>
        <v>0</v>
      </c>
      <c r="I28" s="913">
        <f t="shared" si="7"/>
        <v>0</v>
      </c>
      <c r="J28" s="914">
        <f t="shared" si="5"/>
        <v>4191637.3</v>
      </c>
      <c r="K28" s="885">
        <f>SUMIF('AJE1'!$B:$B,$C28&amp;$D28&amp;"*",'AJE1'!$O:$O)</f>
        <v>0</v>
      </c>
      <c r="L28" s="885">
        <f>SUMIF('AJE1'!$B:$B,$C28&amp;$D28&amp;"*",'AJE1'!$P:$P)</f>
        <v>0</v>
      </c>
      <c r="M28" s="891">
        <f t="shared" si="6"/>
        <v>4191637.3</v>
      </c>
      <c r="N28" s="641"/>
      <c r="O28" s="641"/>
      <c r="P28" s="641"/>
      <c r="Q28" s="641"/>
      <c r="T28" s="3094">
        <v>1400</v>
      </c>
      <c r="U28" s="3101">
        <v>0</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94">
        <v>1315</v>
      </c>
      <c r="U29" s="3101">
        <v>0</v>
      </c>
    </row>
    <row r="30" spans="1:21" ht="18">
      <c r="A30" s="1648">
        <f t="shared" si="0"/>
        <v>0</v>
      </c>
      <c r="B30" s="1647">
        <f t="shared" si="1"/>
        <v>1</v>
      </c>
      <c r="C30" s="1647" t="str">
        <f t="shared" si="2"/>
        <v>J</v>
      </c>
      <c r="D30" s="1659">
        <v>1400</v>
      </c>
      <c r="E30" s="888" t="str">
        <f t="shared" si="3"/>
        <v>存货</v>
      </c>
      <c r="F30" s="884">
        <f t="shared" si="4"/>
        <v>0</v>
      </c>
      <c r="G30" s="885">
        <f>SUMIF(AJE!$B:$B,$C30&amp;$D30&amp;"*",AJE!$O:$O)</f>
        <v>0</v>
      </c>
      <c r="H30" s="885">
        <f>SUMIF(AJE!$B:$B,$C30&amp;$D30&amp;"*",AJE!$P:$P)</f>
        <v>0</v>
      </c>
      <c r="I30" s="913">
        <f t="shared" si="7"/>
        <v>0</v>
      </c>
      <c r="J30" s="914">
        <f t="shared" si="5"/>
        <v>0</v>
      </c>
      <c r="K30" s="885">
        <f>SUMIF('AJE1'!$B:$B,$C30&amp;$D30&amp;"*",'AJE1'!$O:$O)</f>
        <v>0</v>
      </c>
      <c r="L30" s="885">
        <f>SUMIF('AJE1'!$B:$B,$C30&amp;$D30&amp;"*",'AJE1'!$P:$P)</f>
        <v>0</v>
      </c>
      <c r="M30" s="891">
        <f t="shared" si="6"/>
        <v>0</v>
      </c>
      <c r="N30" s="641"/>
      <c r="O30" s="641"/>
      <c r="P30" s="641"/>
      <c r="Q30" s="641"/>
      <c r="T30" s="3094">
        <v>1495</v>
      </c>
      <c r="U30" s="3101">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94">
        <v>1496</v>
      </c>
      <c r="U31" s="3101">
        <v>0</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94">
        <v>1498</v>
      </c>
      <c r="U32" s="3101">
        <v>5028137.88</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94">
        <v>1500</v>
      </c>
      <c r="U33" s="3101"/>
    </row>
    <row r="34" spans="1:21" ht="18">
      <c r="A34" s="1648">
        <f t="shared" si="0"/>
        <v>0</v>
      </c>
      <c r="B34" s="1647">
        <f t="shared" si="1"/>
        <v>1</v>
      </c>
      <c r="C34" s="1647" t="str">
        <f t="shared" si="2"/>
        <v>J</v>
      </c>
      <c r="D34" s="1659">
        <v>1496</v>
      </c>
      <c r="E34" s="888" t="str">
        <f t="shared" si="3"/>
        <v>其他流动资产</v>
      </c>
      <c r="F34" s="884">
        <f t="shared" si="4"/>
        <v>0</v>
      </c>
      <c r="G34" s="885">
        <f>SUMIF(AJE!$B:$B,$C34&amp;$D34&amp;"*",AJE!$O:$O)</f>
        <v>0</v>
      </c>
      <c r="H34" s="885">
        <f>SUMIF(AJE!$B:$B,$C34&amp;$D34&amp;"*",AJE!$P:$P)</f>
        <v>0</v>
      </c>
      <c r="I34" s="913">
        <f t="shared" si="7"/>
        <v>0</v>
      </c>
      <c r="J34" s="914">
        <f t="shared" si="5"/>
        <v>0</v>
      </c>
      <c r="K34" s="885">
        <f>SUMIF('AJE1'!$B:$B,$C34&amp;$D34&amp;"*",'AJE1'!$O:$O)</f>
        <v>0</v>
      </c>
      <c r="L34" s="885">
        <f>SUMIF('AJE1'!$B:$B,$C34&amp;$D34&amp;"*",'AJE1'!$P:$P)</f>
        <v>0</v>
      </c>
      <c r="M34" s="891">
        <f t="shared" si="6"/>
        <v>0</v>
      </c>
      <c r="N34" s="641"/>
      <c r="O34" s="641"/>
      <c r="P34" s="641"/>
      <c r="Q34" s="641"/>
      <c r="T34" s="3094">
        <v>1600</v>
      </c>
      <c r="U34" s="3101">
        <v>0</v>
      </c>
    </row>
    <row r="35" spans="1:21" ht="18">
      <c r="A35" s="1648" t="str">
        <f t="shared" si="0"/>
        <v>＝</v>
      </c>
      <c r="B35" s="1647">
        <f t="shared" si="1"/>
        <v>0</v>
      </c>
      <c r="C35" s="1647">
        <f t="shared" si="2"/>
        <v>0</v>
      </c>
      <c r="D35" s="1659">
        <v>1498</v>
      </c>
      <c r="E35" s="888" t="str">
        <f t="shared" si="3"/>
        <v>流动资产</v>
      </c>
      <c r="F35" s="884">
        <f>SUM(F11:F34)-SUM(F17,F26,F27,F28)</f>
        <v>0</v>
      </c>
      <c r="G35" s="885">
        <f t="shared" ref="G35:M35" si="11">SUM(G11:G34)-SUM(G17,G26,G27,G28)</f>
        <v>0</v>
      </c>
      <c r="H35" s="885">
        <f t="shared" si="11"/>
        <v>0</v>
      </c>
      <c r="I35" s="913">
        <f t="shared" si="11"/>
        <v>0</v>
      </c>
      <c r="J35" s="914">
        <f t="shared" si="11"/>
        <v>5028137.88</v>
      </c>
      <c r="K35" s="885">
        <f t="shared" si="11"/>
        <v>0</v>
      </c>
      <c r="L35" s="885">
        <f t="shared" si="11"/>
        <v>0</v>
      </c>
      <c r="M35" s="891">
        <f t="shared" si="11"/>
        <v>5028137.88</v>
      </c>
      <c r="N35" s="641"/>
      <c r="O35" s="641"/>
      <c r="P35" s="641"/>
      <c r="Q35" s="641"/>
      <c r="T35" s="3094">
        <v>1503</v>
      </c>
      <c r="U35" s="3101">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94">
        <v>1501</v>
      </c>
      <c r="U36" s="3101">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94">
        <v>1531</v>
      </c>
      <c r="U37" s="3101">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94">
        <v>1515</v>
      </c>
      <c r="U38" s="3101">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94">
        <v>1511</v>
      </c>
      <c r="U39" s="3101">
        <v>445619464.50999999</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94">
        <v>1521</v>
      </c>
      <c r="U40" s="3101">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94">
        <v>1611</v>
      </c>
      <c r="U41" s="3101">
        <v>221616.66</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94">
        <v>1601</v>
      </c>
      <c r="U42" s="3101">
        <v>221616.66</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94">
        <v>1606</v>
      </c>
      <c r="U43" s="3101">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445619464.50999999</v>
      </c>
      <c r="K44" s="885">
        <f>SUMIF('AJE1'!$B:$B,$C44&amp;$D44&amp;"*",'AJE1'!$O:$O)</f>
        <v>0</v>
      </c>
      <c r="L44" s="885">
        <f>SUMIF('AJE1'!$B:$B,$C44&amp;$D44&amp;"*",'AJE1'!$P:$P)</f>
        <v>0</v>
      </c>
      <c r="M44" s="891">
        <f t="shared" si="6"/>
        <v>445619464.50999999</v>
      </c>
      <c r="N44" s="641"/>
      <c r="O44" s="641"/>
      <c r="P44" s="641"/>
      <c r="Q44" s="641"/>
      <c r="T44" s="3094">
        <v>1616</v>
      </c>
      <c r="U44" s="3101">
        <v>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94">
        <v>1604</v>
      </c>
      <c r="U45" s="3101">
        <v>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94">
        <v>1605</v>
      </c>
      <c r="U46" s="3101">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94">
        <v>1621</v>
      </c>
      <c r="U47" s="3101">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0</v>
      </c>
      <c r="G48" s="885">
        <f>SUMIF(AJE!$B:$B,"J1601*",AJE!$O:$O)+SUMIF(AJE!$B:$B,"J1606*",AJE!$O:$O)</f>
        <v>0</v>
      </c>
      <c r="H48" s="885">
        <f>SUMIF(AJE!$B:$B,"J1601*",AJE!$P:$P)+SUMIF(AJE!$B:$B,"J1606*",AJE!$P:$P)</f>
        <v>0</v>
      </c>
      <c r="I48" s="913">
        <f>($B48*F48+G48-H48)*$B48</f>
        <v>0</v>
      </c>
      <c r="J48" s="914">
        <f t="shared" si="5"/>
        <v>221616.66</v>
      </c>
      <c r="K48" s="885">
        <f>SUMIF('AJE1'!$B:$B,"J1601*",'AJE1'!$O:$O)+SUMIF('AJE1'!$B:$B,"J1606*",'AJE1'!$O:$O)</f>
        <v>0</v>
      </c>
      <c r="L48" s="885">
        <f>SUMIF('AJE1'!$B:$B,"J1601*",'AJE1'!$P:$P)+SUMIF('AJE1'!$B:$B,"J1606*",'AJE1'!$P:$P)</f>
        <v>0</v>
      </c>
      <c r="M48" s="891">
        <f t="shared" si="6"/>
        <v>221616.66</v>
      </c>
      <c r="N48" s="641"/>
      <c r="O48" s="641"/>
      <c r="P48" s="641"/>
      <c r="Q48" s="641"/>
      <c r="T48" s="3094">
        <v>1631</v>
      </c>
      <c r="U48" s="3101">
        <v>0</v>
      </c>
    </row>
    <row r="49" spans="1:21" ht="18">
      <c r="A49" s="1648">
        <f t="shared" si="0"/>
        <v>0</v>
      </c>
      <c r="B49" s="1647">
        <f t="shared" si="1"/>
        <v>1</v>
      </c>
      <c r="C49" s="1647" t="str">
        <f t="shared" si="2"/>
        <v>J</v>
      </c>
      <c r="D49" s="1659">
        <v>1601</v>
      </c>
      <c r="E49" s="2188" t="str">
        <f t="shared" si="3"/>
        <v>固定资产</v>
      </c>
      <c r="F49" s="884">
        <f t="shared" si="4"/>
        <v>0</v>
      </c>
      <c r="G49" s="885">
        <f>SUMIF(AJE!$B:$B,$C49&amp;$D49&amp;"*",AJE!$O:$O)</f>
        <v>0</v>
      </c>
      <c r="H49" s="885">
        <f>SUMIF(AJE!$B:$B,$C49&amp;$D49&amp;"*",AJE!$P:$P)</f>
        <v>0</v>
      </c>
      <c r="I49" s="913">
        <f t="shared" si="12"/>
        <v>0</v>
      </c>
      <c r="J49" s="914">
        <f t="shared" si="5"/>
        <v>221616.66</v>
      </c>
      <c r="K49" s="885">
        <f>SUMIF('AJE1'!$B:$B,$C49&amp;$D49&amp;"*",'AJE1'!$O:$O)</f>
        <v>0</v>
      </c>
      <c r="L49" s="885">
        <f>SUMIF('AJE1'!$B:$B,$C49&amp;$D49&amp;"*",'AJE1'!$P:$P)</f>
        <v>0</v>
      </c>
      <c r="M49" s="891">
        <f t="shared" si="6"/>
        <v>221616.66</v>
      </c>
      <c r="N49" s="641"/>
      <c r="O49" s="641"/>
      <c r="P49" s="641"/>
      <c r="Q49" s="641"/>
      <c r="T49" s="3094">
        <v>1701</v>
      </c>
      <c r="U49" s="3101">
        <v>132000</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94">
        <v>1700</v>
      </c>
      <c r="U50" s="3101">
        <v>0</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0</v>
      </c>
      <c r="K51" s="885">
        <f>SUMIF('AJE1'!$B:$B,"J1604*",'AJE1'!$O:$O)+SUMIF('AJE1'!$B:$B,"J1605*",'AJE1'!$O:$O)</f>
        <v>0</v>
      </c>
      <c r="L51" s="885">
        <f>SUMIF('AJE1'!$B:$B,"J1604*",'AJE1'!$P:$P)+SUMIF('AJE1'!$B:$B,"J1605*",'AJE1'!$P:$P)</f>
        <v>0</v>
      </c>
      <c r="M51" s="891">
        <f t="shared" si="6"/>
        <v>0</v>
      </c>
      <c r="N51" s="641"/>
      <c r="O51" s="641"/>
      <c r="P51" s="641"/>
      <c r="Q51" s="641"/>
      <c r="T51" s="3094">
        <v>1711</v>
      </c>
      <c r="U51" s="3101">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0</v>
      </c>
      <c r="K52" s="885">
        <f>SUMIF('AJE1'!$B:$B,$C52&amp;$D52&amp;"*",'AJE1'!$O:$O)</f>
        <v>0</v>
      </c>
      <c r="L52" s="885">
        <f>SUMIF('AJE1'!$B:$B,$C52&amp;$D52&amp;"*",'AJE1'!$P:$P)</f>
        <v>0</v>
      </c>
      <c r="M52" s="891">
        <f t="shared" si="6"/>
        <v>0</v>
      </c>
      <c r="N52" s="641"/>
      <c r="O52" s="641"/>
      <c r="P52" s="641"/>
      <c r="Q52" s="641"/>
      <c r="T52" s="3094">
        <v>1801</v>
      </c>
      <c r="U52" s="3101">
        <v>983014.49</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94">
        <v>1811</v>
      </c>
      <c r="U53" s="3101">
        <v>0</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94">
        <v>1996</v>
      </c>
      <c r="U54" s="3101">
        <v>0</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94">
        <v>1998</v>
      </c>
      <c r="U55" s="3101">
        <v>446956095.66000003</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94">
        <v>1999</v>
      </c>
      <c r="U56" s="3101">
        <v>451984233.54000002</v>
      </c>
    </row>
    <row r="57" spans="1:21" ht="18">
      <c r="A57" s="1648">
        <f t="shared" si="0"/>
        <v>0</v>
      </c>
      <c r="B57" s="1647">
        <f t="shared" si="1"/>
        <v>1</v>
      </c>
      <c r="C57" s="1647" t="str">
        <f t="shared" si="2"/>
        <v>J</v>
      </c>
      <c r="D57" s="1659">
        <v>1701</v>
      </c>
      <c r="E57" s="888" t="str">
        <f t="shared" si="3"/>
        <v>无形资产</v>
      </c>
      <c r="F57" s="884">
        <f t="shared" si="4"/>
        <v>0</v>
      </c>
      <c r="G57" s="885">
        <f>SUMIF(AJE!$B:$B,$C57&amp;$D57&amp;"*",AJE!$O:$O)</f>
        <v>0</v>
      </c>
      <c r="H57" s="885">
        <f>SUMIF(AJE!$B:$B,$C57&amp;$D57&amp;"*",AJE!$P:$P)</f>
        <v>0</v>
      </c>
      <c r="I57" s="913">
        <f t="shared" si="12"/>
        <v>0</v>
      </c>
      <c r="J57" s="914">
        <f t="shared" si="5"/>
        <v>132000</v>
      </c>
      <c r="K57" s="885">
        <f>SUMIF('AJE1'!$B:$B,$C57&amp;$D57&amp;"*",'AJE1'!$O:$O)</f>
        <v>0</v>
      </c>
      <c r="L57" s="885">
        <f>SUMIF('AJE1'!$B:$B,$C57&amp;$D57&amp;"*",'AJE1'!$P:$P)</f>
        <v>0</v>
      </c>
      <c r="M57" s="891">
        <f t="shared" si="6"/>
        <v>132000</v>
      </c>
      <c r="N57" s="641"/>
      <c r="O57" s="641"/>
      <c r="P57" s="641"/>
      <c r="Q57" s="641"/>
      <c r="T57" s="3094">
        <v>2000</v>
      </c>
      <c r="U57" s="3101">
        <v>0</v>
      </c>
    </row>
    <row r="58" spans="1:21" ht="18">
      <c r="A58" s="1648">
        <f t="shared" si="0"/>
        <v>0</v>
      </c>
      <c r="B58" s="1647">
        <f t="shared" si="1"/>
        <v>1</v>
      </c>
      <c r="C58" s="1647" t="str">
        <f t="shared" si="2"/>
        <v>J</v>
      </c>
      <c r="D58" s="1659">
        <v>1700</v>
      </c>
      <c r="E58" s="888" t="str">
        <f t="shared" si="3"/>
        <v>开发支出</v>
      </c>
      <c r="F58" s="884">
        <f t="shared" si="4"/>
        <v>0</v>
      </c>
      <c r="G58" s="885">
        <f>SUMIF(AJE!$B:$B,$C58&amp;$D58&amp;"*",AJE!$O:$O)</f>
        <v>0</v>
      </c>
      <c r="H58" s="885">
        <f>SUMIF(AJE!$B:$B,$C58&amp;$D58&amp;"*",AJE!$P:$P)</f>
        <v>0</v>
      </c>
      <c r="I58" s="913">
        <f t="shared" si="12"/>
        <v>0</v>
      </c>
      <c r="J58" s="914">
        <f t="shared" si="5"/>
        <v>0</v>
      </c>
      <c r="K58" s="885">
        <f>SUMIF('AJE1'!$B:$B,$C58&amp;$D58&amp;"*",'AJE1'!$O:$O)</f>
        <v>0</v>
      </c>
      <c r="L58" s="885">
        <f>SUMIF('AJE1'!$B:$B,$C58&amp;$D58&amp;"*",'AJE1'!$P:$P)</f>
        <v>0</v>
      </c>
      <c r="M58" s="891">
        <f t="shared" si="6"/>
        <v>0</v>
      </c>
      <c r="N58" s="641"/>
      <c r="O58" s="641"/>
      <c r="P58" s="641"/>
      <c r="Q58" s="641"/>
      <c r="T58" s="3094">
        <v>2001</v>
      </c>
      <c r="U58" s="3101">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94">
        <v>2004</v>
      </c>
      <c r="U59" s="3101">
        <v>0</v>
      </c>
    </row>
    <row r="60" spans="1:21" ht="18">
      <c r="A60" s="1648">
        <f t="shared" si="0"/>
        <v>0</v>
      </c>
      <c r="B60" s="1647">
        <f t="shared" si="1"/>
        <v>1</v>
      </c>
      <c r="C60" s="1647" t="str">
        <f t="shared" si="2"/>
        <v>J</v>
      </c>
      <c r="D60" s="1659">
        <v>1801</v>
      </c>
      <c r="E60" s="888" t="str">
        <f t="shared" si="3"/>
        <v>长期待摊费用</v>
      </c>
      <c r="F60" s="884">
        <f t="shared" si="4"/>
        <v>0</v>
      </c>
      <c r="G60" s="885">
        <f>SUMIF(AJE!$B:$B,$C60&amp;$D60&amp;"*",AJE!$O:$O)</f>
        <v>0</v>
      </c>
      <c r="H60" s="885">
        <f>SUMIF(AJE!$B:$B,$C60&amp;$D60&amp;"*",AJE!$P:$P)</f>
        <v>0</v>
      </c>
      <c r="I60" s="913">
        <f t="shared" si="12"/>
        <v>0</v>
      </c>
      <c r="J60" s="914">
        <f t="shared" si="5"/>
        <v>983014.49</v>
      </c>
      <c r="K60" s="885">
        <f>SUMIF('AJE1'!$B:$B,$C60&amp;$D60&amp;"*",'AJE1'!$O:$O)</f>
        <v>0</v>
      </c>
      <c r="L60" s="885">
        <f>SUMIF('AJE1'!$B:$B,$C60&amp;$D60&amp;"*",'AJE1'!$P:$P)</f>
        <v>0</v>
      </c>
      <c r="M60" s="891">
        <f t="shared" si="6"/>
        <v>983014.49</v>
      </c>
      <c r="N60" s="641"/>
      <c r="O60" s="641"/>
      <c r="P60" s="641"/>
      <c r="Q60" s="641"/>
      <c r="T60" s="3094">
        <v>2010</v>
      </c>
      <c r="U60" s="3101">
        <v>0</v>
      </c>
    </row>
    <row r="61" spans="1:21" ht="18">
      <c r="A61" s="1648">
        <f t="shared" si="0"/>
        <v>0</v>
      </c>
      <c r="B61" s="1647">
        <f t="shared" si="1"/>
        <v>1</v>
      </c>
      <c r="C61" s="1647" t="str">
        <f t="shared" si="2"/>
        <v>J</v>
      </c>
      <c r="D61" s="1659">
        <v>1811</v>
      </c>
      <c r="E61" s="888" t="str">
        <f t="shared" si="3"/>
        <v>递延所得税资产</v>
      </c>
      <c r="F61" s="884">
        <f t="shared" si="4"/>
        <v>0</v>
      </c>
      <c r="G61" s="885">
        <f>SUMIF(AJE!$B:$B,$C61&amp;$D61&amp;"*",AJE!$O:$O)</f>
        <v>0</v>
      </c>
      <c r="H61" s="885">
        <f>SUMIF(AJE!$B:$B,$C61&amp;$D61&amp;"*",AJE!$P:$P)</f>
        <v>0</v>
      </c>
      <c r="I61" s="913">
        <f t="shared" si="12"/>
        <v>0</v>
      </c>
      <c r="J61" s="914">
        <f t="shared" si="5"/>
        <v>0</v>
      </c>
      <c r="K61" s="885">
        <f>SUMIF('AJE1'!$B:$B,$C61&amp;$D61&amp;"*",'AJE1'!$O:$O)</f>
        <v>0</v>
      </c>
      <c r="L61" s="885">
        <f>SUMIF('AJE1'!$B:$B,$C61&amp;$D61&amp;"*",'AJE1'!$P:$P)</f>
        <v>0</v>
      </c>
      <c r="M61" s="891">
        <f t="shared" si="6"/>
        <v>0</v>
      </c>
      <c r="N61" s="641"/>
      <c r="O61" s="641"/>
      <c r="P61" s="641"/>
      <c r="Q61" s="641"/>
      <c r="T61" s="3094">
        <v>2003</v>
      </c>
      <c r="U61" s="3101">
        <v>0</v>
      </c>
    </row>
    <row r="62" spans="1:21" ht="18">
      <c r="A62" s="1648">
        <f t="shared" si="0"/>
        <v>0</v>
      </c>
      <c r="B62" s="1647">
        <f t="shared" si="1"/>
        <v>1</v>
      </c>
      <c r="C62" s="1647" t="str">
        <f t="shared" si="2"/>
        <v>J</v>
      </c>
      <c r="D62" s="1659">
        <v>1996</v>
      </c>
      <c r="E62" s="888" t="str">
        <f t="shared" si="3"/>
        <v>其他非流动资产</v>
      </c>
      <c r="F62" s="884">
        <f t="shared" si="4"/>
        <v>0</v>
      </c>
      <c r="G62" s="885">
        <f>SUMIF(AJE!$B:$B,$C62&amp;$D62&amp;"*",AJE!$O:$O)</f>
        <v>0</v>
      </c>
      <c r="H62" s="885">
        <f>SUMIF(AJE!$B:$B,$C62&amp;$D62&amp;"*",AJE!$P:$P)</f>
        <v>0</v>
      </c>
      <c r="I62" s="913">
        <f t="shared" si="12"/>
        <v>0</v>
      </c>
      <c r="J62" s="914">
        <f t="shared" si="5"/>
        <v>0</v>
      </c>
      <c r="K62" s="885">
        <f>SUMIF('AJE1'!$B:$B,$C62&amp;$D62&amp;"*",'AJE1'!$O:$O)</f>
        <v>0</v>
      </c>
      <c r="L62" s="885">
        <f>SUMIF('AJE1'!$B:$B,$C62&amp;$D62&amp;"*",'AJE1'!$P:$P)</f>
        <v>0</v>
      </c>
      <c r="M62" s="891">
        <f t="shared" si="6"/>
        <v>0</v>
      </c>
      <c r="N62" s="641"/>
      <c r="O62" s="641"/>
      <c r="P62" s="641"/>
      <c r="Q62" s="641"/>
      <c r="T62" s="3094">
        <v>2101</v>
      </c>
      <c r="U62" s="3101">
        <v>0</v>
      </c>
    </row>
    <row r="63" spans="1:21" ht="18">
      <c r="A63" s="1648" t="str">
        <f t="shared" si="0"/>
        <v>＝</v>
      </c>
      <c r="B63" s="1647">
        <f t="shared" si="1"/>
        <v>0</v>
      </c>
      <c r="C63" s="1647">
        <f t="shared" si="2"/>
        <v>0</v>
      </c>
      <c r="D63" s="1659">
        <v>1998</v>
      </c>
      <c r="E63" s="890" t="str">
        <f t="shared" si="3"/>
        <v>非流动资产</v>
      </c>
      <c r="F63" s="891">
        <f t="shared" ref="F63:M63" si="17">SUM(F37:F62)-SUM(F49,F50,F52,F53)</f>
        <v>0</v>
      </c>
      <c r="G63" s="891">
        <f t="shared" si="17"/>
        <v>0</v>
      </c>
      <c r="H63" s="891">
        <f t="shared" si="17"/>
        <v>0</v>
      </c>
      <c r="I63" s="913">
        <f t="shared" si="17"/>
        <v>0</v>
      </c>
      <c r="J63" s="915">
        <f t="shared" si="17"/>
        <v>446956095.66000003</v>
      </c>
      <c r="K63" s="891">
        <f t="shared" si="17"/>
        <v>0</v>
      </c>
      <c r="L63" s="891">
        <f t="shared" si="17"/>
        <v>0</v>
      </c>
      <c r="M63" s="891">
        <f t="shared" si="17"/>
        <v>446956095.66000003</v>
      </c>
      <c r="N63" s="641"/>
      <c r="O63" s="641"/>
      <c r="P63" s="641"/>
      <c r="Q63" s="641"/>
      <c r="T63" s="3094">
        <v>2115</v>
      </c>
      <c r="U63" s="3101">
        <v>0</v>
      </c>
    </row>
    <row r="64" spans="1:21" ht="18">
      <c r="A64" s="1648" t="str">
        <f t="shared" si="0"/>
        <v>＝</v>
      </c>
      <c r="B64" s="1647">
        <f t="shared" si="1"/>
        <v>0</v>
      </c>
      <c r="C64" s="1647">
        <f t="shared" si="2"/>
        <v>0</v>
      </c>
      <c r="D64" s="1659">
        <v>1999</v>
      </c>
      <c r="E64" s="890" t="str">
        <f t="shared" si="3"/>
        <v>资产</v>
      </c>
      <c r="F64" s="891">
        <f t="shared" ref="F64:M64" si="18">SUM(F35,F63)</f>
        <v>0</v>
      </c>
      <c r="G64" s="891">
        <f t="shared" si="18"/>
        <v>0</v>
      </c>
      <c r="H64" s="891">
        <f t="shared" si="18"/>
        <v>0</v>
      </c>
      <c r="I64" s="913">
        <f t="shared" si="18"/>
        <v>0</v>
      </c>
      <c r="J64" s="915">
        <f t="shared" si="18"/>
        <v>451984233.54000002</v>
      </c>
      <c r="K64" s="891">
        <f t="shared" si="18"/>
        <v>0</v>
      </c>
      <c r="L64" s="891">
        <f t="shared" si="18"/>
        <v>0</v>
      </c>
      <c r="M64" s="891">
        <f t="shared" si="18"/>
        <v>451984233.54000002</v>
      </c>
      <c r="N64" s="641"/>
      <c r="O64" s="641"/>
      <c r="P64" s="641"/>
      <c r="Q64" s="641"/>
      <c r="T64" s="3094">
        <v>2203</v>
      </c>
      <c r="U64" s="3101">
        <v>0</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94">
        <v>2201</v>
      </c>
      <c r="U65" s="3101">
        <v>0</v>
      </c>
    </row>
    <row r="66" spans="1:21" ht="18">
      <c r="A66" s="1648">
        <f t="shared" si="0"/>
        <v>0</v>
      </c>
      <c r="B66" s="1647">
        <f t="shared" si="1"/>
        <v>-1</v>
      </c>
      <c r="C66" s="1647" t="str">
        <f t="shared" si="2"/>
        <v>J</v>
      </c>
      <c r="D66" s="1659">
        <v>2001</v>
      </c>
      <c r="E66" s="888" t="str">
        <f t="shared" si="3"/>
        <v>短期借款</v>
      </c>
      <c r="F66" s="884">
        <f t="shared" ref="F66:F123" si="19">VLOOKUP($D66,Sheet_Prebs2,4,0)</f>
        <v>0</v>
      </c>
      <c r="G66" s="885">
        <f>SUMIF(AJE!$B:$B,$C66&amp;$D66&amp;"*",AJE!$O:$O)</f>
        <v>0</v>
      </c>
      <c r="H66" s="885">
        <f>SUMIF(AJE!$B:$B,$C66&amp;$D66&amp;"*",AJE!$P:$P)</f>
        <v>0</v>
      </c>
      <c r="I66" s="913">
        <f>(B66*F66+G66-H66)*B66</f>
        <v>0</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94">
        <v>2202</v>
      </c>
      <c r="U66" s="3101">
        <v>0</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94">
        <v>2205</v>
      </c>
      <c r="U67" s="3101">
        <v>0</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94">
        <v>2111</v>
      </c>
      <c r="U68" s="3101">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94">
        <v>2240</v>
      </c>
      <c r="U69" s="3101">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94">
        <v>2211</v>
      </c>
      <c r="U70" s="3101">
        <v>2712561.36</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94">
        <v>2221</v>
      </c>
      <c r="U71" s="3101">
        <v>44562.07</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0</v>
      </c>
      <c r="G72" s="885">
        <f>SUMIF(AJE!$B:$B,$C72&amp;$D72&amp;"*",AJE!$O:$O)+SUMIF(AJE!$B:$B,"J2201*",AJE!$O:$O)+SUMIF(AJE!$B:$B,"J2202*",AJE!$O:$O)</f>
        <v>0</v>
      </c>
      <c r="H72" s="885">
        <f>SUMIF(AJE!$B:$B,$C72&amp;$D72&amp;"*",AJE!$P:$P)+SUMIF(AJE!$B:$B,"J2201*",AJE!$P:$P)+SUMIF(AJE!$B:$B,"J2202*",AJE!$P:$P)</f>
        <v>0</v>
      </c>
      <c r="I72" s="913">
        <f t="shared" si="22"/>
        <v>0</v>
      </c>
      <c r="J72" s="914">
        <f>SUM(J73:J74)</f>
        <v>0</v>
      </c>
      <c r="K72" s="885">
        <f>SUMIF('AJE1'!$B:$B,$C72&amp;$D72&amp;"*",'AJE1'!$O:$O)+SUMIF('AJE1'!$B:$B,"J2201*",'AJE1'!$O:$O)+SUMIF('AJE1'!$B:$B,"J2202*",'AJE1'!$O:$O)</f>
        <v>0</v>
      </c>
      <c r="L72" s="885">
        <f>SUMIF('AJE1'!$B:$B,$C72&amp;$D72&amp;"*",'AJE1'!$P:$P)+SUMIF('AJE1'!$B:$B,"J2201*",'AJE1'!$P:$P)+SUMIF('AJE1'!$B:$B,"J2202*",'AJE1'!$P:$P)</f>
        <v>0</v>
      </c>
      <c r="M72" s="891">
        <f t="shared" si="21"/>
        <v>0</v>
      </c>
      <c r="N72" s="641"/>
      <c r="O72" s="641"/>
      <c r="P72" s="641"/>
      <c r="Q72" s="641"/>
      <c r="T72" s="3094">
        <v>2246</v>
      </c>
      <c r="U72" s="3101">
        <v>396457994.25</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94">
        <v>2231</v>
      </c>
      <c r="U73" s="3101">
        <v>0</v>
      </c>
    </row>
    <row r="74" spans="1:21" ht="18">
      <c r="A74" s="1648">
        <f t="shared" si="0"/>
        <v>0</v>
      </c>
      <c r="B74" s="1647">
        <f t="shared" si="1"/>
        <v>-1</v>
      </c>
      <c r="C74" s="1647" t="str">
        <f t="shared" si="2"/>
        <v>J</v>
      </c>
      <c r="D74" s="1659">
        <v>2202</v>
      </c>
      <c r="E74" s="916" t="str">
        <f t="shared" si="3"/>
        <v>应付账款</v>
      </c>
      <c r="F74" s="884">
        <f t="shared" si="19"/>
        <v>0</v>
      </c>
      <c r="G74" s="885">
        <f>SUMIF(AJE!$B:$B,$C74&amp;$D74&amp;"*",AJE!$O:$O)</f>
        <v>0</v>
      </c>
      <c r="H74" s="885">
        <f>SUMIF(AJE!$B:$B,$C74&amp;$D74&amp;"*",AJE!$P:$P)</f>
        <v>0</v>
      </c>
      <c r="I74" s="913">
        <f t="shared" si="22"/>
        <v>0</v>
      </c>
      <c r="J74" s="914">
        <f t="shared" si="20"/>
        <v>0</v>
      </c>
      <c r="K74" s="885">
        <f>SUMIF('AJE1'!$B:$B,$C74&amp;$D74&amp;"*",'AJE1'!$O:$O)</f>
        <v>0</v>
      </c>
      <c r="L74" s="885">
        <f>SUMIF('AJE1'!$B:$B,$C74&amp;$D74&amp;"*",'AJE1'!$P:$P)</f>
        <v>0</v>
      </c>
      <c r="M74" s="891">
        <f t="shared" si="21"/>
        <v>0</v>
      </c>
      <c r="N74" s="641"/>
      <c r="O74" s="641"/>
      <c r="P74" s="641"/>
      <c r="Q74" s="641"/>
      <c r="T74" s="3094">
        <v>2232</v>
      </c>
      <c r="U74" s="3101">
        <v>0</v>
      </c>
    </row>
    <row r="75" spans="1:21" ht="18">
      <c r="A75" s="1648">
        <f t="shared" si="0"/>
        <v>0</v>
      </c>
      <c r="B75" s="1647">
        <f t="shared" si="1"/>
        <v>-1</v>
      </c>
      <c r="C75" s="1647" t="str">
        <f t="shared" si="2"/>
        <v>J</v>
      </c>
      <c r="D75" s="1659">
        <v>2205</v>
      </c>
      <c r="E75" s="888" t="str">
        <f t="shared" si="3"/>
        <v>预收款项</v>
      </c>
      <c r="F75" s="884">
        <f t="shared" si="19"/>
        <v>0</v>
      </c>
      <c r="G75" s="885">
        <f>SUMIF(AJE!$B:$B,$C75&amp;$D75&amp;"*",AJE!$O:$O)</f>
        <v>0</v>
      </c>
      <c r="H75" s="885">
        <f>SUMIF(AJE!$B:$B,$C75&amp;$D75&amp;"*",AJE!$P:$P)</f>
        <v>0</v>
      </c>
      <c r="I75" s="913">
        <f t="shared" si="22"/>
        <v>0</v>
      </c>
      <c r="J75" s="914">
        <f t="shared" si="20"/>
        <v>0</v>
      </c>
      <c r="K75" s="885">
        <f>SUMIF('AJE1'!$B:$B,$C75&amp;$D75&amp;"*",'AJE1'!$O:$O)</f>
        <v>0</v>
      </c>
      <c r="L75" s="885">
        <f>SUMIF('AJE1'!$B:$B,$C75&amp;$D75&amp;"*",'AJE1'!$P:$P)</f>
        <v>0</v>
      </c>
      <c r="M75" s="891">
        <f t="shared" si="21"/>
        <v>0</v>
      </c>
      <c r="N75" s="641"/>
      <c r="O75" s="641"/>
      <c r="P75" s="641"/>
      <c r="Q75" s="641"/>
      <c r="T75" s="3094">
        <v>2241</v>
      </c>
      <c r="U75" s="3101">
        <v>396457994.25</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94">
        <v>2261</v>
      </c>
      <c r="U76" s="3101">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94">
        <v>2310</v>
      </c>
      <c r="U77" s="3101">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94">
        <v>2311</v>
      </c>
      <c r="U78" s="3101">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94">
        <v>2312</v>
      </c>
      <c r="U79" s="3101">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94">
        <v>2315</v>
      </c>
      <c r="U80" s="3101">
        <v>0</v>
      </c>
    </row>
    <row r="81" spans="1:21" ht="18">
      <c r="A81" s="1648">
        <f t="shared" si="0"/>
        <v>0</v>
      </c>
      <c r="B81" s="1647">
        <f t="shared" si="1"/>
        <v>-1</v>
      </c>
      <c r="C81" s="1647" t="str">
        <f t="shared" si="2"/>
        <v>J</v>
      </c>
      <c r="D81" s="1659">
        <v>2211</v>
      </c>
      <c r="E81" s="888" t="str">
        <f t="shared" si="3"/>
        <v>应付职工薪酬</v>
      </c>
      <c r="F81" s="884">
        <f t="shared" si="19"/>
        <v>0</v>
      </c>
      <c r="G81" s="885">
        <f>SUMIF(AJE!$B:$B,$C81&amp;$D81&amp;"*",AJE!$O:$O)</f>
        <v>0</v>
      </c>
      <c r="H81" s="885">
        <f>SUMIF(AJE!$B:$B,$C81&amp;$D81&amp;"*",AJE!$P:$P)</f>
        <v>0</v>
      </c>
      <c r="I81" s="913">
        <f t="shared" si="22"/>
        <v>0</v>
      </c>
      <c r="J81" s="914">
        <f t="shared" si="20"/>
        <v>2712561.36</v>
      </c>
      <c r="K81" s="885">
        <f>SUMIF('AJE1'!$B:$B,$C81&amp;$D81&amp;"*",'AJE1'!$O:$O)</f>
        <v>0</v>
      </c>
      <c r="L81" s="885">
        <f>SUMIF('AJE1'!$B:$B,$C81&amp;$D81&amp;"*",'AJE1'!$P:$P)</f>
        <v>0</v>
      </c>
      <c r="M81" s="891">
        <f t="shared" si="21"/>
        <v>2712561.36</v>
      </c>
      <c r="N81" s="641"/>
      <c r="O81" s="641"/>
      <c r="P81" s="641"/>
      <c r="Q81" s="641"/>
      <c r="T81" s="3094">
        <v>2395</v>
      </c>
      <c r="U81" s="3101">
        <v>0</v>
      </c>
    </row>
    <row r="82" spans="1:21" ht="18">
      <c r="A82" s="1648">
        <f t="shared" si="0"/>
        <v>0</v>
      </c>
      <c r="B82" s="1647">
        <f t="shared" si="1"/>
        <v>-1</v>
      </c>
      <c r="C82" s="1647" t="str">
        <f t="shared" si="2"/>
        <v>J</v>
      </c>
      <c r="D82" s="1659">
        <v>2221</v>
      </c>
      <c r="E82" s="888" t="str">
        <f t="shared" si="3"/>
        <v>应交税费</v>
      </c>
      <c r="F82" s="884">
        <f t="shared" si="19"/>
        <v>0</v>
      </c>
      <c r="G82" s="885">
        <f>SUMIF(AJE!$B:$B,$C82&amp;$D82&amp;"*",AJE!$O:$O)</f>
        <v>0</v>
      </c>
      <c r="H82" s="885">
        <f>SUMIF(AJE!$B:$B,$C82&amp;$D82&amp;"*",AJE!$P:$P)</f>
        <v>0</v>
      </c>
      <c r="I82" s="913">
        <f t="shared" si="22"/>
        <v>0</v>
      </c>
      <c r="J82" s="914">
        <f t="shared" si="20"/>
        <v>44562.07</v>
      </c>
      <c r="K82" s="885">
        <f>SUMIF('AJE1'!$B:$B,$C82&amp;$D82&amp;"*",'AJE1'!$O:$O)</f>
        <v>0</v>
      </c>
      <c r="L82" s="885">
        <f>SUMIF('AJE1'!$B:$B,$C82&amp;$D82&amp;"*",'AJE1'!$P:$P)</f>
        <v>0</v>
      </c>
      <c r="M82" s="891">
        <f t="shared" si="21"/>
        <v>44562.07</v>
      </c>
      <c r="N82" s="641"/>
      <c r="O82" s="641"/>
      <c r="P82" s="641"/>
      <c r="Q82" s="641"/>
      <c r="T82" s="3094">
        <v>2396</v>
      </c>
      <c r="U82" s="3101">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0</v>
      </c>
      <c r="G83" s="885">
        <f>SUMIF(AJE!$B:$B,"J2241*",AJE!$O:$O)+SUMIF(AJE!$B:$B,"J2231*",AJE!$O:$O)+SUMIF(AJE!$B:$B,"J2232*",AJE!$O:$O)</f>
        <v>0</v>
      </c>
      <c r="H83" s="885">
        <f>SUMIF(AJE!$B:$B,"J2241*",AJE!$P:$P)+SUMIF(AJE!$B:$B,"J2231*",AJE!$P:$P)+SUMIF(AJE!$B:$B,"J2232*",AJE!$P:$P)</f>
        <v>0</v>
      </c>
      <c r="I83" s="913">
        <f t="shared" si="22"/>
        <v>0</v>
      </c>
      <c r="J83" s="914">
        <f t="shared" si="20"/>
        <v>396457994.25</v>
      </c>
      <c r="K83" s="885">
        <f>SUMIF('AJE1'!$B:$B,"J2241*",'AJE1'!$O:$O)+SUMIF('AJE1'!$B:$B,"J2231*",'AJE1'!$O:$O)+SUMIF('AJE1'!$B:$B,"J2232*",'AJE1'!$O:$O)</f>
        <v>0</v>
      </c>
      <c r="L83" s="885">
        <f>SUMIF('AJE1'!$B:$B,"J2241*",'AJE1'!$P:$P)+SUMIF('AJE1'!$B:$B,"J2231*",'AJE1'!$P:$P)+SUMIF('AJE1'!$B:$B,"J2232*",'AJE1'!$P:$P)</f>
        <v>0</v>
      </c>
      <c r="M83" s="891">
        <f t="shared" si="21"/>
        <v>396457994.25</v>
      </c>
      <c r="N83" s="641"/>
      <c r="O83" s="641"/>
      <c r="P83" s="641"/>
      <c r="Q83" s="641"/>
      <c r="T83" s="3094">
        <v>2498</v>
      </c>
      <c r="U83" s="3101">
        <v>399215117.68000001</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94">
        <v>2500</v>
      </c>
      <c r="U84" s="3101"/>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94">
        <v>2501</v>
      </c>
      <c r="U85" s="3101">
        <v>0</v>
      </c>
    </row>
    <row r="86" spans="1:21" ht="18">
      <c r="A86" s="1648">
        <f t="shared" si="0"/>
        <v>0</v>
      </c>
      <c r="B86" s="1647">
        <f t="shared" si="1"/>
        <v>-1</v>
      </c>
      <c r="C86" s="1647" t="str">
        <f t="shared" si="2"/>
        <v>J</v>
      </c>
      <c r="D86" s="1659">
        <v>2241</v>
      </c>
      <c r="E86" s="2188" t="str">
        <f t="shared" si="3"/>
        <v>其他应付款</v>
      </c>
      <c r="F86" s="884">
        <f t="shared" si="19"/>
        <v>0</v>
      </c>
      <c r="G86" s="885">
        <f>SUMIF(AJE!$B:$B,$C86&amp;$D86&amp;"*",AJE!$O:$O)</f>
        <v>0</v>
      </c>
      <c r="H86" s="885">
        <f>SUMIF(AJE!$B:$B,$C86&amp;$D86&amp;"*",AJE!$P:$P)</f>
        <v>0</v>
      </c>
      <c r="I86" s="913">
        <f t="shared" si="22"/>
        <v>0</v>
      </c>
      <c r="J86" s="914">
        <f t="shared" si="20"/>
        <v>396457994.25</v>
      </c>
      <c r="K86" s="885">
        <f>SUMIF('AJE1'!$B:$B,$C86&amp;$D86&amp;"*",'AJE1'!$O:$O)</f>
        <v>0</v>
      </c>
      <c r="L86" s="885">
        <f>SUMIF('AJE1'!$B:$B,$C86&amp;$D86&amp;"*",'AJE1'!$P:$P)</f>
        <v>0</v>
      </c>
      <c r="M86" s="891">
        <f t="shared" si="21"/>
        <v>396457994.25</v>
      </c>
      <c r="N86" s="641"/>
      <c r="O86" s="641"/>
      <c r="P86" s="641"/>
      <c r="Q86" s="641"/>
      <c r="T86" s="3094">
        <v>2502</v>
      </c>
      <c r="U86" s="3101">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95">
        <v>2502.11</v>
      </c>
      <c r="U87" s="3101">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95">
        <v>2502.31</v>
      </c>
      <c r="U88" s="3101">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96">
        <v>2706</v>
      </c>
      <c r="U89" s="3101">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94">
        <v>2701</v>
      </c>
      <c r="U90" s="3101">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94">
        <v>2711</v>
      </c>
      <c r="U91" s="3101">
        <v>0</v>
      </c>
    </row>
    <row r="92" spans="1:21" ht="18">
      <c r="A92" s="1648" t="str">
        <f t="shared" si="0"/>
        <v>＝</v>
      </c>
      <c r="B92" s="1647">
        <f t="shared" si="1"/>
        <v>0</v>
      </c>
      <c r="C92" s="1647">
        <f t="shared" si="2"/>
        <v>0</v>
      </c>
      <c r="D92" s="2186">
        <v>2498</v>
      </c>
      <c r="E92" s="2187" t="str">
        <f t="shared" si="3"/>
        <v>流动负债</v>
      </c>
      <c r="F92" s="884">
        <f>SUM(F66:F91)-SUM(F72,F84,F85,F86)</f>
        <v>0</v>
      </c>
      <c r="G92" s="885">
        <f t="shared" ref="G92:M92" si="25">SUM(G66:G91)-SUM(G72,G84,G85,G86)</f>
        <v>0</v>
      </c>
      <c r="H92" s="885">
        <f t="shared" si="25"/>
        <v>0</v>
      </c>
      <c r="I92" s="913">
        <f t="shared" si="25"/>
        <v>0</v>
      </c>
      <c r="J92" s="914">
        <f t="shared" si="25"/>
        <v>399215117.68000001</v>
      </c>
      <c r="K92" s="885">
        <f t="shared" si="25"/>
        <v>0</v>
      </c>
      <c r="L92" s="885">
        <f t="shared" si="25"/>
        <v>0</v>
      </c>
      <c r="M92" s="891">
        <f t="shared" si="25"/>
        <v>399215117.68000001</v>
      </c>
      <c r="N92" s="641"/>
      <c r="O92" s="641"/>
      <c r="P92" s="641"/>
      <c r="Q92" s="641"/>
      <c r="T92" s="3094">
        <v>2715</v>
      </c>
      <c r="U92" s="3101">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94">
        <v>2801</v>
      </c>
      <c r="U93" s="3101">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94">
        <v>2401</v>
      </c>
      <c r="U94" s="3101">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94">
        <v>2901</v>
      </c>
      <c r="U95" s="3101">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94">
        <v>2996</v>
      </c>
      <c r="U96" s="3101">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94">
        <v>2998</v>
      </c>
      <c r="U97" s="3101">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94">
        <v>2999</v>
      </c>
      <c r="U98" s="3101">
        <v>399215117.68000001</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94">
        <v>4000</v>
      </c>
      <c r="U99" s="3101"/>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0</v>
      </c>
      <c r="G100" s="885">
        <f>SUMIF(AJE!$B:$B,"J2701*",AJE!$O:$O)+SUMIF(AJE!$B:$B,"J2711*",AJE!$O:$O)</f>
        <v>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94">
        <v>4001</v>
      </c>
      <c r="U100" s="3101">
        <v>100000000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94">
        <v>4015</v>
      </c>
      <c r="U101" s="3101">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0</v>
      </c>
      <c r="G102" s="885">
        <f>SUMIF(AJE!$B:$B,$C102&amp;$D102&amp;"*",AJE!$O:$O)</f>
        <v>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95">
        <v>4015.11</v>
      </c>
      <c r="U102" s="3101">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95">
        <v>4015.31</v>
      </c>
      <c r="U103" s="3101">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94">
        <v>4002</v>
      </c>
      <c r="U104" s="3101">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94">
        <v>4201</v>
      </c>
      <c r="U105" s="3101">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94">
        <v>4215</v>
      </c>
      <c r="U106" s="3101">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94">
        <v>4301</v>
      </c>
      <c r="U107" s="3101">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0</v>
      </c>
      <c r="G108" s="885">
        <f t="shared" si="32"/>
        <v>0</v>
      </c>
      <c r="H108" s="885">
        <f t="shared" si="32"/>
        <v>0</v>
      </c>
      <c r="I108" s="913">
        <f t="shared" si="32"/>
        <v>0</v>
      </c>
      <c r="J108" s="914">
        <f t="shared" si="32"/>
        <v>0</v>
      </c>
      <c r="K108" s="885">
        <f t="shared" si="32"/>
        <v>0</v>
      </c>
      <c r="L108" s="885">
        <f t="shared" si="32"/>
        <v>0</v>
      </c>
      <c r="M108" s="891">
        <f t="shared" si="32"/>
        <v>0</v>
      </c>
      <c r="N108" s="641"/>
      <c r="O108" s="641"/>
      <c r="P108" s="641"/>
      <c r="Q108" s="641"/>
      <c r="T108" s="3094">
        <v>4101</v>
      </c>
      <c r="U108" s="3101">
        <v>0</v>
      </c>
    </row>
    <row r="109" spans="1:21" ht="18">
      <c r="A109" s="1648" t="str">
        <f t="shared" si="26"/>
        <v>＝</v>
      </c>
      <c r="B109" s="1647">
        <f t="shared" si="27"/>
        <v>0</v>
      </c>
      <c r="C109" s="1647">
        <f t="shared" si="28"/>
        <v>0</v>
      </c>
      <c r="D109" s="2186">
        <v>2999</v>
      </c>
      <c r="E109" s="2187" t="str">
        <f t="shared" si="29"/>
        <v>负债</v>
      </c>
      <c r="F109" s="884">
        <f t="shared" ref="F109:M109" si="33">SUM(F92,F108)</f>
        <v>0</v>
      </c>
      <c r="G109" s="885">
        <f t="shared" si="33"/>
        <v>0</v>
      </c>
      <c r="H109" s="885">
        <f t="shared" si="33"/>
        <v>0</v>
      </c>
      <c r="I109" s="913">
        <f t="shared" si="33"/>
        <v>0</v>
      </c>
      <c r="J109" s="914">
        <f t="shared" si="33"/>
        <v>399215117.68000001</v>
      </c>
      <c r="K109" s="885">
        <f t="shared" si="33"/>
        <v>0</v>
      </c>
      <c r="L109" s="885">
        <f t="shared" si="33"/>
        <v>0</v>
      </c>
      <c r="M109" s="891">
        <f t="shared" si="33"/>
        <v>399215117.68000001</v>
      </c>
      <c r="N109" s="641"/>
      <c r="O109" s="641"/>
      <c r="P109" s="641"/>
      <c r="Q109" s="641"/>
      <c r="T109" s="3094">
        <v>4102</v>
      </c>
      <c r="U109" s="3101">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94">
        <v>4200</v>
      </c>
      <c r="U110" s="3101">
        <v>-47230884.140000001</v>
      </c>
    </row>
    <row r="111" spans="1:21" ht="18">
      <c r="A111" s="1648">
        <f t="shared" si="26"/>
        <v>0</v>
      </c>
      <c r="B111" s="1647">
        <f t="shared" si="27"/>
        <v>-1</v>
      </c>
      <c r="C111" s="1647" t="str">
        <f t="shared" si="28"/>
        <v>J</v>
      </c>
      <c r="D111" s="1659">
        <v>4001</v>
      </c>
      <c r="E111" s="888" t="str">
        <f t="shared" si="29"/>
        <v>实收资本</v>
      </c>
      <c r="F111" s="884">
        <f t="shared" si="19"/>
        <v>0</v>
      </c>
      <c r="G111" s="885">
        <f>SUMIF(AJE!$B:$B,$C111&amp;"81*",AJE!$O:$O)</f>
        <v>0</v>
      </c>
      <c r="H111" s="885">
        <f>SUMIF(AJE!$B:$B,$C111&amp;"81*",AJE!$P:$P)</f>
        <v>0</v>
      </c>
      <c r="I111" s="913">
        <f t="shared" ref="I111:I123" si="34">(B111*F111+G111-H111)*B111</f>
        <v>0</v>
      </c>
      <c r="J111" s="914">
        <f t="shared" si="20"/>
        <v>100000000</v>
      </c>
      <c r="K111" s="885">
        <f>SUMIF('AJE1'!$B:$B,$C111&amp;"81*",'AJE1'!$O:$O)</f>
        <v>0</v>
      </c>
      <c r="L111" s="885">
        <f>SUMIF('AJE1'!$B:$B,$C111&amp;"81*",'AJE1'!$P:$P)</f>
        <v>0</v>
      </c>
      <c r="M111" s="891">
        <f t="shared" si="21"/>
        <v>100000000</v>
      </c>
      <c r="N111" s="641"/>
      <c r="O111" s="641"/>
      <c r="P111" s="641"/>
      <c r="Q111" s="641"/>
      <c r="T111" s="3094">
        <v>4210</v>
      </c>
      <c r="U111" s="3102">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94">
        <v>4298</v>
      </c>
      <c r="U112" s="3101">
        <v>52769115.859999999</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94">
        <v>4398</v>
      </c>
      <c r="U113" s="3101">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94">
        <v>4999</v>
      </c>
      <c r="U114" s="3101">
        <v>52769115.859999999</v>
      </c>
    </row>
    <row r="115" spans="1:21" ht="18">
      <c r="A115" s="1648">
        <f t="shared" si="26"/>
        <v>0</v>
      </c>
      <c r="B115" s="1647">
        <f t="shared" si="27"/>
        <v>-1</v>
      </c>
      <c r="C115" s="1647" t="str">
        <f t="shared" si="28"/>
        <v>J</v>
      </c>
      <c r="D115" s="1659">
        <v>4002</v>
      </c>
      <c r="E115" s="888" t="str">
        <f t="shared" si="29"/>
        <v>资本公积</v>
      </c>
      <c r="F115" s="884">
        <f t="shared" si="19"/>
        <v>0</v>
      </c>
      <c r="G115" s="885">
        <f>SUMIF(AJE!$B:$B,$C115&amp;"82*",AJE!$O:$O)</f>
        <v>0</v>
      </c>
      <c r="H115" s="885">
        <f>SUMIF(AJE!$B:$B,$C115&amp;"82*",AJE!$P:$P)</f>
        <v>0</v>
      </c>
      <c r="I115" s="913">
        <f t="shared" si="34"/>
        <v>0</v>
      </c>
      <c r="J115" s="914">
        <f t="shared" si="20"/>
        <v>0</v>
      </c>
      <c r="K115" s="885">
        <f>SUMIF('AJE1'!$B:$B,$C115&amp;"82*",'AJE1'!$O:$O)</f>
        <v>0</v>
      </c>
      <c r="L115" s="885">
        <f>SUMIF('AJE1'!$B:$B,$C115&amp;"82*",'AJE1'!$P:$P)</f>
        <v>0</v>
      </c>
      <c r="M115" s="891">
        <f t="shared" si="21"/>
        <v>0</v>
      </c>
      <c r="N115" s="641"/>
      <c r="O115" s="641"/>
      <c r="P115" s="641"/>
      <c r="Q115" s="641"/>
      <c r="T115" s="3094">
        <v>5000</v>
      </c>
      <c r="U115" s="3101">
        <v>451984233.54000002</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94">
        <v>6</v>
      </c>
      <c r="U116" s="3101"/>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94">
        <v>6098</v>
      </c>
      <c r="U117" s="3101">
        <v>6282.79</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94">
        <v>6001</v>
      </c>
      <c r="U118" s="3101">
        <v>6282.79</v>
      </c>
    </row>
    <row r="119" spans="1:21" ht="18">
      <c r="A119" s="1648">
        <f t="shared" si="26"/>
        <v>0</v>
      </c>
      <c r="B119" s="1647">
        <f t="shared" si="27"/>
        <v>-1</v>
      </c>
      <c r="C119" s="1647" t="str">
        <f t="shared" si="28"/>
        <v>J</v>
      </c>
      <c r="D119" s="1659">
        <v>4101</v>
      </c>
      <c r="E119" s="888" t="str">
        <f t="shared" si="29"/>
        <v>盈余公积</v>
      </c>
      <c r="F119" s="884">
        <f t="shared" si="19"/>
        <v>0</v>
      </c>
      <c r="G119" s="885">
        <f>SUMIF(AJE!$B:$B,$C119&amp;"85*",AJE!$O:$O)</f>
        <v>0</v>
      </c>
      <c r="H119" s="885">
        <f>SUMIF(AJE!$B:$B,$C119&amp;"85*",AJE!$P:$P)</f>
        <v>0</v>
      </c>
      <c r="I119" s="913">
        <f t="shared" si="34"/>
        <v>0</v>
      </c>
      <c r="J119" s="914">
        <f t="shared" si="20"/>
        <v>0</v>
      </c>
      <c r="K119" s="885">
        <f>SUMIF('AJE1'!$B:$B,$C119&amp;"85*",'AJE1'!$O:$O)</f>
        <v>0</v>
      </c>
      <c r="L119" s="885">
        <f>SUMIF('AJE1'!$B:$B,$C119&amp;"85*",'AJE1'!$P:$P)</f>
        <v>0</v>
      </c>
      <c r="M119" s="891">
        <f t="shared" si="21"/>
        <v>0</v>
      </c>
      <c r="N119" s="641"/>
      <c r="O119" s="641"/>
      <c r="P119" s="641"/>
      <c r="Q119" s="641"/>
      <c r="T119" s="3094">
        <v>6011</v>
      </c>
      <c r="U119" s="3101">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94">
        <v>6030</v>
      </c>
      <c r="U120" s="3101">
        <v>0</v>
      </c>
    </row>
    <row r="121" spans="1:21" ht="18">
      <c r="A121" s="1648">
        <f t="shared" si="26"/>
        <v>0</v>
      </c>
      <c r="B121" s="1647">
        <f t="shared" si="27"/>
        <v>-1</v>
      </c>
      <c r="C121" s="1647" t="str">
        <f t="shared" si="28"/>
        <v>J</v>
      </c>
      <c r="D121" s="2186">
        <v>4200</v>
      </c>
      <c r="E121" s="2187" t="str">
        <f t="shared" si="29"/>
        <v>未分配利润</v>
      </c>
      <c r="F121" s="884">
        <f t="shared" si="19"/>
        <v>-25297789.149999999</v>
      </c>
      <c r="G121" s="885">
        <f>SUMIF(AJE!$B:$B,$C121&amp;"87*",AJE!$O:$O)+VLOOKUP(6799,Sheet_Trialbal,4,0)</f>
        <v>0</v>
      </c>
      <c r="H121" s="885">
        <f>SUMIF(AJE!$B:$B,$C121&amp;"87*",AJE!$P:$P)+VLOOKUP(6799,Sheet_Trialbal,5,0)</f>
        <v>0</v>
      </c>
      <c r="I121" s="913">
        <f t="shared" si="34"/>
        <v>-25297789.149999999</v>
      </c>
      <c r="J121" s="914">
        <f t="shared" si="20"/>
        <v>-47230884.140000001</v>
      </c>
      <c r="K121" s="885">
        <f>SUMIF('AJE1'!$B:$B,$C121&amp;"87*",'AJE1'!$O:$O)+VLOOKUP(6799,Sheet_Trialbal,8,0)</f>
        <v>0</v>
      </c>
      <c r="L121" s="885">
        <f>SUMIF('AJE1'!$B:$B,$C121&amp;"87*",'AJE1'!$P:$P)+VLOOKUP(6799,Sheet_Trialbal,9,0)</f>
        <v>0</v>
      </c>
      <c r="M121" s="891">
        <f t="shared" si="21"/>
        <v>-47230884.140000001</v>
      </c>
      <c r="N121" s="641"/>
      <c r="O121" s="641"/>
      <c r="P121" s="641"/>
      <c r="Q121" s="641"/>
      <c r="T121" s="3094">
        <v>6021</v>
      </c>
      <c r="U121" s="3101">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-25297789.149999999</v>
      </c>
      <c r="G122" s="919">
        <f>SUM(G111:G112,G115:G121)</f>
        <v>0</v>
      </c>
      <c r="H122" s="919">
        <f>SUM(H111:H112,H115:H121)</f>
        <v>0</v>
      </c>
      <c r="I122" s="913">
        <f>SUM(I111:I112,I115,-I116,I117:I121)</f>
        <v>-25297789.149999999</v>
      </c>
      <c r="J122" s="914">
        <f>SUM(J111:J112,J115,-J116,J117:J121)</f>
        <v>52769115.859999999</v>
      </c>
      <c r="K122" s="919">
        <f>SUM(K111:K112,K115:K121)</f>
        <v>0</v>
      </c>
      <c r="L122" s="919">
        <f>SUM(L111:L112,L115:L121)</f>
        <v>0</v>
      </c>
      <c r="M122" s="891">
        <f>SUM(M111:M112,M115,-M116,M117:M121)</f>
        <v>52769115.859999999</v>
      </c>
      <c r="N122" s="641"/>
      <c r="O122" s="641"/>
      <c r="P122" s="641"/>
      <c r="Q122" s="641"/>
      <c r="T122" s="3094">
        <v>6598</v>
      </c>
      <c r="U122" s="3101">
        <v>22517165.640000001</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94">
        <v>6401</v>
      </c>
      <c r="U123" s="3101">
        <v>0</v>
      </c>
    </row>
    <row r="124" spans="1:21" ht="18">
      <c r="A124" s="1648" t="str">
        <f t="shared" si="26"/>
        <v>＝</v>
      </c>
      <c r="B124" s="1647">
        <f t="shared" si="27"/>
        <v>0</v>
      </c>
      <c r="C124" s="1647">
        <f t="shared" si="28"/>
        <v>0</v>
      </c>
      <c r="D124" s="2186">
        <v>4999</v>
      </c>
      <c r="E124" s="2187" t="str">
        <f t="shared" si="29"/>
        <v>所有者权益</v>
      </c>
      <c r="F124" s="884">
        <f t="shared" ref="F124:M124" si="35">SUM(F122:F123)</f>
        <v>-25297789.149999999</v>
      </c>
      <c r="G124" s="885">
        <f t="shared" si="35"/>
        <v>0</v>
      </c>
      <c r="H124" s="885">
        <f t="shared" si="35"/>
        <v>0</v>
      </c>
      <c r="I124" s="913">
        <f t="shared" si="35"/>
        <v>-25297789.149999999</v>
      </c>
      <c r="J124" s="914">
        <f t="shared" si="35"/>
        <v>52769115.859999999</v>
      </c>
      <c r="K124" s="885">
        <f t="shared" si="35"/>
        <v>0</v>
      </c>
      <c r="L124" s="885">
        <f t="shared" si="35"/>
        <v>0</v>
      </c>
      <c r="M124" s="891">
        <f t="shared" si="35"/>
        <v>52769115.859999999</v>
      </c>
      <c r="N124" s="641"/>
      <c r="O124" s="641"/>
      <c r="P124" s="641"/>
      <c r="Q124" s="641"/>
      <c r="T124" s="3094">
        <v>6411</v>
      </c>
      <c r="U124" s="3101">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-25297789.149999999</v>
      </c>
      <c r="G125" s="885">
        <f t="shared" si="36"/>
        <v>0</v>
      </c>
      <c r="H125" s="885">
        <f t="shared" si="36"/>
        <v>0</v>
      </c>
      <c r="I125" s="913">
        <f t="shared" si="36"/>
        <v>-25297789.149999999</v>
      </c>
      <c r="J125" s="914">
        <f t="shared" si="36"/>
        <v>451984233.54000002</v>
      </c>
      <c r="K125" s="885">
        <f t="shared" si="36"/>
        <v>0</v>
      </c>
      <c r="L125" s="885">
        <f t="shared" si="36"/>
        <v>0</v>
      </c>
      <c r="M125" s="891">
        <f t="shared" si="36"/>
        <v>451984233.54000002</v>
      </c>
      <c r="N125" s="641"/>
      <c r="O125" s="641"/>
      <c r="P125" s="641"/>
      <c r="Q125" s="641"/>
      <c r="T125" s="3094">
        <v>6421</v>
      </c>
      <c r="U125" s="3101">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94">
        <v>6531</v>
      </c>
      <c r="U126" s="3101">
        <v>0</v>
      </c>
    </row>
    <row r="127" spans="1:21" ht="18">
      <c r="A127" s="1648" t="str">
        <f t="shared" si="26"/>
        <v>※</v>
      </c>
      <c r="B127" s="1647">
        <f t="shared" si="27"/>
        <v>0</v>
      </c>
      <c r="C127" s="1647">
        <f t="shared" si="28"/>
        <v>0</v>
      </c>
      <c r="D127" s="2186">
        <v>6098</v>
      </c>
      <c r="E127" s="2187" t="str">
        <f t="shared" si="29"/>
        <v>营业总收入</v>
      </c>
      <c r="F127" s="884">
        <f t="shared" ref="F127:M127" si="37">SUM(F128:F131)</f>
        <v>328458.53999999998</v>
      </c>
      <c r="G127" s="885">
        <f t="shared" si="37"/>
        <v>0</v>
      </c>
      <c r="H127" s="885">
        <f t="shared" si="37"/>
        <v>0</v>
      </c>
      <c r="I127" s="913">
        <f t="shared" si="37"/>
        <v>328458.53999999998</v>
      </c>
      <c r="J127" s="914">
        <f t="shared" si="37"/>
        <v>6282.79</v>
      </c>
      <c r="K127" s="885">
        <f t="shared" si="37"/>
        <v>0</v>
      </c>
      <c r="L127" s="885">
        <f t="shared" si="37"/>
        <v>0</v>
      </c>
      <c r="M127" s="891">
        <f t="shared" si="37"/>
        <v>6282.79</v>
      </c>
      <c r="N127" s="641"/>
      <c r="O127" s="641"/>
      <c r="P127" s="641"/>
      <c r="Q127" s="641"/>
      <c r="T127" s="3094">
        <v>6510</v>
      </c>
      <c r="U127" s="3101">
        <v>0</v>
      </c>
    </row>
    <row r="128" spans="1:21" ht="18">
      <c r="A128" s="1648">
        <f t="shared" si="26"/>
        <v>0</v>
      </c>
      <c r="B128" s="1647">
        <f t="shared" si="27"/>
        <v>-1</v>
      </c>
      <c r="C128" s="1647" t="str">
        <f t="shared" si="28"/>
        <v>J</v>
      </c>
      <c r="D128" s="1659">
        <v>6001</v>
      </c>
      <c r="E128" s="888" t="str">
        <f t="shared" si="29"/>
        <v>营业收入</v>
      </c>
      <c r="F128" s="884">
        <f>VLOOKUP($D128,Sheet_Preis,4,0)</f>
        <v>328458.53999999998</v>
      </c>
      <c r="G128" s="885">
        <f>SUMIF(AJE!$B:$B,$C128&amp;$D128&amp;"*",AJE!$O:$O)</f>
        <v>0</v>
      </c>
      <c r="H128" s="885">
        <f>SUMIF(AJE!$B:$B,$C128&amp;$D128&amp;"*",AJE!$P:$P)</f>
        <v>0</v>
      </c>
      <c r="I128" s="913">
        <f t="shared" ref="I128:I169" si="38">(B128*F128+G128-H128)*B128</f>
        <v>328458.53999999998</v>
      </c>
      <c r="J128" s="914">
        <f>VLOOKUP($D128,Sheet_Preis,5,0)</f>
        <v>6282.79</v>
      </c>
      <c r="K128" s="885">
        <f>SUMIF('AJE1'!$B:$B,$C128&amp;$D128&amp;"*",'AJE1'!$O:$O)</f>
        <v>0</v>
      </c>
      <c r="L128" s="885">
        <f>SUMIF('AJE1'!$B:$B,$C128&amp;$D128&amp;"*",'AJE1'!$P:$P)</f>
        <v>0</v>
      </c>
      <c r="M128" s="891">
        <f t="shared" ref="M128:M169" si="39">($B128*J128+K128-L128)*$B128</f>
        <v>6282.79</v>
      </c>
      <c r="N128" s="641"/>
      <c r="O128" s="641"/>
      <c r="P128" s="641"/>
      <c r="Q128" s="641"/>
      <c r="T128" s="3094">
        <v>6505</v>
      </c>
      <c r="U128" s="3101">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94">
        <v>6521</v>
      </c>
      <c r="U129" s="3101">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94">
        <v>6542</v>
      </c>
      <c r="U130" s="3101">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94">
        <v>6600</v>
      </c>
      <c r="U131" s="3101">
        <v>102037.26</v>
      </c>
    </row>
    <row r="132" spans="1:21" ht="18">
      <c r="A132" s="1648" t="str">
        <f t="shared" si="26"/>
        <v>※</v>
      </c>
      <c r="B132" s="1647">
        <f t="shared" si="27"/>
        <v>0</v>
      </c>
      <c r="C132" s="1647">
        <f t="shared" si="28"/>
        <v>0</v>
      </c>
      <c r="D132" s="2186">
        <v>6598</v>
      </c>
      <c r="E132" s="2187" t="str">
        <f t="shared" si="29"/>
        <v>营业总成本</v>
      </c>
      <c r="F132" s="884">
        <f>SUM(F133:F145)</f>
        <v>31896947.5</v>
      </c>
      <c r="G132" s="885">
        <f>SUM(G133:G145)</f>
        <v>0</v>
      </c>
      <c r="H132" s="885">
        <f t="shared" ref="H132:M132" si="40">SUM(H133:H145)</f>
        <v>0</v>
      </c>
      <c r="I132" s="913">
        <f t="shared" si="40"/>
        <v>31896947.5</v>
      </c>
      <c r="J132" s="914">
        <f t="shared" si="40"/>
        <v>22487600.52</v>
      </c>
      <c r="K132" s="885">
        <f t="shared" si="40"/>
        <v>0</v>
      </c>
      <c r="L132" s="885">
        <f t="shared" si="40"/>
        <v>0</v>
      </c>
      <c r="M132" s="891">
        <f t="shared" si="40"/>
        <v>22487600.52</v>
      </c>
      <c r="N132" s="641"/>
      <c r="O132" s="641"/>
      <c r="P132" s="641"/>
      <c r="Q132" s="641"/>
      <c r="T132" s="3094">
        <v>6601</v>
      </c>
      <c r="U132" s="3101">
        <v>533561.96</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8990453.4299999997</v>
      </c>
      <c r="G133" s="885">
        <f>SUMIF(AJE!$B:$B,$C133&amp;$D133&amp;"*",AJE!$O:$O)</f>
        <v>0</v>
      </c>
      <c r="H133" s="885">
        <f>SUMIF(AJE!$B:$B,$C133&amp;$D133&amp;"*",AJE!$P:$P)</f>
        <v>0</v>
      </c>
      <c r="I133" s="913">
        <f t="shared" si="38"/>
        <v>8990453.4299999997</v>
      </c>
      <c r="J133" s="914">
        <f t="shared" ref="J133:J157" si="42">VLOOKUP($D133,Sheet_Preis,5,0)</f>
        <v>0</v>
      </c>
      <c r="K133" s="885">
        <f>SUMIF('AJE1'!$B:$B,$C133&amp;$D133&amp;"*",'AJE1'!$O:$O)</f>
        <v>0</v>
      </c>
      <c r="L133" s="885">
        <f>SUMIF('AJE1'!$B:$B,$C133&amp;$D133&amp;"*",'AJE1'!$P:$P)</f>
        <v>0</v>
      </c>
      <c r="M133" s="891">
        <f t="shared" si="39"/>
        <v>0</v>
      </c>
      <c r="N133" s="641"/>
      <c r="O133" s="641"/>
      <c r="P133" s="641"/>
      <c r="Q133" s="641"/>
      <c r="T133" s="3094">
        <v>6602</v>
      </c>
      <c r="U133" s="3101">
        <v>10602460.369999999</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94">
        <v>6606</v>
      </c>
      <c r="U134" s="3101">
        <v>6800845.5</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94">
        <v>6603</v>
      </c>
      <c r="U135" s="3101">
        <v>4448695.43</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94" t="s">
        <v>803</v>
      </c>
      <c r="U136" s="3101">
        <v>0</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94" t="s">
        <v>810</v>
      </c>
      <c r="U137" s="3101">
        <v>0</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94">
        <v>6671</v>
      </c>
      <c r="U138" s="3101">
        <v>29565.119999999999</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94">
        <v>6181</v>
      </c>
      <c r="U139" s="3101">
        <v>0</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94">
        <v>6111</v>
      </c>
      <c r="U140" s="3101">
        <v>0</v>
      </c>
    </row>
    <row r="141" spans="1:21" ht="18">
      <c r="A141" s="1648">
        <f t="shared" si="26"/>
        <v>0</v>
      </c>
      <c r="B141" s="1647">
        <f t="shared" si="27"/>
        <v>1</v>
      </c>
      <c r="C141" s="1647" t="str">
        <f t="shared" si="28"/>
        <v>J</v>
      </c>
      <c r="D141" s="1659">
        <v>6600</v>
      </c>
      <c r="E141" s="888" t="str">
        <f t="shared" si="29"/>
        <v>税金及附加</v>
      </c>
      <c r="F141" s="884">
        <f t="shared" si="41"/>
        <v>88392.34</v>
      </c>
      <c r="G141" s="885">
        <f>SUMIF(AJE!$B:$B,$C141&amp;$D141&amp;"*",AJE!$O:$O)</f>
        <v>0</v>
      </c>
      <c r="H141" s="885">
        <f>SUMIF(AJE!$B:$B,$C141&amp;$D141&amp;"*",AJE!$P:$P)</f>
        <v>0</v>
      </c>
      <c r="I141" s="913">
        <f t="shared" si="38"/>
        <v>88392.34</v>
      </c>
      <c r="J141" s="914">
        <f t="shared" si="42"/>
        <v>102037.26</v>
      </c>
      <c r="K141" s="885">
        <f>SUMIF('AJE1'!$B:$B,$C141&amp;$D141&amp;"*",'AJE1'!$O:$O)</f>
        <v>0</v>
      </c>
      <c r="L141" s="885">
        <f>SUMIF('AJE1'!$B:$B,$C141&amp;$D141&amp;"*",'AJE1'!$P:$P)</f>
        <v>0</v>
      </c>
      <c r="M141" s="891">
        <f t="shared" si="39"/>
        <v>102037.26</v>
      </c>
      <c r="N141" s="641"/>
      <c r="O141" s="641"/>
      <c r="P141" s="641"/>
      <c r="Q141" s="641"/>
      <c r="T141" s="3095">
        <v>6111.01</v>
      </c>
      <c r="U141" s="3101">
        <v>0</v>
      </c>
    </row>
    <row r="142" spans="1:21" ht="18">
      <c r="A142" s="1648">
        <f t="shared" si="26"/>
        <v>0</v>
      </c>
      <c r="B142" s="1647">
        <f t="shared" si="27"/>
        <v>1</v>
      </c>
      <c r="C142" s="1647" t="str">
        <f t="shared" si="28"/>
        <v>J</v>
      </c>
      <c r="D142" s="1659">
        <v>6601</v>
      </c>
      <c r="E142" s="888" t="str">
        <f t="shared" si="29"/>
        <v>销售费用</v>
      </c>
      <c r="F142" s="884">
        <f t="shared" si="41"/>
        <v>6019256.5999999996</v>
      </c>
      <c r="G142" s="885">
        <f>SUMIF(AJE!$B:$B,$C142&amp;$D142&amp;"*",AJE!$O:$O)</f>
        <v>0</v>
      </c>
      <c r="H142" s="885">
        <f>SUMIF(AJE!$B:$B,$C142&amp;$D142&amp;"*",AJE!$P:$P)</f>
        <v>0</v>
      </c>
      <c r="I142" s="913">
        <f t="shared" si="38"/>
        <v>6019256.5999999996</v>
      </c>
      <c r="J142" s="914">
        <f t="shared" si="42"/>
        <v>533561.96</v>
      </c>
      <c r="K142" s="885">
        <f>SUMIF('AJE1'!$B:$B,$C142&amp;$D142&amp;"*",'AJE1'!$O:$O)</f>
        <v>0</v>
      </c>
      <c r="L142" s="885">
        <f>SUMIF('AJE1'!$B:$B,$C142&amp;$D142&amp;"*",'AJE1'!$P:$P)</f>
        <v>0</v>
      </c>
      <c r="M142" s="891">
        <f t="shared" si="39"/>
        <v>533561.96</v>
      </c>
      <c r="N142" s="641"/>
      <c r="O142" s="641"/>
      <c r="P142" s="641"/>
      <c r="Q142" s="641"/>
      <c r="T142" s="3094">
        <v>6161</v>
      </c>
      <c r="U142" s="3101">
        <v>0</v>
      </c>
    </row>
    <row r="143" spans="1:21" ht="18">
      <c r="A143" s="1648">
        <f t="shared" si="26"/>
        <v>0</v>
      </c>
      <c r="B143" s="1647">
        <f t="shared" si="27"/>
        <v>1</v>
      </c>
      <c r="C143" s="1647" t="str">
        <f t="shared" si="28"/>
        <v>J</v>
      </c>
      <c r="D143" s="1659">
        <v>6602</v>
      </c>
      <c r="E143" s="888" t="str">
        <f t="shared" si="29"/>
        <v>管理费用</v>
      </c>
      <c r="F143" s="884">
        <f t="shared" si="41"/>
        <v>15303416.08</v>
      </c>
      <c r="G143" s="885">
        <f>SUMIF(AJE!$B:$B,$C143&amp;$D143&amp;"*",AJE!$O:$O)</f>
        <v>0</v>
      </c>
      <c r="H143" s="885">
        <f>SUMIF(AJE!$B:$B,$C143&amp;$D143&amp;"*",AJE!$P:$P)</f>
        <v>0</v>
      </c>
      <c r="I143" s="913">
        <f t="shared" si="38"/>
        <v>15303416.08</v>
      </c>
      <c r="J143" s="914">
        <f t="shared" si="42"/>
        <v>10602460.369999999</v>
      </c>
      <c r="K143" s="885">
        <f>SUMIF('AJE1'!$B:$B,$C143&amp;$D143&amp;"*",'AJE1'!$O:$O)</f>
        <v>0</v>
      </c>
      <c r="L143" s="885">
        <f>SUMIF('AJE1'!$B:$B,$C143&amp;$D143&amp;"*",'AJE1'!$P:$P)</f>
        <v>0</v>
      </c>
      <c r="M143" s="891">
        <f t="shared" si="39"/>
        <v>10602460.369999999</v>
      </c>
      <c r="N143" s="641"/>
      <c r="O143" s="641"/>
      <c r="P143" s="641"/>
      <c r="Q143" s="641"/>
      <c r="T143" s="3094">
        <v>6101</v>
      </c>
      <c r="U143" s="3101">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0</v>
      </c>
      <c r="G144" s="885">
        <f>SUMIF(AJE!$B:$B,$C144&amp;$D144&amp;"*",AJE!$O:$O)</f>
        <v>0</v>
      </c>
      <c r="H144" s="885">
        <f>SUMIF(AJE!$B:$B,$C144&amp;$D144&amp;"*",AJE!$P:$P)</f>
        <v>0</v>
      </c>
      <c r="I144" s="913">
        <f t="shared" si="38"/>
        <v>0</v>
      </c>
      <c r="J144" s="914">
        <f>VLOOKUP($D144,Sheet_Preis,5,0)</f>
        <v>6800845.5</v>
      </c>
      <c r="K144" s="885">
        <f>SUMIF('AJE1'!$B:$B,$C144&amp;$D144&amp;"*",'AJE1'!$O:$O)</f>
        <v>0</v>
      </c>
      <c r="L144" s="885">
        <f>SUMIF('AJE1'!$B:$B,$C144&amp;$D144&amp;"*",'AJE1'!$P:$P)</f>
        <v>0</v>
      </c>
      <c r="M144" s="891">
        <f t="shared" si="39"/>
        <v>6800845.5</v>
      </c>
      <c r="N144" s="641"/>
      <c r="O144" s="641"/>
      <c r="P144" s="641"/>
      <c r="Q144" s="641"/>
      <c r="T144" s="3094">
        <v>6171</v>
      </c>
      <c r="U144" s="3101">
        <v>0</v>
      </c>
    </row>
    <row r="145" spans="1:21" ht="18">
      <c r="A145" s="1648">
        <f t="shared" si="26"/>
        <v>0</v>
      </c>
      <c r="B145" s="1647">
        <f t="shared" si="27"/>
        <v>1</v>
      </c>
      <c r="C145" s="1647" t="str">
        <f t="shared" si="28"/>
        <v>J</v>
      </c>
      <c r="D145" s="1659">
        <v>6603</v>
      </c>
      <c r="E145" s="888" t="str">
        <f t="shared" si="29"/>
        <v>财务费用</v>
      </c>
      <c r="F145" s="884">
        <f t="shared" si="41"/>
        <v>1495429.05</v>
      </c>
      <c r="G145" s="885">
        <f>SUMIF(AJE!$B:$B,$C145&amp;$D145&amp;"*",AJE!$O:$O)</f>
        <v>0</v>
      </c>
      <c r="H145" s="885">
        <f>SUMIF(AJE!$B:$B,$C145&amp;$D145&amp;"*",AJE!$P:$P)</f>
        <v>0</v>
      </c>
      <c r="I145" s="913">
        <f t="shared" si="38"/>
        <v>1495429.05</v>
      </c>
      <c r="J145" s="914">
        <f t="shared" si="42"/>
        <v>4448695.43</v>
      </c>
      <c r="K145" s="885">
        <f>SUMIF('AJE1'!$B:$B,$C145&amp;$D145&amp;"*",'AJE1'!$O:$O)</f>
        <v>0</v>
      </c>
      <c r="L145" s="885">
        <f>SUMIF('AJE1'!$B:$B,$C145&amp;$D145&amp;"*",'AJE1'!$P:$P)</f>
        <v>0</v>
      </c>
      <c r="M145" s="891">
        <f t="shared" si="39"/>
        <v>4448695.43</v>
      </c>
      <c r="N145" s="641"/>
      <c r="O145" s="641"/>
      <c r="P145" s="641"/>
      <c r="Q145" s="641"/>
      <c r="T145" s="3094">
        <v>6689</v>
      </c>
      <c r="U145" s="3101">
        <v>-22510882.850000001</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1496740.48</v>
      </c>
      <c r="G146" s="885">
        <f>SUMIF(AJE!$B:$B,$C146&amp;$D146&amp;"*",AJE!$O:$O)</f>
        <v>0</v>
      </c>
      <c r="H146" s="885">
        <f>SUMIF(AJE!$B:$B,$C146&amp;$D146&amp;"*",AJE!$P:$P)</f>
        <v>0</v>
      </c>
      <c r="I146" s="913">
        <f t="shared" si="38"/>
        <v>1496740.48</v>
      </c>
      <c r="J146" s="914">
        <f>VLOOKUP($D146,Sheet_Preis,5,0)</f>
        <v>0</v>
      </c>
      <c r="K146" s="885">
        <f>SUMIF('AJE1'!$B:$B,$C146&amp;$D146&amp;"*",'AJE1'!$O:$O)</f>
        <v>0</v>
      </c>
      <c r="L146" s="885">
        <f>SUMIF('AJE1'!$B:$B,$C146&amp;$D146&amp;"*",'AJE1'!$P:$P)</f>
        <v>0</v>
      </c>
      <c r="M146" s="891">
        <f t="shared" si="39"/>
        <v>0</v>
      </c>
      <c r="N146" s="641"/>
      <c r="O146" s="641"/>
      <c r="P146" s="641"/>
      <c r="Q146" s="641"/>
      <c r="T146" s="3094">
        <v>6710</v>
      </c>
      <c r="U146" s="3101">
        <v>0</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-1311.43</v>
      </c>
      <c r="G147" s="885">
        <f>SUMIF(AJE!$B:$B,$C147&amp;$D147&amp;"*",AJE!$O:$O)</f>
        <v>0</v>
      </c>
      <c r="H147" s="885">
        <f>SUMIF(AJE!$B:$B,$C147&amp;$D147&amp;"*",AJE!$P:$P)</f>
        <v>0</v>
      </c>
      <c r="I147" s="913">
        <f t="shared" si="38"/>
        <v>-1311.43</v>
      </c>
      <c r="J147" s="914">
        <f>VLOOKUP($D147,Sheet_Preis,5,0)</f>
        <v>0</v>
      </c>
      <c r="K147" s="885">
        <f>SUMIF('AJE1'!$B:$B,$C147&amp;$D147&amp;"*",'AJE1'!$O:$O)</f>
        <v>0</v>
      </c>
      <c r="L147" s="885">
        <f>SUMIF('AJE1'!$B:$B,$C147&amp;$D147&amp;"*",'AJE1'!$P:$P)</f>
        <v>0</v>
      </c>
      <c r="M147" s="891">
        <f t="shared" si="39"/>
        <v>0</v>
      </c>
      <c r="N147" s="641"/>
      <c r="O147" s="641"/>
      <c r="P147" s="641"/>
      <c r="Q147" s="641"/>
      <c r="T147" s="3094">
        <v>6711</v>
      </c>
      <c r="U147" s="3101">
        <v>0</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10113.33</v>
      </c>
      <c r="G148" s="885">
        <f>SUMIF(AJE!$B:$B,$C148&amp;$D148&amp;"*",AJE!$O:$O)</f>
        <v>0</v>
      </c>
      <c r="H148" s="885">
        <f>SUMIF(AJE!$B:$B,$C148&amp;$D148&amp;"*",AJE!$P:$P)</f>
        <v>0</v>
      </c>
      <c r="I148" s="913">
        <f t="shared" si="38"/>
        <v>10113.33</v>
      </c>
      <c r="J148" s="914">
        <f>VLOOKUP($D148,Sheet_Preis,5,0)</f>
        <v>0</v>
      </c>
      <c r="K148" s="885">
        <f>SUMIF('AJE1'!$B:$B,$C148&amp;$D148&amp;"*",'AJE1'!$O:$O)</f>
        <v>0</v>
      </c>
      <c r="L148" s="885">
        <f>SUMIF('AJE1'!$B:$B,$C148&amp;$D148&amp;"*",'AJE1'!$P:$P)</f>
        <v>0</v>
      </c>
      <c r="M148" s="891">
        <f t="shared" si="39"/>
        <v>0</v>
      </c>
      <c r="N148" s="641"/>
      <c r="O148" s="641"/>
      <c r="P148" s="641"/>
      <c r="Q148" s="641"/>
      <c r="T148" s="3094">
        <v>6788</v>
      </c>
      <c r="U148" s="3101">
        <v>-22510882.850000001</v>
      </c>
    </row>
    <row r="149" spans="1:21" ht="18">
      <c r="A149" s="1648">
        <f t="shared" si="26"/>
        <v>0</v>
      </c>
      <c r="B149" s="1647">
        <f t="shared" si="27"/>
        <v>-1</v>
      </c>
      <c r="C149" s="1647" t="str">
        <f t="shared" si="28"/>
        <v>J</v>
      </c>
      <c r="D149" s="1659">
        <v>6111</v>
      </c>
      <c r="E149" s="888" t="str">
        <f t="shared" si="29"/>
        <v>投资收益</v>
      </c>
      <c r="F149" s="884">
        <f t="shared" si="41"/>
        <v>0</v>
      </c>
      <c r="G149" s="885">
        <f>SUMIF(AJE!$B:$B,$C149&amp;$D149&amp;"*",AJE!$O:$O)</f>
        <v>0</v>
      </c>
      <c r="H149" s="885">
        <f>SUMIF(AJE!$B:$B,$C149&amp;$D149&amp;"*",AJE!$P:$P)</f>
        <v>0</v>
      </c>
      <c r="I149" s="913">
        <f t="shared" si="38"/>
        <v>0</v>
      </c>
      <c r="J149" s="914">
        <f t="shared" si="42"/>
        <v>0</v>
      </c>
      <c r="K149" s="885">
        <f>SUMIF('AJE1'!$B:$B,$C149&amp;$D149&amp;"*",'AJE1'!$O:$O)</f>
        <v>0</v>
      </c>
      <c r="L149" s="885">
        <f>SUMIF('AJE1'!$B:$B,$C149&amp;$D149&amp;"*",'AJE1'!$P:$P)</f>
        <v>0</v>
      </c>
      <c r="M149" s="891">
        <f t="shared" si="39"/>
        <v>0</v>
      </c>
      <c r="N149" s="641"/>
      <c r="O149" s="641"/>
      <c r="P149" s="641"/>
      <c r="Q149" s="641"/>
      <c r="T149" s="3094">
        <v>6791</v>
      </c>
      <c r="U149" s="3101">
        <v>0</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94">
        <v>6799</v>
      </c>
      <c r="U150" s="3101">
        <v>-22510882.850000001</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94">
        <v>6835</v>
      </c>
      <c r="U151" s="3102"/>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94">
        <v>6816</v>
      </c>
      <c r="U152" s="3102"/>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94">
        <v>6817</v>
      </c>
      <c r="U153" s="3102"/>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94">
        <v>6830</v>
      </c>
      <c r="U154" s="3101"/>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3895.59</v>
      </c>
      <c r="G155" s="885">
        <f>SUMIF(AJE!$B:$B,$C155&amp;$D155&amp;"*",AJE!$O:$O)</f>
        <v>0</v>
      </c>
      <c r="H155" s="885">
        <f>SUMIF(AJE!$B:$B,$C155&amp;$D155&amp;"*",AJE!$P:$P)</f>
        <v>0</v>
      </c>
      <c r="I155" s="913">
        <f t="shared" ref="I155:I157" si="47">(B155*F155+G155-H155)*B155</f>
        <v>3895.59</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94">
        <v>6812</v>
      </c>
      <c r="U155" s="3101">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0</v>
      </c>
      <c r="G156" s="885">
        <f>SUMIF(AJE!$B:$B,$C156&amp;$D156&amp;"*",AJE!$O:$O)</f>
        <v>0</v>
      </c>
      <c r="H156" s="885">
        <f>SUMIF(AJE!$B:$B,$C156&amp;$D156&amp;"*",AJE!$P:$P)</f>
        <v>0</v>
      </c>
      <c r="I156" s="913">
        <f t="shared" si="47"/>
        <v>0</v>
      </c>
      <c r="J156" s="914">
        <f>VLOOKUP($D156,Sheet_Preis,5,0)</f>
        <v>-29565.119999999999</v>
      </c>
      <c r="K156" s="885">
        <f>SUMIF('AJE1'!$B:$B,$C156&amp;$D156&amp;"*",'AJE1'!$O:$O)</f>
        <v>0</v>
      </c>
      <c r="L156" s="885">
        <f>SUMIF('AJE1'!$B:$B,$C156&amp;$D156&amp;"*",'AJE1'!$P:$P)</f>
        <v>0</v>
      </c>
      <c r="M156" s="891">
        <f t="shared" si="48"/>
        <v>-29565.119999999999</v>
      </c>
      <c r="N156" s="641"/>
      <c r="O156" s="641"/>
      <c r="P156" s="641"/>
      <c r="Q156" s="641"/>
      <c r="T156" s="3094">
        <v>6811</v>
      </c>
      <c r="U156" s="3101">
        <v>-22510882.850000001</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0</v>
      </c>
      <c r="K157" s="885">
        <f>SUMIF('AJE1'!$B:$B,$C157&amp;$D157&amp;"*",'AJE1'!$O:$O)</f>
        <v>0</v>
      </c>
      <c r="L157" s="885">
        <f>SUMIF('AJE1'!$B:$B,$C157&amp;$D157&amp;"*",'AJE1'!$P:$P)</f>
        <v>0</v>
      </c>
      <c r="M157" s="891">
        <f t="shared" si="48"/>
        <v>0</v>
      </c>
      <c r="N157" s="641"/>
      <c r="O157" s="641"/>
      <c r="P157" s="641"/>
      <c r="Q157" s="641"/>
      <c r="T157" s="3094">
        <v>6829</v>
      </c>
      <c r="U157" s="3101">
        <v>0</v>
      </c>
    </row>
    <row r="158" spans="1:21" ht="18">
      <c r="A158" s="1648" t="str">
        <f t="shared" si="26"/>
        <v>＝</v>
      </c>
      <c r="B158" s="1647">
        <f t="shared" si="27"/>
        <v>0</v>
      </c>
      <c r="C158" s="1647">
        <f t="shared" si="28"/>
        <v>0</v>
      </c>
      <c r="D158" s="2186">
        <v>6689</v>
      </c>
      <c r="E158" s="2187" t="str">
        <f t="shared" si="29"/>
        <v>营业利润</v>
      </c>
      <c r="F158" s="884">
        <f>SUM(F128:F131)-SUM(F133:F145)+SUM(F148:F157)-SUM(F150,F151)</f>
        <v>-31554480.039999999</v>
      </c>
      <c r="G158" s="919">
        <f>SUM(G128:G131)+SUM(G133:G145)+SUM(G148:G157)-SUM(G150,G151)</f>
        <v>0</v>
      </c>
      <c r="H158" s="919">
        <f>SUM(H128:H131)+SUM(H133:H145)+SUM(H148:H157)-SUM(H150,H151)</f>
        <v>0</v>
      </c>
      <c r="I158" s="913">
        <f>SUM(I128:I131)-SUM(I133:I145)+SUM(I148:I157)-SUM(I150,I151)</f>
        <v>-31554480.039999999</v>
      </c>
      <c r="J158" s="914">
        <f>SUM(J128:J131)-SUM(J133:J145)+SUM(J148:J157)-SUM(J150,J151)</f>
        <v>-22510882.850000001</v>
      </c>
      <c r="K158" s="919">
        <f>SUM(K128:K131)+SUM(K133:K145)+SUM(K148:K157)-SUM(K150,K151)</f>
        <v>0</v>
      </c>
      <c r="L158" s="919">
        <f>SUM(L128:L131)+SUM(L133:L145)+SUM(L148:L157)-SUM(L150,L151)</f>
        <v>0</v>
      </c>
      <c r="M158" s="891">
        <f>SUM(M128:M131)-SUM(M133:M145)+SUM(M148:M157)-SUM(M150,M151)</f>
        <v>-22510882.850000001</v>
      </c>
      <c r="N158" s="641"/>
      <c r="O158" s="641"/>
      <c r="P158" s="641"/>
      <c r="Q158" s="641"/>
      <c r="T158" s="3097">
        <v>6829.2</v>
      </c>
      <c r="U158" s="3101">
        <v>0</v>
      </c>
    </row>
    <row r="159" spans="1:21" ht="18">
      <c r="A159" s="1648">
        <f t="shared" si="26"/>
        <v>0</v>
      </c>
      <c r="B159" s="1647">
        <f t="shared" si="27"/>
        <v>-1</v>
      </c>
      <c r="C159" s="1647" t="str">
        <f t="shared" si="28"/>
        <v>J</v>
      </c>
      <c r="D159" s="1659">
        <v>6710</v>
      </c>
      <c r="E159" s="888" t="str">
        <f t="shared" si="29"/>
        <v>营业外收入</v>
      </c>
      <c r="F159" s="884">
        <f>VLOOKUP($D159,Sheet_Preis,4,0)</f>
        <v>0</v>
      </c>
      <c r="G159" s="885">
        <f>SUMIF(AJE!$B:$B,$C159&amp;$D159&amp;"*",AJE!$O:$O)</f>
        <v>0</v>
      </c>
      <c r="H159" s="885">
        <f>SUMIF(AJE!$B:$B,$C159&amp;$D159&amp;"*",AJE!$P:$P)</f>
        <v>0</v>
      </c>
      <c r="I159" s="913">
        <f t="shared" si="38"/>
        <v>0</v>
      </c>
      <c r="J159" s="914">
        <f>VLOOKUP($D159,Sheet_Preis,5,0)</f>
        <v>0</v>
      </c>
      <c r="K159" s="885">
        <f>SUMIF('AJE1'!$B:$B,$C159&amp;$D159&amp;"*",'AJE1'!$O:$O)</f>
        <v>0</v>
      </c>
      <c r="L159" s="885">
        <f>SUMIF('AJE1'!$B:$B,$C159&amp;$D159&amp;"*",'AJE1'!$P:$P)</f>
        <v>0</v>
      </c>
      <c r="M159" s="891">
        <f t="shared" si="39"/>
        <v>0</v>
      </c>
      <c r="N159" s="641"/>
      <c r="O159" s="641"/>
      <c r="P159" s="641"/>
      <c r="Q159" s="641"/>
      <c r="T159" s="3095">
        <v>6829.21</v>
      </c>
      <c r="U159" s="3101">
        <v>0</v>
      </c>
    </row>
    <row r="160" spans="1:21" ht="18">
      <c r="A160" s="1648">
        <f t="shared" si="26"/>
        <v>0</v>
      </c>
      <c r="B160" s="1647">
        <f t="shared" si="27"/>
        <v>1</v>
      </c>
      <c r="C160" s="1647" t="str">
        <f t="shared" si="28"/>
        <v>J</v>
      </c>
      <c r="D160" s="1659">
        <v>6711</v>
      </c>
      <c r="E160" s="888" t="str">
        <f t="shared" si="29"/>
        <v>营业外支出</v>
      </c>
      <c r="F160" s="884">
        <f>VLOOKUP($D160,Sheet_Preis,4,0)</f>
        <v>0</v>
      </c>
      <c r="G160" s="885">
        <f>SUMIF(AJE!$B:$B,$C160&amp;$D160&amp;"*",AJE!$O:$O)</f>
        <v>0</v>
      </c>
      <c r="H160" s="885">
        <f>SUMIF(AJE!$B:$B,$C160&amp;$D160&amp;"*",AJE!$P:$P)</f>
        <v>0</v>
      </c>
      <c r="I160" s="913">
        <f t="shared" si="38"/>
        <v>0</v>
      </c>
      <c r="J160" s="914">
        <f>VLOOKUP($D160,Sheet_Preis,5,0)</f>
        <v>0</v>
      </c>
      <c r="K160" s="885">
        <f>SUMIF('AJE1'!$B:$B,$C160&amp;$D160&amp;"*",'AJE1'!$O:$O)</f>
        <v>0</v>
      </c>
      <c r="L160" s="885">
        <f>SUMIF('AJE1'!$B:$B,$C160&amp;$D160&amp;"*",'AJE1'!$P:$P)</f>
        <v>0</v>
      </c>
      <c r="M160" s="891">
        <f t="shared" si="39"/>
        <v>0</v>
      </c>
      <c r="N160" s="641"/>
      <c r="O160" s="641"/>
      <c r="P160" s="641"/>
      <c r="Q160" s="641"/>
      <c r="T160" s="3098">
        <v>6829.2110000000002</v>
      </c>
      <c r="U160" s="3101">
        <v>0</v>
      </c>
    </row>
    <row r="161" spans="1:21" ht="18">
      <c r="A161" s="1648" t="str">
        <f t="shared" si="26"/>
        <v>＝</v>
      </c>
      <c r="B161" s="1647">
        <f t="shared" si="27"/>
        <v>0</v>
      </c>
      <c r="C161" s="1647">
        <f t="shared" si="28"/>
        <v>0</v>
      </c>
      <c r="D161" s="1659">
        <v>6788</v>
      </c>
      <c r="E161" s="888" t="str">
        <f t="shared" si="29"/>
        <v>利润总额</v>
      </c>
      <c r="F161" s="884">
        <f>SUM(F158,F159,-F160)</f>
        <v>-31554480.039999999</v>
      </c>
      <c r="G161" s="919">
        <f>SUM(G158,G159,G160)</f>
        <v>0</v>
      </c>
      <c r="H161" s="919">
        <f>SUM(H158,H159,H160)</f>
        <v>0</v>
      </c>
      <c r="I161" s="913">
        <f>SUM(I158,I159,-I160)</f>
        <v>-31554480.039999999</v>
      </c>
      <c r="J161" s="914">
        <f>SUM(J158,J159,-J160)</f>
        <v>-22510882.850000001</v>
      </c>
      <c r="K161" s="919">
        <f>SUM(K158,K159,K160)</f>
        <v>0</v>
      </c>
      <c r="L161" s="919">
        <f>SUM(L158,L159,L160)</f>
        <v>0</v>
      </c>
      <c r="M161" s="891">
        <f>SUM(M158,M159,-M160)</f>
        <v>-22510882.850000001</v>
      </c>
      <c r="N161" s="641"/>
      <c r="O161" s="641"/>
      <c r="P161" s="641"/>
      <c r="Q161" s="641"/>
      <c r="T161" s="3098">
        <v>6829.2120000000004</v>
      </c>
      <c r="U161" s="3101">
        <v>0</v>
      </c>
    </row>
    <row r="162" spans="1:21" ht="18">
      <c r="A162" s="1648">
        <f t="shared" si="26"/>
        <v>0</v>
      </c>
      <c r="B162" s="1647">
        <f t="shared" si="27"/>
        <v>1</v>
      </c>
      <c r="C162" s="1647" t="str">
        <f t="shared" si="28"/>
        <v>J</v>
      </c>
      <c r="D162" s="1659">
        <v>6791</v>
      </c>
      <c r="E162" s="888" t="str">
        <f t="shared" si="29"/>
        <v>所得税费用</v>
      </c>
      <c r="F162" s="884">
        <f>VLOOKUP($D162,Sheet_Preis,4,0)</f>
        <v>-6256690.8899999997</v>
      </c>
      <c r="G162" s="885">
        <f>SUMIF(AJE!$B:$B,$C162&amp;$D162&amp;"*",AJE!$O:$O)</f>
        <v>0</v>
      </c>
      <c r="H162" s="885">
        <f>SUMIF(AJE!$B:$B,$C162&amp;$D162&amp;"*",AJE!$P:$P)</f>
        <v>0</v>
      </c>
      <c r="I162" s="913">
        <f t="shared" si="38"/>
        <v>-6256690.8899999997</v>
      </c>
      <c r="J162" s="914">
        <f>VLOOKUP($D162,Sheet_Preis,5,0)</f>
        <v>0</v>
      </c>
      <c r="K162" s="885">
        <f>SUMIF('AJE1'!$B:$B,$C162&amp;$D162&amp;"*",'AJE1'!$O:$O)</f>
        <v>0</v>
      </c>
      <c r="L162" s="885">
        <f>SUMIF('AJE1'!$B:$B,$C162&amp;$D162&amp;"*",'AJE1'!$P:$P)</f>
        <v>0</v>
      </c>
      <c r="M162" s="891">
        <f t="shared" si="39"/>
        <v>0</v>
      </c>
      <c r="N162" s="641"/>
      <c r="O162" s="641"/>
      <c r="P162" s="641"/>
      <c r="Q162" s="641"/>
      <c r="T162" s="3098">
        <v>6829.2190000000001</v>
      </c>
      <c r="U162" s="3101">
        <v>0</v>
      </c>
    </row>
    <row r="163" spans="1:21" ht="18">
      <c r="A163" s="1648" t="str">
        <f t="shared" si="26"/>
        <v>＝</v>
      </c>
      <c r="B163" s="1647">
        <f t="shared" si="27"/>
        <v>0</v>
      </c>
      <c r="C163" s="1647">
        <f t="shared" si="28"/>
        <v>0</v>
      </c>
      <c r="D163" s="2186">
        <v>6799</v>
      </c>
      <c r="E163" s="2187" t="str">
        <f t="shared" si="29"/>
        <v>净利润</v>
      </c>
      <c r="F163" s="884">
        <f t="shared" ref="F163:M163" si="49">SUM(F161,-F162)</f>
        <v>-25297789.149999999</v>
      </c>
      <c r="G163" s="919">
        <f>SUM(G161,G162)</f>
        <v>0</v>
      </c>
      <c r="H163" s="919">
        <f>SUM(H161,H162)</f>
        <v>0</v>
      </c>
      <c r="I163" s="913">
        <f t="shared" si="49"/>
        <v>-25297789.149999999</v>
      </c>
      <c r="J163" s="914">
        <f t="shared" si="49"/>
        <v>-22510882.850000001</v>
      </c>
      <c r="K163" s="919">
        <f>SUM(K161,K162)</f>
        <v>0</v>
      </c>
      <c r="L163" s="919">
        <f>SUM(L161,L162)</f>
        <v>0</v>
      </c>
      <c r="M163" s="891">
        <f t="shared" si="49"/>
        <v>-22510882.850000001</v>
      </c>
      <c r="N163" s="641"/>
      <c r="O163" s="641"/>
      <c r="P163" s="641"/>
      <c r="Q163" s="641"/>
      <c r="T163" s="3095">
        <v>6829.23</v>
      </c>
      <c r="U163" s="3101">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98">
        <v>6829.2309999999998</v>
      </c>
      <c r="U164" s="3101">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-25297789.149999999</v>
      </c>
      <c r="G165" s="918"/>
      <c r="H165" s="918"/>
      <c r="I165" s="921"/>
      <c r="J165" s="922">
        <f>VLOOKUP($D165,Sheet_Preis,5,0)</f>
        <v>-22510882.850000001</v>
      </c>
      <c r="K165" s="918"/>
      <c r="L165" s="918"/>
      <c r="M165" s="923"/>
      <c r="T165" s="3098">
        <v>6829.232</v>
      </c>
      <c r="U165" s="3101">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98">
        <v>6829.2330000000002</v>
      </c>
      <c r="U166" s="3101">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98">
        <v>6829.2340000000004</v>
      </c>
      <c r="U167" s="3101">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98">
        <v>6829.2349999999997</v>
      </c>
      <c r="U168" s="3101">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-25297789.149999999</v>
      </c>
      <c r="G169" s="885">
        <f>SUM(VLOOKUP(6799,Sheet_Trialbal,4,0),VLOOKUP(6812,Sheet_Trialbal,4,0))</f>
        <v>0</v>
      </c>
      <c r="H169" s="885">
        <f>SUM(VLOOKUP(6799,Sheet_Trialbal,5,0),VLOOKUP(6812,Sheet_Trialbal,5,0))</f>
        <v>0</v>
      </c>
      <c r="I169" s="913">
        <f t="shared" si="38"/>
        <v>-25297789.149999999</v>
      </c>
      <c r="J169" s="914">
        <f>VLOOKUP($D169,Sheet_Preis,5,0)</f>
        <v>-22510882.850000001</v>
      </c>
      <c r="K169" s="885">
        <f>SUM(VLOOKUP(6799,Sheet_Trialbal,8,0),VLOOKUP(6812,Sheet_Trialbal,8,0))</f>
        <v>0</v>
      </c>
      <c r="L169" s="885">
        <f>SUM(VLOOKUP(6799,Sheet_Trialbal,9,0),VLOOKUP(6812,Sheet_Trialbal,9,0))</f>
        <v>0</v>
      </c>
      <c r="M169" s="891">
        <f t="shared" si="39"/>
        <v>-22510882.850000001</v>
      </c>
      <c r="N169" s="641"/>
      <c r="O169" s="641"/>
      <c r="P169" s="641"/>
      <c r="Q169" s="641"/>
      <c r="T169" s="3098">
        <v>6829.2359999999999</v>
      </c>
      <c r="U169" s="3101">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98">
        <v>6829.2370000000001</v>
      </c>
      <c r="U170" s="3101">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98">
        <v>6829.2389999999996</v>
      </c>
      <c r="U171" s="3101">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97">
        <v>6829.5</v>
      </c>
      <c r="U172" s="3101">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94">
        <v>6839</v>
      </c>
      <c r="U173" s="3101">
        <v>-22510882.850000001</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94">
        <v>6841</v>
      </c>
      <c r="U174" s="3101">
        <v>-22510882.850000001</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94">
        <v>6842</v>
      </c>
      <c r="U175" s="3101">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94">
        <v>6820</v>
      </c>
      <c r="U176" s="3102"/>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94">
        <v>6821</v>
      </c>
      <c r="U177" s="3102"/>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94">
        <v>6822</v>
      </c>
      <c r="U178" s="3102"/>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95">
        <v>6710.11</v>
      </c>
      <c r="U179" s="3102"/>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95">
        <v>6711.01</v>
      </c>
      <c r="U180" s="3102"/>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94">
        <v>6805</v>
      </c>
      <c r="U181" s="3102"/>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94">
        <v>8</v>
      </c>
      <c r="U182" s="3101"/>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94">
        <v>8000</v>
      </c>
      <c r="U183" s="3101"/>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94">
        <v>8001</v>
      </c>
      <c r="U184" s="3101">
        <v>75279998.709999993</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94">
        <v>8002</v>
      </c>
      <c r="U185" s="3101">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94">
        <v>8003</v>
      </c>
      <c r="U186" s="3101">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94">
        <v>8004</v>
      </c>
      <c r="U187" s="3101">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94">
        <v>8009</v>
      </c>
      <c r="U188" s="3101">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94">
        <v>8010</v>
      </c>
      <c r="U189" s="3101">
        <v>75279998.709999993</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94">
        <v>8090</v>
      </c>
      <c r="U190" s="3101">
        <v>-22510882.850000001</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94">
        <v>8021</v>
      </c>
      <c r="U191" s="3101">
        <v>-22510882.850000001</v>
      </c>
    </row>
    <row r="192" spans="1:21" ht="18">
      <c r="A192" s="1648" t="str">
        <f t="shared" si="26"/>
        <v>＝</v>
      </c>
      <c r="B192" s="1647">
        <f t="shared" si="27"/>
        <v>0</v>
      </c>
      <c r="C192" s="1647">
        <f t="shared" si="28"/>
        <v>0</v>
      </c>
      <c r="D192" s="2186">
        <v>6839</v>
      </c>
      <c r="E192" s="2187" t="str">
        <f t="shared" si="29"/>
        <v>综合收益总额</v>
      </c>
      <c r="F192" s="884">
        <f t="shared" ref="F192:M192" si="58">SUM(F163,F170)</f>
        <v>-25297789.149999999</v>
      </c>
      <c r="G192" s="885">
        <f t="shared" si="58"/>
        <v>0</v>
      </c>
      <c r="H192" s="885">
        <f t="shared" si="58"/>
        <v>0</v>
      </c>
      <c r="I192" s="913">
        <f t="shared" si="58"/>
        <v>-25297789.149999999</v>
      </c>
      <c r="J192" s="914">
        <f t="shared" si="58"/>
        <v>-22510882.850000001</v>
      </c>
      <c r="K192" s="885">
        <f t="shared" si="58"/>
        <v>0</v>
      </c>
      <c r="L192" s="885">
        <f t="shared" si="58"/>
        <v>0</v>
      </c>
      <c r="M192" s="891">
        <f t="shared" si="58"/>
        <v>-22510882.850000001</v>
      </c>
      <c r="N192" s="641"/>
      <c r="O192" s="641"/>
      <c r="P192" s="641"/>
      <c r="Q192" s="641"/>
      <c r="T192" s="3094">
        <v>8030</v>
      </c>
      <c r="U192" s="3101">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-25297789.149999999</v>
      </c>
      <c r="G193" s="885">
        <f t="shared" si="59"/>
        <v>0</v>
      </c>
      <c r="H193" s="885">
        <f t="shared" si="59"/>
        <v>0</v>
      </c>
      <c r="I193" s="913">
        <f t="shared" si="59"/>
        <v>-25297789.149999999</v>
      </c>
      <c r="J193" s="914">
        <f t="shared" si="59"/>
        <v>-22510882.850000001</v>
      </c>
      <c r="K193" s="885">
        <f t="shared" si="59"/>
        <v>0</v>
      </c>
      <c r="L193" s="885">
        <f t="shared" si="59"/>
        <v>0</v>
      </c>
      <c r="M193" s="891">
        <f t="shared" si="59"/>
        <v>-22510882.850000001</v>
      </c>
      <c r="N193" s="641"/>
      <c r="O193" s="641"/>
      <c r="P193" s="641"/>
      <c r="Q193" s="641"/>
      <c r="T193" s="3094">
        <v>8040</v>
      </c>
      <c r="U193" s="3101">
        <v>-22510882.850000001</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94">
        <v>8050</v>
      </c>
      <c r="U194" s="3101">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94">
        <v>8051</v>
      </c>
      <c r="U195" s="3101">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94">
        <v>8053</v>
      </c>
      <c r="U196" s="3101">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94">
        <v>8052</v>
      </c>
      <c r="U197" s="3101">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94">
        <v>8056</v>
      </c>
      <c r="U198" s="3101">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94">
        <v>8060</v>
      </c>
      <c r="U199" s="3101">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94">
        <v>8061</v>
      </c>
      <c r="U200" s="3101">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94">
        <v>8062</v>
      </c>
      <c r="U201" s="3101">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94">
        <v>8063</v>
      </c>
      <c r="U202" s="3101">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0</v>
      </c>
      <c r="G203" s="885">
        <f t="shared" ref="G203:H209" si="66">SUM(G236,G362,G395,G459,G492,G525,G558,G591,G624,G269,G300,G331,G428)</f>
        <v>0</v>
      </c>
      <c r="H203" s="885">
        <f t="shared" si="66"/>
        <v>0</v>
      </c>
      <c r="I203" s="913">
        <f t="shared" ref="I203:J209" si="67">SUM(I236,I362,-I395,I459,I492,I525,I558,I591,I624,I269,I300,I331,I428)</f>
        <v>0</v>
      </c>
      <c r="J203" s="914">
        <f t="shared" ca="1" si="67"/>
        <v>75279998.709999993</v>
      </c>
      <c r="K203" s="885">
        <f t="shared" ref="K203:L209" si="68">SUM(K236,K362,K395,K459,K492,K525,K558,K591,K624,K269,K300,K331,K428)</f>
        <v>0</v>
      </c>
      <c r="L203" s="885">
        <f t="shared" si="68"/>
        <v>0</v>
      </c>
      <c r="M203" s="891">
        <f t="shared" ref="M203:M209" ca="1" si="69">SUM(M236,M362,-M395,M459,M492,M525,M558,M591,M624,M269,M300,M331,M428)</f>
        <v>75279998.709999993</v>
      </c>
      <c r="N203" s="641"/>
      <c r="O203" s="641"/>
      <c r="P203" s="641"/>
      <c r="Q203" s="641"/>
      <c r="T203" s="3094">
        <v>8066</v>
      </c>
      <c r="U203" s="3101">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0</v>
      </c>
      <c r="H204" s="885">
        <f t="shared" si="66"/>
        <v>0</v>
      </c>
      <c r="I204" s="913">
        <f t="shared" si="67"/>
        <v>0</v>
      </c>
      <c r="J204" s="914">
        <f t="shared" ca="1" si="67"/>
        <v>0</v>
      </c>
      <c r="K204" s="885">
        <f t="shared" si="68"/>
        <v>0</v>
      </c>
      <c r="L204" s="885">
        <f t="shared" si="68"/>
        <v>0</v>
      </c>
      <c r="M204" s="891">
        <f t="shared" ca="1" si="69"/>
        <v>0</v>
      </c>
      <c r="N204" s="641"/>
      <c r="O204" s="641"/>
      <c r="P204" s="641"/>
      <c r="Q204" s="641"/>
      <c r="T204" s="3094">
        <v>8070</v>
      </c>
      <c r="U204" s="3101">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94">
        <v>8071</v>
      </c>
      <c r="U205" s="3101">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94">
        <v>8072</v>
      </c>
      <c r="U206" s="3101">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94">
        <v>8073</v>
      </c>
      <c r="U207" s="3101">
        <v>0</v>
      </c>
    </row>
    <row r="208" spans="1:21" ht="18">
      <c r="A208" s="1648" t="str">
        <f t="shared" si="63"/>
        <v>＝</v>
      </c>
      <c r="B208" s="1647">
        <f t="shared" si="64"/>
        <v>0</v>
      </c>
      <c r="C208" s="1647">
        <f t="shared" si="61"/>
        <v>0</v>
      </c>
      <c r="D208" s="1659">
        <v>8010</v>
      </c>
      <c r="E208" s="888" t="str">
        <f t="shared" si="62"/>
        <v>所有者权益_本年年初余额</v>
      </c>
      <c r="F208" s="884">
        <f t="shared" si="65"/>
        <v>0</v>
      </c>
      <c r="G208" s="885">
        <f t="shared" si="66"/>
        <v>0</v>
      </c>
      <c r="H208" s="885">
        <f t="shared" si="66"/>
        <v>0</v>
      </c>
      <c r="I208" s="913">
        <f t="shared" si="67"/>
        <v>0</v>
      </c>
      <c r="J208" s="914">
        <f t="shared" ca="1" si="67"/>
        <v>75279998.709999993</v>
      </c>
      <c r="K208" s="885">
        <f t="shared" si="68"/>
        <v>0</v>
      </c>
      <c r="L208" s="885">
        <f t="shared" si="68"/>
        <v>0</v>
      </c>
      <c r="M208" s="891">
        <f t="shared" ca="1" si="69"/>
        <v>75279998.709999993</v>
      </c>
      <c r="N208" s="641"/>
      <c r="O208" s="641"/>
      <c r="P208" s="641"/>
      <c r="Q208" s="641"/>
      <c r="T208" s="3094">
        <v>8075</v>
      </c>
      <c r="U208" s="3101">
        <v>0</v>
      </c>
    </row>
    <row r="209" spans="1:21" ht="18">
      <c r="A209" s="1648" t="str">
        <f t="shared" si="63"/>
        <v>＝</v>
      </c>
      <c r="B209" s="1647">
        <f t="shared" si="64"/>
        <v>0</v>
      </c>
      <c r="C209" s="1647">
        <f t="shared" si="61"/>
        <v>0</v>
      </c>
      <c r="D209" s="1659">
        <v>8090</v>
      </c>
      <c r="E209" s="888" t="str">
        <f t="shared" si="62"/>
        <v>所有者权益_本期增减变动金额</v>
      </c>
      <c r="F209" s="884">
        <f t="shared" si="65"/>
        <v>-25297789.149999999</v>
      </c>
      <c r="G209" s="885">
        <f t="shared" si="66"/>
        <v>0</v>
      </c>
      <c r="H209" s="885">
        <f t="shared" si="66"/>
        <v>0</v>
      </c>
      <c r="I209" s="913">
        <f t="shared" si="67"/>
        <v>-25297789.149999999</v>
      </c>
      <c r="J209" s="914">
        <f t="shared" ca="1" si="67"/>
        <v>-22510882.850000001</v>
      </c>
      <c r="K209" s="885">
        <f t="shared" si="68"/>
        <v>0</v>
      </c>
      <c r="L209" s="885">
        <f t="shared" si="68"/>
        <v>0</v>
      </c>
      <c r="M209" s="891">
        <f t="shared" ca="1" si="69"/>
        <v>-22510882.850000001</v>
      </c>
      <c r="N209" s="641"/>
      <c r="O209" s="641"/>
      <c r="P209" s="641"/>
      <c r="Q209" s="641"/>
      <c r="T209" s="3094">
        <v>8076</v>
      </c>
      <c r="U209" s="3101">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-25297789.149999999</v>
      </c>
      <c r="G210" s="885">
        <f>SUM(G243,G369,G402,G466,G499,G532,G565,G598,G631)</f>
        <v>0</v>
      </c>
      <c r="H210" s="885">
        <f>SUM(H243,H369,H402,H466,H499,H532,H565,H598,H631)</f>
        <v>0</v>
      </c>
      <c r="I210" s="913">
        <f>SUM(I243,I369,-I402,I466,I499,I532,I565,I598,I631)</f>
        <v>-25297789.149999999</v>
      </c>
      <c r="J210" s="914">
        <f>SUM(J243,J369,-J402,J466,J499,J532,J565,J598,J631)</f>
        <v>-22510882.850000001</v>
      </c>
      <c r="K210" s="885">
        <f>SUM(K243,K369,K402,K466,K499,K532,K565,K598,K631)</f>
        <v>0</v>
      </c>
      <c r="L210" s="885">
        <f>SUM(L243,L369,L402,L466,L499,L532,L565,L598,L631)</f>
        <v>0</v>
      </c>
      <c r="M210" s="891">
        <f>SUM(M243,M369,-M402,M466,M499,M532,M565,M598,M631)</f>
        <v>-22510882.850000001</v>
      </c>
      <c r="N210" s="641"/>
      <c r="O210" s="641"/>
      <c r="P210" s="641"/>
      <c r="Q210" s="641"/>
      <c r="T210" s="3094">
        <v>8080</v>
      </c>
      <c r="U210" s="3101">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94">
        <v>8081</v>
      </c>
      <c r="U211" s="3101">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-25297789.149999999</v>
      </c>
      <c r="G212" s="885">
        <f t="shared" ref="G212:H234" si="71">SUM(G245,G371,G404,G468,G501,G534,G567,G600,G633,G276,G307,G338,G435)</f>
        <v>0</v>
      </c>
      <c r="H212" s="885">
        <f t="shared" si="71"/>
        <v>0</v>
      </c>
      <c r="I212" s="913">
        <f t="shared" ref="I212:J234" si="72">SUM(I245,I371,-I404,I468,I501,I534,I567,I600,I633,I276,I307,I338,I435)</f>
        <v>-25297789.149999999</v>
      </c>
      <c r="J212" s="914">
        <f t="shared" ca="1" si="72"/>
        <v>-22510882.850000001</v>
      </c>
      <c r="K212" s="885">
        <f t="shared" ref="K212:L234" si="73">SUM(K245,K371,K404,K468,K501,K534,K567,K600,K633,K276,K307,K338,K435)</f>
        <v>0</v>
      </c>
      <c r="L212" s="885">
        <f t="shared" si="73"/>
        <v>0</v>
      </c>
      <c r="M212" s="891">
        <f t="shared" ref="M212:M234" ca="1" si="74">SUM(M245,M371,-M404,M468,M501,M534,M567,M600,M633,M276,M307,M338,M435)</f>
        <v>-22510882.850000001</v>
      </c>
      <c r="N212" s="641"/>
      <c r="O212" s="641"/>
      <c r="P212" s="641"/>
      <c r="Q212" s="641"/>
      <c r="T212" s="3094">
        <v>8082</v>
      </c>
      <c r="U212" s="3101">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0</v>
      </c>
      <c r="G213" s="885">
        <f t="shared" si="71"/>
        <v>0</v>
      </c>
      <c r="H213" s="885">
        <f t="shared" si="71"/>
        <v>0</v>
      </c>
      <c r="I213" s="913">
        <f t="shared" si="72"/>
        <v>0</v>
      </c>
      <c r="J213" s="914">
        <f t="shared" ca="1" si="72"/>
        <v>0</v>
      </c>
      <c r="K213" s="885">
        <f t="shared" si="73"/>
        <v>0</v>
      </c>
      <c r="L213" s="885">
        <f t="shared" si="73"/>
        <v>0</v>
      </c>
      <c r="M213" s="891">
        <f t="shared" ca="1" si="74"/>
        <v>0</v>
      </c>
      <c r="N213" s="641"/>
      <c r="O213" s="641"/>
      <c r="P213" s="641"/>
      <c r="Q213" s="641"/>
      <c r="T213" s="3094">
        <v>8096</v>
      </c>
      <c r="U213" s="3101">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0</v>
      </c>
      <c r="G214" s="885">
        <f t="shared" si="71"/>
        <v>0</v>
      </c>
      <c r="H214" s="885">
        <f t="shared" si="71"/>
        <v>0</v>
      </c>
      <c r="I214" s="913">
        <f t="shared" si="72"/>
        <v>0</v>
      </c>
      <c r="J214" s="914">
        <f t="shared" ca="1" si="72"/>
        <v>0</v>
      </c>
      <c r="K214" s="885">
        <f t="shared" si="73"/>
        <v>0</v>
      </c>
      <c r="L214" s="885">
        <f t="shared" si="73"/>
        <v>0</v>
      </c>
      <c r="M214" s="891">
        <f t="shared" ca="1" si="74"/>
        <v>0</v>
      </c>
      <c r="N214" s="641"/>
      <c r="O214" s="641"/>
      <c r="P214" s="641"/>
      <c r="Q214" s="641"/>
      <c r="T214" s="3094">
        <v>8099</v>
      </c>
      <c r="U214" s="3101">
        <v>52769115.859999999</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94">
        <v>8100</v>
      </c>
      <c r="U215" s="3101"/>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94">
        <v>8101</v>
      </c>
      <c r="U216" s="3101">
        <v>100000000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94">
        <v>8102</v>
      </c>
      <c r="U217" s="3101">
        <v>0</v>
      </c>
    </row>
    <row r="218" spans="1:21" ht="18">
      <c r="A218" s="1648" t="str">
        <f t="shared" si="63"/>
        <v>＝</v>
      </c>
      <c r="B218" s="1647">
        <f t="shared" si="64"/>
        <v>0</v>
      </c>
      <c r="C218" s="1647">
        <f t="shared" si="61"/>
        <v>0</v>
      </c>
      <c r="D218" s="1659">
        <v>8060</v>
      </c>
      <c r="E218" s="888" t="str">
        <f t="shared" si="62"/>
        <v>所有者权益_利润分配影响权益</v>
      </c>
      <c r="F218" s="884">
        <f t="shared" si="70"/>
        <v>0</v>
      </c>
      <c r="G218" s="885">
        <f t="shared" si="71"/>
        <v>0</v>
      </c>
      <c r="H218" s="885">
        <f t="shared" si="71"/>
        <v>0</v>
      </c>
      <c r="I218" s="913">
        <f t="shared" si="72"/>
        <v>0</v>
      </c>
      <c r="J218" s="914">
        <f t="shared" ca="1" si="72"/>
        <v>0</v>
      </c>
      <c r="K218" s="885">
        <f t="shared" si="73"/>
        <v>0</v>
      </c>
      <c r="L218" s="885">
        <f t="shared" si="73"/>
        <v>0</v>
      </c>
      <c r="M218" s="891">
        <f t="shared" ca="1" si="74"/>
        <v>0</v>
      </c>
      <c r="N218" s="641"/>
      <c r="O218" s="641"/>
      <c r="P218" s="641"/>
      <c r="Q218" s="641"/>
      <c r="T218" s="3094">
        <v>8103</v>
      </c>
      <c r="U218" s="3101">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94">
        <v>8104</v>
      </c>
      <c r="U219" s="3101">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94">
        <v>8109</v>
      </c>
      <c r="U220" s="3101">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0</v>
      </c>
      <c r="G221" s="885">
        <f t="shared" si="71"/>
        <v>0</v>
      </c>
      <c r="H221" s="885">
        <f t="shared" si="71"/>
        <v>0</v>
      </c>
      <c r="I221" s="913">
        <f t="shared" si="72"/>
        <v>0</v>
      </c>
      <c r="J221" s="914">
        <f t="shared" ca="1" si="72"/>
        <v>0</v>
      </c>
      <c r="K221" s="885">
        <f t="shared" si="73"/>
        <v>0</v>
      </c>
      <c r="L221" s="885">
        <f t="shared" si="73"/>
        <v>0</v>
      </c>
      <c r="M221" s="891">
        <f t="shared" ca="1" si="74"/>
        <v>0</v>
      </c>
      <c r="N221" s="641"/>
      <c r="O221" s="641"/>
      <c r="P221" s="641"/>
      <c r="Q221" s="641"/>
      <c r="T221" s="3094">
        <v>8110</v>
      </c>
      <c r="U221" s="3101">
        <v>100000000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94">
        <v>8190</v>
      </c>
      <c r="U222" s="3101">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94">
        <v>8121</v>
      </c>
      <c r="U223" s="3101">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94">
        <v>8130</v>
      </c>
      <c r="U224" s="3101">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94">
        <v>8140</v>
      </c>
      <c r="U225" s="3101">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94">
        <v>8150</v>
      </c>
      <c r="U226" s="3101">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94">
        <v>8151</v>
      </c>
      <c r="U227" s="3101">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94">
        <v>8153</v>
      </c>
      <c r="U228" s="3101">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94">
        <v>8152</v>
      </c>
      <c r="U229" s="3101">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94">
        <v>8156</v>
      </c>
      <c r="U230" s="3101">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94">
        <v>8160</v>
      </c>
      <c r="U231" s="3101">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94">
        <v>8161</v>
      </c>
      <c r="U232" s="3101">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94">
        <v>8162</v>
      </c>
      <c r="U233" s="3101">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-25297789.149999999</v>
      </c>
      <c r="G234" s="885">
        <f t="shared" si="71"/>
        <v>0</v>
      </c>
      <c r="H234" s="885">
        <f t="shared" si="71"/>
        <v>0</v>
      </c>
      <c r="I234" s="913">
        <f t="shared" si="72"/>
        <v>-25297789.149999999</v>
      </c>
      <c r="J234" s="914">
        <f t="shared" ca="1" si="72"/>
        <v>52769115.859999999</v>
      </c>
      <c r="K234" s="885">
        <f t="shared" si="73"/>
        <v>0</v>
      </c>
      <c r="L234" s="885">
        <f t="shared" si="73"/>
        <v>0</v>
      </c>
      <c r="M234" s="891">
        <f t="shared" ca="1" si="74"/>
        <v>52769115.859999999</v>
      </c>
      <c r="N234" s="641"/>
      <c r="O234" s="641"/>
      <c r="P234" s="641"/>
      <c r="Q234" s="641"/>
      <c r="T234" s="3094">
        <v>8163</v>
      </c>
      <c r="U234" s="3101">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94">
        <v>8166</v>
      </c>
      <c r="U235" s="3101">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0</v>
      </c>
      <c r="G236" s="885">
        <f>SUMIF(AJE!$B:$B,$C236&amp;$D236&amp;"*",AJE!$O:$O)</f>
        <v>0</v>
      </c>
      <c r="H236" s="885">
        <f>SUMIF(AJE!$B:$B,$C236&amp;$D236&amp;"*",AJE!$P:$P)</f>
        <v>0</v>
      </c>
      <c r="I236" s="913">
        <f>(B236*F236+G236-H236)*B236</f>
        <v>0</v>
      </c>
      <c r="J236" s="914">
        <f>INDEX(Sheet_Presc,MATCH((RIGHT($D236,2)),Sheet_Prescrow,0),MATCH((VALUE(LEFT($D236,2))),Sheet_Presccol,0))</f>
        <v>100000000</v>
      </c>
      <c r="K236" s="885">
        <f>SUMIF('AJE1'!$B:$B,$C236&amp;$D236&amp;"*",'AJE1'!$O:$O)</f>
        <v>0</v>
      </c>
      <c r="L236" s="885">
        <f>SUMIF('AJE1'!$B:$B,$C236&amp;$D236&amp;"*",'AJE1'!$P:$P)</f>
        <v>0</v>
      </c>
      <c r="M236" s="891">
        <f>($B236*J236+K236-L236)*$B236</f>
        <v>100000000</v>
      </c>
      <c r="N236" s="641"/>
      <c r="O236" s="641"/>
      <c r="P236" s="641"/>
      <c r="Q236" s="641"/>
      <c r="T236" s="3094">
        <v>8170</v>
      </c>
      <c r="U236" s="3101">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94">
        <v>8171</v>
      </c>
      <c r="U237" s="3101">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94">
        <v>8172</v>
      </c>
      <c r="U238" s="3101">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94">
        <v>8173</v>
      </c>
      <c r="U239" s="3101">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94">
        <v>8175</v>
      </c>
      <c r="U240" s="3101">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0</v>
      </c>
      <c r="G241" s="885">
        <f t="shared" si="76"/>
        <v>0</v>
      </c>
      <c r="H241" s="885">
        <f t="shared" si="76"/>
        <v>0</v>
      </c>
      <c r="I241" s="913">
        <f t="shared" si="76"/>
        <v>0</v>
      </c>
      <c r="J241" s="914">
        <f t="shared" si="76"/>
        <v>100000000</v>
      </c>
      <c r="K241" s="885">
        <f t="shared" si="76"/>
        <v>0</v>
      </c>
      <c r="L241" s="885">
        <f t="shared" si="76"/>
        <v>0</v>
      </c>
      <c r="M241" s="891">
        <f t="shared" si="76"/>
        <v>100000000</v>
      </c>
      <c r="N241" s="641"/>
      <c r="O241" s="641"/>
      <c r="P241" s="641"/>
      <c r="Q241" s="641"/>
      <c r="T241" s="3094">
        <v>8176</v>
      </c>
      <c r="U241" s="3101">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94">
        <v>8180</v>
      </c>
      <c r="U242" s="3101">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94">
        <v>8181</v>
      </c>
      <c r="U243" s="3101">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94">
        <v>8182</v>
      </c>
      <c r="U244" s="3101">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94">
        <v>8196</v>
      </c>
      <c r="U245" s="3101">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94">
        <v>8199</v>
      </c>
      <c r="U246" s="3101">
        <v>100000000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94" t="s">
        <v>1216</v>
      </c>
      <c r="U247" s="3101"/>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94" t="s">
        <v>1220</v>
      </c>
      <c r="U248" s="3101">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94" t="s">
        <v>1225</v>
      </c>
      <c r="U249" s="3101">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94" t="s">
        <v>1230</v>
      </c>
      <c r="U250" s="3101">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94" t="s">
        <v>1236</v>
      </c>
      <c r="U251" s="3101">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94" t="s">
        <v>1242</v>
      </c>
      <c r="U252" s="3101">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94" t="s">
        <v>1247</v>
      </c>
      <c r="U253" s="3101">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94" t="s">
        <v>1252</v>
      </c>
      <c r="U254" s="3101">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94" t="s">
        <v>1256</v>
      </c>
      <c r="U255" s="3101">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94" t="s">
        <v>1261</v>
      </c>
      <c r="U256" s="3101">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94" t="s">
        <v>1266</v>
      </c>
      <c r="U257" s="3101">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94" t="s">
        <v>1276</v>
      </c>
      <c r="U258" s="3101">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94" t="s">
        <v>1271</v>
      </c>
      <c r="U259" s="3101">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94" t="s">
        <v>1281</v>
      </c>
      <c r="U260" s="3101">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94" t="s">
        <v>1286</v>
      </c>
      <c r="U261" s="3101">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94" t="s">
        <v>1291</v>
      </c>
      <c r="U262" s="3101">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94" t="s">
        <v>1297</v>
      </c>
      <c r="U263" s="3101">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94" t="s">
        <v>1301</v>
      </c>
      <c r="U264" s="3101">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94" t="s">
        <v>1307</v>
      </c>
      <c r="U265" s="3101">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94" t="s">
        <v>1312</v>
      </c>
      <c r="U266" s="3101">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0</v>
      </c>
      <c r="G267" s="885">
        <f t="shared" si="87"/>
        <v>0</v>
      </c>
      <c r="H267" s="885">
        <f t="shared" si="87"/>
        <v>0</v>
      </c>
      <c r="I267" s="913">
        <f t="shared" si="87"/>
        <v>0</v>
      </c>
      <c r="J267" s="914">
        <f t="shared" si="87"/>
        <v>100000000</v>
      </c>
      <c r="K267" s="885">
        <f t="shared" si="87"/>
        <v>0</v>
      </c>
      <c r="L267" s="885">
        <f t="shared" si="87"/>
        <v>0</v>
      </c>
      <c r="M267" s="891">
        <f t="shared" si="87"/>
        <v>100000000</v>
      </c>
      <c r="N267" s="641"/>
      <c r="O267" s="641"/>
      <c r="P267" s="641"/>
      <c r="Q267" s="641"/>
      <c r="T267" s="3094" t="s">
        <v>1318</v>
      </c>
      <c r="U267" s="3101">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94" t="s">
        <v>1323</v>
      </c>
      <c r="U268" s="3101">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94" t="s">
        <v>1328</v>
      </c>
      <c r="U269" s="3101">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94" t="s">
        <v>1333</v>
      </c>
      <c r="U270" s="3101">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94" t="s">
        <v>1338</v>
      </c>
      <c r="U271" s="3101">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94" t="s">
        <v>1344</v>
      </c>
      <c r="U272" s="3101">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94" t="s">
        <v>1348</v>
      </c>
      <c r="U273" s="3101">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94" t="s">
        <v>1353</v>
      </c>
      <c r="U274" s="3101">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94" t="s">
        <v>1360</v>
      </c>
      <c r="U275" s="3101">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94" t="s">
        <v>1366</v>
      </c>
      <c r="U276" s="3101">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94" t="s">
        <v>1372</v>
      </c>
      <c r="U277" s="3101"/>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94" t="s">
        <v>1377</v>
      </c>
      <c r="U278" s="3101">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94" t="s">
        <v>1382</v>
      </c>
      <c r="U279" s="3101">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94" t="s">
        <v>1387</v>
      </c>
      <c r="U280" s="3101">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94" t="s">
        <v>1392</v>
      </c>
      <c r="U281" s="3101">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94" t="s">
        <v>1397</v>
      </c>
      <c r="U282" s="3101">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94" t="s">
        <v>1402</v>
      </c>
      <c r="U283" s="3101">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94" t="s">
        <v>1407</v>
      </c>
      <c r="U284" s="3101">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94" t="s">
        <v>1413</v>
      </c>
      <c r="U285" s="3101">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94" t="s">
        <v>1418</v>
      </c>
      <c r="U286" s="3101">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94" t="s">
        <v>1424</v>
      </c>
      <c r="U287" s="3101">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94" t="s">
        <v>1434</v>
      </c>
      <c r="U288" s="3101">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94" t="s">
        <v>1429</v>
      </c>
      <c r="U289" s="3101">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94" t="s">
        <v>1440</v>
      </c>
      <c r="U290" s="3101">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94" t="s">
        <v>1445</v>
      </c>
      <c r="U291" s="3101">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94" t="s">
        <v>1450</v>
      </c>
      <c r="U292" s="3101">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94" t="s">
        <v>1455</v>
      </c>
      <c r="U293" s="3101">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94" t="s">
        <v>1460</v>
      </c>
      <c r="U294" s="3101">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94" t="s">
        <v>1466</v>
      </c>
      <c r="U295" s="3101">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94" t="s">
        <v>1471</v>
      </c>
      <c r="U296" s="3101">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94" t="s">
        <v>1477</v>
      </c>
      <c r="U297" s="3101">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94" t="s">
        <v>1482</v>
      </c>
      <c r="U298" s="3101">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94" t="s">
        <v>1487</v>
      </c>
      <c r="U299" s="3101">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94" t="s">
        <v>1492</v>
      </c>
      <c r="U300" s="3101">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94" t="s">
        <v>1497</v>
      </c>
      <c r="U301" s="3101">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94" t="s">
        <v>1502</v>
      </c>
      <c r="U302" s="3101">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94" t="s">
        <v>1507</v>
      </c>
      <c r="U303" s="3101">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94" t="s">
        <v>1512</v>
      </c>
      <c r="U304" s="3101">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94" t="s">
        <v>1517</v>
      </c>
      <c r="U305" s="3101">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94" t="s">
        <v>1522</v>
      </c>
      <c r="U306" s="3101">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94" t="s">
        <v>1525</v>
      </c>
      <c r="U307" s="3101"/>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94" t="s">
        <v>1530</v>
      </c>
      <c r="U308" s="3101">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94" t="s">
        <v>1535</v>
      </c>
      <c r="U309" s="3101">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94" t="s">
        <v>1540</v>
      </c>
      <c r="U310" s="3101">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94" t="s">
        <v>1546</v>
      </c>
      <c r="U311" s="3101">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94" t="s">
        <v>1551</v>
      </c>
      <c r="U312" s="3101">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94" t="s">
        <v>1556</v>
      </c>
      <c r="U313" s="3101">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94" t="s">
        <v>1561</v>
      </c>
      <c r="U314" s="3101">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94" t="s">
        <v>1566</v>
      </c>
      <c r="U315" s="3101">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94" t="s">
        <v>1571</v>
      </c>
      <c r="U316" s="3101">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94" t="s">
        <v>1576</v>
      </c>
      <c r="U317" s="3101">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94" t="s">
        <v>1586</v>
      </c>
      <c r="U318" s="3101">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94" t="s">
        <v>1581</v>
      </c>
      <c r="U319" s="3101">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94" t="s">
        <v>1591</v>
      </c>
      <c r="U320" s="3101">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94" t="s">
        <v>1596</v>
      </c>
      <c r="U321" s="3101">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94" t="s">
        <v>1600</v>
      </c>
      <c r="U322" s="3101">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94" t="s">
        <v>1605</v>
      </c>
      <c r="U323" s="3101">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94" t="s">
        <v>1609</v>
      </c>
      <c r="U324" s="3101">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94" t="s">
        <v>1614</v>
      </c>
      <c r="U325" s="3101">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94" t="s">
        <v>1618</v>
      </c>
      <c r="U326" s="3101">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94" t="s">
        <v>1623</v>
      </c>
      <c r="U327" s="3101">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94" t="s">
        <v>1629</v>
      </c>
      <c r="U328" s="3101">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94" t="s">
        <v>1634</v>
      </c>
      <c r="U329" s="3101">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94" t="s">
        <v>1639</v>
      </c>
      <c r="U330" s="3101">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94" t="s">
        <v>1644</v>
      </c>
      <c r="U331" s="3101">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94" t="s">
        <v>1649</v>
      </c>
      <c r="U332" s="3101">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94" t="s">
        <v>1654</v>
      </c>
      <c r="U333" s="3101">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94" t="s">
        <v>1659</v>
      </c>
      <c r="U334" s="3101">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94" t="s">
        <v>1664</v>
      </c>
      <c r="U335" s="3101">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94" t="s">
        <v>1668</v>
      </c>
      <c r="U336" s="3101">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94">
        <v>8200</v>
      </c>
      <c r="U337" s="3101">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94">
        <v>8201</v>
      </c>
      <c r="U338" s="3101">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94">
        <v>8202</v>
      </c>
      <c r="U339" s="3101">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94">
        <v>8203</v>
      </c>
      <c r="U340" s="3101">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94">
        <v>8204</v>
      </c>
      <c r="U341" s="3101">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94">
        <v>8209</v>
      </c>
      <c r="U342" s="3101">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94">
        <v>8210</v>
      </c>
      <c r="U343" s="3101">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94">
        <v>8290</v>
      </c>
      <c r="U344" s="3101">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94">
        <v>8221</v>
      </c>
      <c r="U345" s="3101">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94">
        <v>8230</v>
      </c>
      <c r="U346" s="3101">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94">
        <v>8240</v>
      </c>
      <c r="U347" s="3101">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94">
        <v>8250</v>
      </c>
      <c r="U348" s="3101">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94">
        <v>8251</v>
      </c>
      <c r="U349" s="3101">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94">
        <v>8253</v>
      </c>
      <c r="U350" s="3101">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94">
        <v>8252</v>
      </c>
      <c r="U351" s="3101">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94">
        <v>8256</v>
      </c>
      <c r="U352" s="3101">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94">
        <v>8260</v>
      </c>
      <c r="U353" s="3101">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94">
        <v>8261</v>
      </c>
      <c r="U354" s="3101">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94">
        <v>8262</v>
      </c>
      <c r="U355" s="3101">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94">
        <v>8263</v>
      </c>
      <c r="U356" s="3101">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94">
        <v>8266</v>
      </c>
      <c r="U357" s="3101">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94">
        <v>8270</v>
      </c>
      <c r="U358" s="3101">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94">
        <v>8271</v>
      </c>
      <c r="U359" s="3101">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94">
        <v>8272</v>
      </c>
      <c r="U360" s="3101">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94">
        <v>8273</v>
      </c>
      <c r="U361" s="3101">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94">
        <v>8275</v>
      </c>
      <c r="U362" s="3101">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94">
        <v>8276</v>
      </c>
      <c r="U363" s="3101">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94">
        <v>8280</v>
      </c>
      <c r="U364" s="3101">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94">
        <v>8281</v>
      </c>
      <c r="U365" s="3101">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94">
        <v>8282</v>
      </c>
      <c r="U366" s="3101">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94">
        <v>8296</v>
      </c>
      <c r="U367" s="3101">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0</v>
      </c>
      <c r="G368" s="885">
        <f t="shared" si="135"/>
        <v>0</v>
      </c>
      <c r="H368" s="885">
        <f t="shared" si="135"/>
        <v>0</v>
      </c>
      <c r="I368" s="913">
        <f t="shared" si="135"/>
        <v>0</v>
      </c>
      <c r="J368" s="914">
        <f t="shared" si="135"/>
        <v>0</v>
      </c>
      <c r="K368" s="885">
        <f t="shared" si="135"/>
        <v>0</v>
      </c>
      <c r="L368" s="885">
        <f t="shared" si="135"/>
        <v>0</v>
      </c>
      <c r="M368" s="891">
        <f t="shared" si="135"/>
        <v>0</v>
      </c>
      <c r="N368" s="641"/>
      <c r="O368" s="641"/>
      <c r="P368" s="641"/>
      <c r="Q368" s="641"/>
      <c r="T368" s="3094">
        <v>8299</v>
      </c>
      <c r="U368" s="3101">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94">
        <v>8300</v>
      </c>
      <c r="U369" s="3101">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94">
        <v>8301</v>
      </c>
      <c r="U370" s="3101">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94">
        <v>8302</v>
      </c>
      <c r="U371" s="3101">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0</v>
      </c>
      <c r="G372" s="885">
        <f t="shared" si="137"/>
        <v>0</v>
      </c>
      <c r="H372" s="885">
        <f t="shared" si="137"/>
        <v>0</v>
      </c>
      <c r="I372" s="913">
        <f t="shared" si="137"/>
        <v>0</v>
      </c>
      <c r="J372" s="914">
        <f t="shared" si="137"/>
        <v>0</v>
      </c>
      <c r="K372" s="885">
        <f t="shared" si="137"/>
        <v>0</v>
      </c>
      <c r="L372" s="885">
        <f t="shared" si="137"/>
        <v>0</v>
      </c>
      <c r="M372" s="891">
        <f t="shared" si="137"/>
        <v>0</v>
      </c>
      <c r="N372" s="641"/>
      <c r="O372" s="641"/>
      <c r="P372" s="641"/>
      <c r="Q372" s="641"/>
      <c r="T372" s="3094">
        <v>8303</v>
      </c>
      <c r="U372" s="3101">
        <v>0</v>
      </c>
    </row>
    <row r="373" spans="1:21" ht="18">
      <c r="A373" s="1648">
        <f t="shared" si="131"/>
        <v>0</v>
      </c>
      <c r="B373" s="1647">
        <f t="shared" si="132"/>
        <v>-1</v>
      </c>
      <c r="C373" s="1647" t="str">
        <f t="shared" si="133"/>
        <v>J</v>
      </c>
      <c r="D373" s="1659">
        <v>8251</v>
      </c>
      <c r="E373" s="888" t="str">
        <f t="shared" si="62"/>
        <v>资本公积_所有者投入资本</v>
      </c>
      <c r="F373" s="884">
        <f t="shared" si="136"/>
        <v>0</v>
      </c>
      <c r="G373" s="885">
        <f>SUMIF(AJE!$B:$B,$C373&amp;$D373&amp;"*",AJE!$O:$O)</f>
        <v>0</v>
      </c>
      <c r="H373" s="885">
        <f>SUMIF(AJE!$B:$B,$C373&amp;$D373&amp;"*",AJE!$P:$P)</f>
        <v>0</v>
      </c>
      <c r="I373" s="913">
        <f>(B373*F373+G373-H373)*B373</f>
        <v>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94">
        <v>8304</v>
      </c>
      <c r="U373" s="3101">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94">
        <v>8309</v>
      </c>
      <c r="U374" s="3101">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94">
        <v>8310</v>
      </c>
      <c r="U375" s="3101">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94">
        <v>8390</v>
      </c>
      <c r="U376" s="3101">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94">
        <v>8321</v>
      </c>
      <c r="U377" s="3101">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94">
        <v>8330</v>
      </c>
      <c r="U378" s="3101">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94">
        <v>8340</v>
      </c>
      <c r="U379" s="3101">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94">
        <v>8350</v>
      </c>
      <c r="U380" s="3101">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94">
        <v>8351</v>
      </c>
      <c r="U381" s="3101">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94">
        <v>8353</v>
      </c>
      <c r="U382" s="3101">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94">
        <v>8352</v>
      </c>
      <c r="U383" s="3101">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94">
        <v>8356</v>
      </c>
      <c r="U384" s="3101">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94">
        <v>8360</v>
      </c>
      <c r="U385" s="3101">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94">
        <v>8361</v>
      </c>
      <c r="U386" s="3101">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94">
        <v>8362</v>
      </c>
      <c r="U387" s="3101">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94">
        <v>8363</v>
      </c>
      <c r="U388" s="3101">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94">
        <v>8366</v>
      </c>
      <c r="U389" s="3101">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94">
        <v>8370</v>
      </c>
      <c r="U390" s="3101">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94">
        <v>8371</v>
      </c>
      <c r="U391" s="3101">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94">
        <v>8372</v>
      </c>
      <c r="U392" s="3101">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0</v>
      </c>
      <c r="G393" s="885">
        <f t="shared" si="153"/>
        <v>0</v>
      </c>
      <c r="H393" s="885">
        <f t="shared" si="153"/>
        <v>0</v>
      </c>
      <c r="I393" s="913">
        <f t="shared" si="153"/>
        <v>0</v>
      </c>
      <c r="J393" s="914">
        <f t="shared" si="153"/>
        <v>0</v>
      </c>
      <c r="K393" s="885">
        <f t="shared" si="153"/>
        <v>0</v>
      </c>
      <c r="L393" s="885">
        <f t="shared" si="153"/>
        <v>0</v>
      </c>
      <c r="M393" s="891">
        <f t="shared" si="153"/>
        <v>0</v>
      </c>
      <c r="N393" s="641"/>
      <c r="O393" s="641"/>
      <c r="P393" s="641"/>
      <c r="Q393" s="641"/>
      <c r="T393" s="3094">
        <v>8373</v>
      </c>
      <c r="U393" s="3101">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94">
        <v>8375</v>
      </c>
      <c r="U394" s="3101">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94">
        <v>8376</v>
      </c>
      <c r="U395" s="3101">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94">
        <v>8380</v>
      </c>
      <c r="U396" s="3101">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94">
        <v>8381</v>
      </c>
      <c r="U397" s="3101">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94">
        <v>8382</v>
      </c>
      <c r="U398" s="3101">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94">
        <v>8396</v>
      </c>
      <c r="U399" s="3101">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94">
        <v>8399</v>
      </c>
      <c r="U400" s="3101">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94" t="s">
        <v>1674</v>
      </c>
      <c r="U401" s="3101"/>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94" t="s">
        <v>1679</v>
      </c>
      <c r="U402" s="3101">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94" t="s">
        <v>1684</v>
      </c>
      <c r="U403" s="3101">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94" t="s">
        <v>1689</v>
      </c>
      <c r="U404" s="3101">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94" t="s">
        <v>1694</v>
      </c>
      <c r="U405" s="3101">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94" t="s">
        <v>1699</v>
      </c>
      <c r="U406" s="3101">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94" t="s">
        <v>1704</v>
      </c>
      <c r="U407" s="3101">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94" t="s">
        <v>1709</v>
      </c>
      <c r="U408" s="3101">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94" t="s">
        <v>1714</v>
      </c>
      <c r="U409" s="3101">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94" t="s">
        <v>1719</v>
      </c>
      <c r="U410" s="3101">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94" t="s">
        <v>1723</v>
      </c>
      <c r="U411" s="3101">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94" t="s">
        <v>1733</v>
      </c>
      <c r="U412" s="3101">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94" t="s">
        <v>1728</v>
      </c>
      <c r="U413" s="3101">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94" t="s">
        <v>1738</v>
      </c>
      <c r="U414" s="3101">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94" t="s">
        <v>1743</v>
      </c>
      <c r="U415" s="3101">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94" t="s">
        <v>1748</v>
      </c>
      <c r="U416" s="3101">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94" t="s">
        <v>1753</v>
      </c>
      <c r="U417" s="3101">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94" t="s">
        <v>1758</v>
      </c>
      <c r="U418" s="3101">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94" t="s">
        <v>1763</v>
      </c>
      <c r="U419" s="3101">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94" t="s">
        <v>1768</v>
      </c>
      <c r="U420" s="3101">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94" t="s">
        <v>1771</v>
      </c>
      <c r="U421" s="3101">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94" t="s">
        <v>1777</v>
      </c>
      <c r="U422" s="3101">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94" t="s">
        <v>1782</v>
      </c>
      <c r="U423" s="3101">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94" t="s">
        <v>1787</v>
      </c>
      <c r="U424" s="3101">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94" t="s">
        <v>1792</v>
      </c>
      <c r="U425" s="3101">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94" t="s">
        <v>1797</v>
      </c>
      <c r="U426" s="3101">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94" t="s">
        <v>1802</v>
      </c>
      <c r="U427" s="3101">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94" t="s">
        <v>1807</v>
      </c>
      <c r="U428" s="3101">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94" t="s">
        <v>1812</v>
      </c>
      <c r="U429" s="3101">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94" t="s">
        <v>1817</v>
      </c>
      <c r="U430" s="3101">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94">
        <v>8400</v>
      </c>
      <c r="U431" s="3101">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94">
        <v>8401</v>
      </c>
      <c r="U432" s="3101">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94">
        <v>8402</v>
      </c>
      <c r="U433" s="3101">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94">
        <v>8403</v>
      </c>
      <c r="U434" s="3101">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94">
        <v>8404</v>
      </c>
      <c r="U435" s="3101">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94">
        <v>8409</v>
      </c>
      <c r="U436" s="3101">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94">
        <v>8410</v>
      </c>
      <c r="U437" s="3101">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94">
        <v>8490</v>
      </c>
      <c r="U438" s="3101">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94">
        <v>8421</v>
      </c>
      <c r="U439" s="3101">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94">
        <v>8430</v>
      </c>
      <c r="U440" s="3101">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94">
        <v>8440</v>
      </c>
      <c r="U441" s="3101">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94">
        <v>8450</v>
      </c>
      <c r="U442" s="3101">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94">
        <v>8451</v>
      </c>
      <c r="U443" s="3101">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94">
        <v>8453</v>
      </c>
      <c r="U444" s="3101">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94">
        <v>8452</v>
      </c>
      <c r="U445" s="3101">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94">
        <v>8456</v>
      </c>
      <c r="U446" s="3101">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94">
        <v>8460</v>
      </c>
      <c r="U447" s="3101">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94">
        <v>8461</v>
      </c>
      <c r="U448" s="3101">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94">
        <v>8462</v>
      </c>
      <c r="U449" s="3101">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94">
        <v>8463</v>
      </c>
      <c r="U450" s="3101">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94">
        <v>8466</v>
      </c>
      <c r="U451" s="3101">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94">
        <v>8470</v>
      </c>
      <c r="U452" s="3101">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94">
        <v>8471</v>
      </c>
      <c r="U453" s="3101">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94">
        <v>8472</v>
      </c>
      <c r="U454" s="3101">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94">
        <v>8473</v>
      </c>
      <c r="U455" s="3101">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94">
        <v>8475</v>
      </c>
      <c r="U456" s="3101">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94">
        <v>8476</v>
      </c>
      <c r="U457" s="3101">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94">
        <v>8480</v>
      </c>
      <c r="U458" s="3101">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94">
        <v>8481</v>
      </c>
      <c r="U459" s="3101">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94">
        <v>8482</v>
      </c>
      <c r="U460" s="3101">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94">
        <v>8496</v>
      </c>
      <c r="U461" s="3101">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94">
        <v>8499</v>
      </c>
      <c r="U462" s="3101">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94">
        <v>8500</v>
      </c>
      <c r="U463" s="3101">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94">
        <v>8501</v>
      </c>
      <c r="U464" s="3101">
        <v>0</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94">
        <v>8502</v>
      </c>
      <c r="U465" s="3101">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94">
        <v>8503</v>
      </c>
      <c r="U466" s="3101">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94">
        <v>8504</v>
      </c>
      <c r="U467" s="3101">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94">
        <v>8509</v>
      </c>
      <c r="U468" s="3101">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94">
        <v>8510</v>
      </c>
      <c r="U469" s="3101">
        <v>0</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94">
        <v>8590</v>
      </c>
      <c r="U470" s="3101">
        <v>0</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94">
        <v>8521</v>
      </c>
      <c r="U471" s="3101">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94">
        <v>8530</v>
      </c>
      <c r="U472" s="3101">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94">
        <v>8540</v>
      </c>
      <c r="U473" s="3101">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94">
        <v>8550</v>
      </c>
      <c r="U474" s="3101">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94">
        <v>8551</v>
      </c>
      <c r="U475" s="3101">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94">
        <v>8553</v>
      </c>
      <c r="U476" s="3101">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94">
        <v>8552</v>
      </c>
      <c r="U477" s="3101">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94">
        <v>8556</v>
      </c>
      <c r="U478" s="3101">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94">
        <v>8560</v>
      </c>
      <c r="U479" s="3101">
        <v>0</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94">
        <v>8561</v>
      </c>
      <c r="U480" s="3101">
        <v>0</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94">
        <v>8562</v>
      </c>
      <c r="U481" s="3101">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94">
        <v>8563</v>
      </c>
      <c r="U482" s="3101">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94">
        <v>8566</v>
      </c>
      <c r="U483" s="3101">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94">
        <v>8570</v>
      </c>
      <c r="U484" s="3101">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94">
        <v>8571</v>
      </c>
      <c r="U485" s="3101">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94">
        <v>8572</v>
      </c>
      <c r="U486" s="3101">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94">
        <v>8573</v>
      </c>
      <c r="U487" s="3101">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94">
        <v>8575</v>
      </c>
      <c r="U488" s="3101">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94">
        <v>8576</v>
      </c>
      <c r="U489" s="3101">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94">
        <v>8580</v>
      </c>
      <c r="U490" s="3101">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94">
        <v>8581</v>
      </c>
      <c r="U491" s="3101">
        <v>0</v>
      </c>
    </row>
    <row r="492" spans="1:21" ht="18">
      <c r="A492" s="1648">
        <f t="shared" si="150"/>
        <v>0</v>
      </c>
      <c r="B492" s="1647">
        <f t="shared" si="151"/>
        <v>-1</v>
      </c>
      <c r="C492" s="1647" t="str">
        <f t="shared" si="149"/>
        <v>J</v>
      </c>
      <c r="D492" s="1659">
        <v>8501</v>
      </c>
      <c r="E492" s="888" t="str">
        <f t="shared" si="152"/>
        <v>盈余公积_上年年末余额</v>
      </c>
      <c r="F492" s="884">
        <f t="shared" si="188"/>
        <v>0</v>
      </c>
      <c r="G492" s="885">
        <f>SUMIF(AJE!$B:$B,$C492&amp;$D492&amp;"*",AJE!$O:$O)</f>
        <v>0</v>
      </c>
      <c r="H492" s="885">
        <f>SUMIF(AJE!$B:$B,$C492&amp;$D492&amp;"*",AJE!$P:$P)</f>
        <v>0</v>
      </c>
      <c r="I492" s="913">
        <f t="shared" ref="I492:I496" si="191">(B492*F492+G492-H492)*B492</f>
        <v>0</v>
      </c>
      <c r="J492" s="914">
        <f t="shared" si="155"/>
        <v>0</v>
      </c>
      <c r="K492" s="885">
        <f>SUMIF('AJE1'!$B:$B,$C492&amp;$D492&amp;"*",'AJE1'!$O:$O)</f>
        <v>0</v>
      </c>
      <c r="L492" s="885">
        <f>SUMIF('AJE1'!$B:$B,$C492&amp;$D492&amp;"*",'AJE1'!$P:$P)</f>
        <v>0</v>
      </c>
      <c r="M492" s="891">
        <f t="shared" ref="M492:M496" si="192">($B492*J492+K492-L492)*$B492</f>
        <v>0</v>
      </c>
      <c r="N492" s="641"/>
      <c r="O492" s="641"/>
      <c r="P492" s="641"/>
      <c r="Q492" s="641"/>
      <c r="T492" s="3094">
        <v>8582</v>
      </c>
      <c r="U492" s="3101">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94">
        <v>8596</v>
      </c>
      <c r="U493" s="3101">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94">
        <v>8599</v>
      </c>
      <c r="U494" s="3101">
        <v>0</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94">
        <v>8600</v>
      </c>
      <c r="U495" s="3101">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94">
        <v>8601</v>
      </c>
      <c r="U496" s="3101">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0</v>
      </c>
      <c r="G497" s="885">
        <f t="shared" si="193"/>
        <v>0</v>
      </c>
      <c r="H497" s="885">
        <f t="shared" si="193"/>
        <v>0</v>
      </c>
      <c r="I497" s="913">
        <f t="shared" si="193"/>
        <v>0</v>
      </c>
      <c r="J497" s="914">
        <f t="shared" si="193"/>
        <v>0</v>
      </c>
      <c r="K497" s="885">
        <f t="shared" si="193"/>
        <v>0</v>
      </c>
      <c r="L497" s="885">
        <f t="shared" si="193"/>
        <v>0</v>
      </c>
      <c r="M497" s="891">
        <f t="shared" si="193"/>
        <v>0</v>
      </c>
      <c r="N497" s="641"/>
      <c r="O497" s="641"/>
      <c r="P497" s="641"/>
      <c r="Q497" s="641"/>
      <c r="T497" s="3094">
        <v>8602</v>
      </c>
      <c r="U497" s="3101">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0</v>
      </c>
      <c r="G498" s="885">
        <f t="shared" ref="G498:M498" si="194">SUM(G501,G502,G507,G512,G519,G522)</f>
        <v>0</v>
      </c>
      <c r="H498" s="885">
        <f t="shared" si="194"/>
        <v>0</v>
      </c>
      <c r="I498" s="913">
        <f t="shared" si="194"/>
        <v>0</v>
      </c>
      <c r="J498" s="914">
        <f t="shared" si="194"/>
        <v>0</v>
      </c>
      <c r="K498" s="885">
        <f t="shared" si="194"/>
        <v>0</v>
      </c>
      <c r="L498" s="885">
        <f t="shared" si="194"/>
        <v>0</v>
      </c>
      <c r="M498" s="891">
        <f t="shared" si="194"/>
        <v>0</v>
      </c>
      <c r="N498" s="641"/>
      <c r="O498" s="641"/>
      <c r="P498" s="641"/>
      <c r="Q498" s="641"/>
      <c r="T498" s="3094">
        <v>8603</v>
      </c>
      <c r="U498" s="3101">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94">
        <v>8604</v>
      </c>
      <c r="U499" s="3101">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94">
        <v>8609</v>
      </c>
      <c r="U500" s="3101">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94">
        <v>8610</v>
      </c>
      <c r="U501" s="3101">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94">
        <v>8690</v>
      </c>
      <c r="U502" s="3101">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94">
        <v>8621</v>
      </c>
      <c r="U503" s="3101">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94">
        <v>8630</v>
      </c>
      <c r="U504" s="3101">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94">
        <v>8640</v>
      </c>
      <c r="U505" s="3101">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94">
        <v>8650</v>
      </c>
      <c r="U506" s="3101">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0</v>
      </c>
      <c r="G507" s="885">
        <f t="shared" si="197"/>
        <v>0</v>
      </c>
      <c r="H507" s="885">
        <f t="shared" si="197"/>
        <v>0</v>
      </c>
      <c r="I507" s="913">
        <f t="shared" si="197"/>
        <v>0</v>
      </c>
      <c r="J507" s="914">
        <f t="shared" si="197"/>
        <v>0</v>
      </c>
      <c r="K507" s="885">
        <f t="shared" si="197"/>
        <v>0</v>
      </c>
      <c r="L507" s="885">
        <f t="shared" si="197"/>
        <v>0</v>
      </c>
      <c r="M507" s="891">
        <f t="shared" si="197"/>
        <v>0</v>
      </c>
      <c r="N507" s="641"/>
      <c r="O507" s="641"/>
      <c r="P507" s="641"/>
      <c r="Q507" s="641"/>
      <c r="T507" s="3094">
        <v>8651</v>
      </c>
      <c r="U507" s="3101">
        <v>0</v>
      </c>
    </row>
    <row r="508" spans="1:21" ht="18">
      <c r="A508" s="1648">
        <f t="shared" si="150"/>
        <v>0</v>
      </c>
      <c r="B508" s="1647">
        <f t="shared" si="151"/>
        <v>-1</v>
      </c>
      <c r="C508" s="1647" t="str">
        <f t="shared" si="149"/>
        <v>J</v>
      </c>
      <c r="D508" s="1659">
        <v>8561</v>
      </c>
      <c r="E508" s="888" t="str">
        <f t="shared" si="152"/>
        <v>盈余公积_提取</v>
      </c>
      <c r="F508" s="884">
        <f t="shared" si="196"/>
        <v>0</v>
      </c>
      <c r="G508" s="885">
        <f>SUMIF(AJE!$B:$B,$C508&amp;$D508&amp;"*",AJE!$O:$O)</f>
        <v>0</v>
      </c>
      <c r="H508" s="885">
        <f>SUMIF(AJE!$B:$B,$C508&amp;$D508&amp;"*",AJE!$P:$P)</f>
        <v>0</v>
      </c>
      <c r="I508" s="913">
        <f>(B508*F508+G508-H508)*B508</f>
        <v>0</v>
      </c>
      <c r="J508" s="914">
        <f t="shared" si="155"/>
        <v>0</v>
      </c>
      <c r="K508" s="885">
        <f>SUMIF('AJE1'!$B:$B,$C508&amp;$D508&amp;"*",'AJE1'!$O:$O)</f>
        <v>0</v>
      </c>
      <c r="L508" s="885">
        <f>SUMIF('AJE1'!$B:$B,$C508&amp;$D508&amp;"*",'AJE1'!$P:$P)</f>
        <v>0</v>
      </c>
      <c r="M508" s="891">
        <f>($B508*J508+K508-L508)*$B508</f>
        <v>0</v>
      </c>
      <c r="N508" s="641"/>
      <c r="O508" s="641"/>
      <c r="P508" s="641"/>
      <c r="Q508" s="641"/>
      <c r="T508" s="3094">
        <v>8653</v>
      </c>
      <c r="U508" s="3101">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94">
        <v>8652</v>
      </c>
      <c r="U509" s="3101">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94">
        <v>8656</v>
      </c>
      <c r="U510" s="3101">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94">
        <v>8660</v>
      </c>
      <c r="U511" s="3101">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94">
        <v>8661</v>
      </c>
      <c r="U512" s="3101">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94">
        <v>8662</v>
      </c>
      <c r="U513" s="3101">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94">
        <v>8663</v>
      </c>
      <c r="U514" s="3101">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94">
        <v>8666</v>
      </c>
      <c r="U515" s="3101">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94">
        <v>8670</v>
      </c>
      <c r="U516" s="3101">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94">
        <v>8671</v>
      </c>
      <c r="U517" s="3101">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94">
        <v>8672</v>
      </c>
      <c r="U518" s="3101">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94">
        <v>8673</v>
      </c>
      <c r="U519" s="3101">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94">
        <v>8675</v>
      </c>
      <c r="U520" s="3101">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94">
        <v>8676</v>
      </c>
      <c r="U521" s="3101">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94">
        <v>8680</v>
      </c>
      <c r="U522" s="3101">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0</v>
      </c>
      <c r="G523" s="885">
        <f t="shared" si="202"/>
        <v>0</v>
      </c>
      <c r="H523" s="885">
        <f t="shared" si="202"/>
        <v>0</v>
      </c>
      <c r="I523" s="913">
        <f t="shared" si="202"/>
        <v>0</v>
      </c>
      <c r="J523" s="914">
        <f t="shared" si="202"/>
        <v>0</v>
      </c>
      <c r="K523" s="885">
        <f t="shared" si="202"/>
        <v>0</v>
      </c>
      <c r="L523" s="885">
        <f t="shared" si="202"/>
        <v>0</v>
      </c>
      <c r="M523" s="891">
        <f t="shared" si="202"/>
        <v>0</v>
      </c>
      <c r="N523" s="641"/>
      <c r="O523" s="641"/>
      <c r="P523" s="641"/>
      <c r="Q523" s="641"/>
      <c r="T523" s="3094">
        <v>8681</v>
      </c>
      <c r="U523" s="3101">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94">
        <v>8682</v>
      </c>
      <c r="U524" s="3101">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94">
        <v>8696</v>
      </c>
      <c r="U525" s="3101">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94">
        <v>8699</v>
      </c>
      <c r="U526" s="3101">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94">
        <v>8700</v>
      </c>
      <c r="U527" s="3101">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94">
        <v>8701</v>
      </c>
      <c r="U528" s="3101">
        <v>-24720001.289999999</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94">
        <v>8702</v>
      </c>
      <c r="U529" s="3101">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94">
        <v>8703</v>
      </c>
      <c r="U530" s="3101">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94">
        <v>8704</v>
      </c>
      <c r="U531" s="3101">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94">
        <v>8709</v>
      </c>
      <c r="U532" s="3101">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94">
        <v>8710</v>
      </c>
      <c r="U533" s="3101">
        <v>-24720001.289999999</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94">
        <v>8790</v>
      </c>
      <c r="U534" s="3101">
        <v>-22510882.850000001</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94">
        <v>8721</v>
      </c>
      <c r="U535" s="3101">
        <v>-22510882.850000001</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94">
        <v>8730</v>
      </c>
      <c r="U536" s="3101"/>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94">
        <v>8740</v>
      </c>
      <c r="U537" s="3101">
        <v>-22510882.850000001</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94">
        <v>8750</v>
      </c>
      <c r="U538" s="3101">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94">
        <v>8751</v>
      </c>
      <c r="U539" s="3101">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94">
        <v>8753</v>
      </c>
      <c r="U540" s="3101">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94">
        <v>8752</v>
      </c>
      <c r="U541" s="3101">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94">
        <v>8756</v>
      </c>
      <c r="U542" s="3101">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94">
        <v>8760</v>
      </c>
      <c r="U543" s="3101">
        <v>0</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94">
        <v>8761</v>
      </c>
      <c r="U544" s="3101">
        <v>0</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94">
        <v>8762</v>
      </c>
      <c r="U545" s="3101">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94">
        <v>8763</v>
      </c>
      <c r="U546" s="3101">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94">
        <v>8766</v>
      </c>
      <c r="U547" s="3101">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94">
        <v>8770</v>
      </c>
      <c r="U548" s="3101">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94">
        <v>8771</v>
      </c>
      <c r="U549" s="3101">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94">
        <v>8772</v>
      </c>
      <c r="U550" s="3101">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94">
        <v>8773</v>
      </c>
      <c r="U551" s="3101">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94">
        <v>8775</v>
      </c>
      <c r="U552" s="3101">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94">
        <v>8776</v>
      </c>
      <c r="U553" s="3101">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94">
        <v>8780</v>
      </c>
      <c r="U554" s="3101">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94">
        <v>8781</v>
      </c>
      <c r="U555" s="3101">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94">
        <v>8782</v>
      </c>
      <c r="U556" s="3101">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94">
        <v>8796</v>
      </c>
      <c r="U557" s="3101">
        <v>0</v>
      </c>
    </row>
    <row r="558" spans="1:21" ht="18">
      <c r="A558" s="1648">
        <f t="shared" si="211"/>
        <v>0</v>
      </c>
      <c r="B558" s="1647">
        <f t="shared" si="212"/>
        <v>-1</v>
      </c>
      <c r="C558" s="1647" t="str">
        <f t="shared" si="210"/>
        <v>J</v>
      </c>
      <c r="D558" s="1659">
        <v>8701</v>
      </c>
      <c r="E558" s="888" t="str">
        <f t="shared" si="213"/>
        <v>未分配利润_上年年末余额</v>
      </c>
      <c r="F558" s="884">
        <f t="shared" si="208"/>
        <v>0</v>
      </c>
      <c r="G558" s="885">
        <f>SUMIF(AJE!$B:$B,$C558&amp;$D558&amp;"*",AJE!$O:$O)</f>
        <v>0</v>
      </c>
      <c r="H558" s="885">
        <f>SUMIF(AJE!$B:$B,$C558&amp;$D558&amp;"*",AJE!$P:$P)</f>
        <v>0</v>
      </c>
      <c r="I558" s="913">
        <f t="shared" si="215"/>
        <v>0</v>
      </c>
      <c r="J558" s="914">
        <f t="shared" si="216"/>
        <v>-24720001.289999999</v>
      </c>
      <c r="K558" s="885">
        <f>SUMIF('AJE1'!$B:$B,$C558&amp;$D558&amp;"*",'AJE1'!$O:$O)</f>
        <v>0</v>
      </c>
      <c r="L558" s="885">
        <f>SUMIF('AJE1'!$B:$B,$C558&amp;$D558&amp;"*",'AJE1'!$P:$P)</f>
        <v>0</v>
      </c>
      <c r="M558" s="891">
        <f t="shared" si="217"/>
        <v>-24720001.289999999</v>
      </c>
      <c r="N558" s="641"/>
      <c r="O558" s="641"/>
      <c r="P558" s="641"/>
      <c r="Q558" s="641"/>
      <c r="T558" s="3094">
        <v>8799</v>
      </c>
      <c r="U558" s="3101">
        <v>-47230884.140000001</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0</v>
      </c>
      <c r="H559" s="885">
        <f>SUMIF(AJE!$B:$B,$C559&amp;$D559&amp;"*",AJE!$P:$P)</f>
        <v>0</v>
      </c>
      <c r="I559" s="913">
        <f t="shared" si="215"/>
        <v>0</v>
      </c>
      <c r="J559" s="914">
        <f t="shared" si="216"/>
        <v>0</v>
      </c>
      <c r="K559" s="885">
        <f>SUMIF('AJE1'!$B:$B,$C559&amp;$D559&amp;"*",'AJE1'!$O:$O)</f>
        <v>0</v>
      </c>
      <c r="L559" s="885">
        <f>SUMIF('AJE1'!$B:$B,$C559&amp;$D559&amp;"*",'AJE1'!$P:$P)</f>
        <v>0</v>
      </c>
      <c r="M559" s="891">
        <f t="shared" si="217"/>
        <v>0</v>
      </c>
      <c r="N559" s="641"/>
      <c r="O559" s="641"/>
      <c r="P559" s="641"/>
      <c r="Q559" s="641"/>
      <c r="T559" s="3094">
        <v>8800</v>
      </c>
      <c r="U559" s="3101">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94">
        <v>8801</v>
      </c>
      <c r="U560" s="3101">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94">
        <v>8802</v>
      </c>
      <c r="U561" s="3101">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94">
        <v>8803</v>
      </c>
      <c r="U562" s="3101">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0</v>
      </c>
      <c r="G563" s="885">
        <f t="shared" si="220"/>
        <v>0</v>
      </c>
      <c r="H563" s="885">
        <f t="shared" si="220"/>
        <v>0</v>
      </c>
      <c r="I563" s="913">
        <f t="shared" si="220"/>
        <v>0</v>
      </c>
      <c r="J563" s="914">
        <f t="shared" si="220"/>
        <v>-24720001.289999999</v>
      </c>
      <c r="K563" s="885">
        <f t="shared" si="220"/>
        <v>0</v>
      </c>
      <c r="L563" s="885">
        <f t="shared" si="220"/>
        <v>0</v>
      </c>
      <c r="M563" s="891">
        <f t="shared" si="220"/>
        <v>-24720001.289999999</v>
      </c>
      <c r="N563" s="641"/>
      <c r="O563" s="641"/>
      <c r="P563" s="641"/>
      <c r="Q563" s="641"/>
      <c r="T563" s="3094">
        <v>8804</v>
      </c>
      <c r="U563" s="3101">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-25297789.149999999</v>
      </c>
      <c r="G564" s="885">
        <f t="shared" ref="G564:M564" si="221">SUM(G567,G568,G573,G578,G585,G588)</f>
        <v>0</v>
      </c>
      <c r="H564" s="885">
        <f t="shared" si="221"/>
        <v>0</v>
      </c>
      <c r="I564" s="913">
        <f t="shared" si="221"/>
        <v>-25297789.149999999</v>
      </c>
      <c r="J564" s="914">
        <f t="shared" si="221"/>
        <v>-22510882.850000001</v>
      </c>
      <c r="K564" s="885">
        <f t="shared" si="221"/>
        <v>0</v>
      </c>
      <c r="L564" s="885">
        <f t="shared" si="221"/>
        <v>0</v>
      </c>
      <c r="M564" s="891">
        <f t="shared" si="221"/>
        <v>-22510882.850000001</v>
      </c>
      <c r="N564" s="641"/>
      <c r="O564" s="641"/>
      <c r="P564" s="641"/>
      <c r="Q564" s="641"/>
      <c r="T564" s="3094">
        <v>8809</v>
      </c>
      <c r="U564" s="3101">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-25297789.149999999</v>
      </c>
      <c r="G565" s="885">
        <f>SUM(VLOOKUP(6799,Sheet_Trialbal,4,0))</f>
        <v>0</v>
      </c>
      <c r="H565" s="885">
        <f>SUM(VLOOKUP(6799,Sheet_Trialbal,5,0))</f>
        <v>0</v>
      </c>
      <c r="I565" s="913">
        <f t="shared" si="215"/>
        <v>-25297789.149999999</v>
      </c>
      <c r="J565" s="914">
        <f t="shared" si="216"/>
        <v>-22510882.850000001</v>
      </c>
      <c r="K565" s="885">
        <f>SUM(VLOOKUP(6799,Sheet_Trialbal,8,0))</f>
        <v>0</v>
      </c>
      <c r="L565" s="885">
        <f>SUM(VLOOKUP(6799,Sheet_Trialbal,9,0))</f>
        <v>0</v>
      </c>
      <c r="M565" s="891">
        <f t="shared" si="217"/>
        <v>-22510882.850000001</v>
      </c>
      <c r="N565" s="641"/>
      <c r="O565" s="641"/>
      <c r="P565" s="641"/>
      <c r="Q565" s="641"/>
      <c r="T565" s="3094">
        <v>8810</v>
      </c>
      <c r="U565" s="3101">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94">
        <v>8890</v>
      </c>
      <c r="U566" s="3101">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-25297789.149999999</v>
      </c>
      <c r="G567" s="885">
        <f>SUM(VLOOKUP(6799,Sheet_Trialbal,4,0))</f>
        <v>0</v>
      </c>
      <c r="H567" s="885">
        <f>SUM(VLOOKUP(6799,Sheet_Trialbal,5,0))</f>
        <v>0</v>
      </c>
      <c r="I567" s="913">
        <f>(B567*F567+G567-H567)*B567</f>
        <v>-25297789.149999999</v>
      </c>
      <c r="J567" s="914">
        <f>INDEX(Sheet_Presc,MATCH((RIGHT($D567,2)),Sheet_Prescrow,0),MATCH((VALUE(LEFT($D567,2))),Sheet_Presccol,0))</f>
        <v>-22510882.850000001</v>
      </c>
      <c r="K567" s="885">
        <f>SUM(VLOOKUP(6799,Sheet_Trialbal,8,0))</f>
        <v>0</v>
      </c>
      <c r="L567" s="885">
        <f>SUM(VLOOKUP(6799,Sheet_Trialbal,9,0))</f>
        <v>0</v>
      </c>
      <c r="M567" s="891">
        <f>($B567*J567+K567-L567)*$B567</f>
        <v>-22510882.850000001</v>
      </c>
      <c r="N567" s="641"/>
      <c r="O567" s="641"/>
      <c r="P567" s="641"/>
      <c r="Q567" s="641"/>
      <c r="T567" s="3094">
        <v>8821</v>
      </c>
      <c r="U567" s="3101">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94">
        <v>8830</v>
      </c>
      <c r="U568" s="3101">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94">
        <v>8840</v>
      </c>
      <c r="U569" s="3101">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94">
        <v>8850</v>
      </c>
      <c r="U570" s="3101">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94">
        <v>8851</v>
      </c>
      <c r="U571" s="3101">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94">
        <v>8853</v>
      </c>
      <c r="U572" s="3101">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0</v>
      </c>
      <c r="G573" s="885">
        <f t="shared" si="224"/>
        <v>0</v>
      </c>
      <c r="H573" s="885">
        <f t="shared" si="224"/>
        <v>0</v>
      </c>
      <c r="I573" s="913">
        <f t="shared" si="224"/>
        <v>0</v>
      </c>
      <c r="J573" s="914">
        <f t="shared" si="224"/>
        <v>0</v>
      </c>
      <c r="K573" s="885">
        <f t="shared" si="224"/>
        <v>0</v>
      </c>
      <c r="L573" s="885">
        <f t="shared" si="224"/>
        <v>0</v>
      </c>
      <c r="M573" s="891">
        <f t="shared" si="224"/>
        <v>0</v>
      </c>
      <c r="N573" s="641"/>
      <c r="O573" s="641"/>
      <c r="P573" s="641"/>
      <c r="Q573" s="641"/>
      <c r="T573" s="3094">
        <v>8852</v>
      </c>
      <c r="U573" s="3101">
        <v>0</v>
      </c>
    </row>
    <row r="574" spans="1:21" ht="18">
      <c r="A574" s="1648">
        <f t="shared" si="211"/>
        <v>0</v>
      </c>
      <c r="B574" s="1647">
        <f t="shared" si="212"/>
        <v>-1</v>
      </c>
      <c r="C574" s="1647" t="str">
        <f t="shared" si="210"/>
        <v>J</v>
      </c>
      <c r="D574" s="1659">
        <v>8761</v>
      </c>
      <c r="E574" s="888" t="str">
        <f t="shared" si="213"/>
        <v>未分配利润_提取盈余公积</v>
      </c>
      <c r="F574" s="884">
        <f t="shared" si="222"/>
        <v>0</v>
      </c>
      <c r="G574" s="885">
        <f>SUMIF(AJE!$B:$B,$C574&amp;$D574&amp;"*",AJE!$O:$O)</f>
        <v>0</v>
      </c>
      <c r="H574" s="885">
        <f>SUMIF(AJE!$B:$B,$C574&amp;$D574&amp;"*",AJE!$P:$P)</f>
        <v>0</v>
      </c>
      <c r="I574" s="913">
        <f t="shared" si="215"/>
        <v>0</v>
      </c>
      <c r="J574" s="914">
        <f t="shared" si="216"/>
        <v>0</v>
      </c>
      <c r="K574" s="885">
        <f>SUMIF('AJE1'!$B:$B,$C574&amp;$D574&amp;"*",'AJE1'!$O:$O)</f>
        <v>0</v>
      </c>
      <c r="L574" s="885">
        <f>SUMIF('AJE1'!$B:$B,$C574&amp;$D574&amp;"*",'AJE1'!$P:$P)</f>
        <v>0</v>
      </c>
      <c r="M574" s="891">
        <f t="shared" si="217"/>
        <v>0</v>
      </c>
      <c r="N574" s="641"/>
      <c r="O574" s="641"/>
      <c r="P574" s="641"/>
      <c r="Q574" s="641"/>
      <c r="T574" s="3094">
        <v>8856</v>
      </c>
      <c r="U574" s="3101">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94">
        <v>8860</v>
      </c>
      <c r="U575" s="3101">
        <v>0</v>
      </c>
    </row>
    <row r="576" spans="1:21" ht="18">
      <c r="A576" s="1648">
        <f t="shared" si="211"/>
        <v>0</v>
      </c>
      <c r="B576" s="1647">
        <f t="shared" si="212"/>
        <v>-1</v>
      </c>
      <c r="C576" s="1647" t="str">
        <f t="shared" si="210"/>
        <v>J</v>
      </c>
      <c r="D576" s="1659">
        <v>8763</v>
      </c>
      <c r="E576" s="888" t="str">
        <f t="shared" si="213"/>
        <v>未分配利润_对所有者的分配</v>
      </c>
      <c r="F576" s="884">
        <f t="shared" si="222"/>
        <v>0</v>
      </c>
      <c r="G576" s="885">
        <f>SUMIF(AJE!$B:$B,$C576&amp;$D576&amp;"*",AJE!$O:$O)</f>
        <v>0</v>
      </c>
      <c r="H576" s="885">
        <f>SUMIF(AJE!$B:$B,$C576&amp;$D576&amp;"*",AJE!$P:$P)</f>
        <v>0</v>
      </c>
      <c r="I576" s="913">
        <f t="shared" si="215"/>
        <v>0</v>
      </c>
      <c r="J576" s="914">
        <f t="shared" si="216"/>
        <v>0</v>
      </c>
      <c r="K576" s="885">
        <f>SUMIF('AJE1'!$B:$B,$C576&amp;$D576&amp;"*",'AJE1'!$O:$O)</f>
        <v>0</v>
      </c>
      <c r="L576" s="885">
        <f>SUMIF('AJE1'!$B:$B,$C576&amp;$D576&amp;"*",'AJE1'!$P:$P)</f>
        <v>0</v>
      </c>
      <c r="M576" s="891">
        <f t="shared" si="217"/>
        <v>0</v>
      </c>
      <c r="N576" s="641"/>
      <c r="O576" s="641"/>
      <c r="P576" s="641"/>
      <c r="Q576" s="641"/>
      <c r="T576" s="3094">
        <v>8861</v>
      </c>
      <c r="U576" s="3101">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94">
        <v>8862</v>
      </c>
      <c r="U577" s="3101">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94">
        <v>8863</v>
      </c>
      <c r="U578" s="3101">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94">
        <v>8866</v>
      </c>
      <c r="U579" s="3101">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94">
        <v>8870</v>
      </c>
      <c r="U580" s="3101">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94">
        <v>8871</v>
      </c>
      <c r="U581" s="3101">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94">
        <v>8872</v>
      </c>
      <c r="U582" s="3101">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94">
        <v>8873</v>
      </c>
      <c r="U583" s="3101">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94">
        <v>8875</v>
      </c>
      <c r="U584" s="3101">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94">
        <v>8876</v>
      </c>
      <c r="U585" s="3101">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94">
        <v>8880</v>
      </c>
      <c r="U586" s="3101">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94">
        <v>8881</v>
      </c>
      <c r="U587" s="3101">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94">
        <v>8882</v>
      </c>
      <c r="U588" s="3101">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-25297789.149999999</v>
      </c>
      <c r="G589" s="885">
        <f t="shared" si="227"/>
        <v>0</v>
      </c>
      <c r="H589" s="885">
        <f t="shared" si="227"/>
        <v>0</v>
      </c>
      <c r="I589" s="913">
        <f t="shared" si="227"/>
        <v>-25297789.149999999</v>
      </c>
      <c r="J589" s="914">
        <f t="shared" si="227"/>
        <v>-47230884.140000001</v>
      </c>
      <c r="K589" s="885">
        <f t="shared" si="227"/>
        <v>0</v>
      </c>
      <c r="L589" s="885">
        <f t="shared" si="227"/>
        <v>0</v>
      </c>
      <c r="M589" s="891">
        <f t="shared" si="227"/>
        <v>-47230884.140000001</v>
      </c>
      <c r="N589" s="641"/>
      <c r="O589" s="641"/>
      <c r="P589" s="641"/>
      <c r="Q589" s="641"/>
      <c r="T589" s="3094">
        <v>8896</v>
      </c>
      <c r="U589" s="3101">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94">
        <v>8899</v>
      </c>
      <c r="U590" s="3101">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94">
        <v>8900</v>
      </c>
      <c r="U591" s="3101">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94">
        <v>8901</v>
      </c>
      <c r="U592" s="3101">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94">
        <v>8902</v>
      </c>
      <c r="U593" s="3101">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94">
        <v>8903</v>
      </c>
      <c r="U594" s="3101">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94">
        <v>8904</v>
      </c>
      <c r="U595" s="3101">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94">
        <v>8909</v>
      </c>
      <c r="U596" s="3101">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94">
        <v>8910</v>
      </c>
      <c r="U597" s="3101">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94">
        <v>8990</v>
      </c>
      <c r="U598" s="3101">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94">
        <v>8921</v>
      </c>
      <c r="U599" s="3101">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94">
        <v>8930</v>
      </c>
      <c r="U600" s="3101">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94">
        <v>8940</v>
      </c>
      <c r="U601" s="3101">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94">
        <v>8950</v>
      </c>
      <c r="U602" s="3101">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94">
        <v>8951</v>
      </c>
      <c r="U603" s="3101">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94">
        <v>8953</v>
      </c>
      <c r="U604" s="3101">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94">
        <v>8952</v>
      </c>
      <c r="U605" s="3101">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94">
        <v>8956</v>
      </c>
      <c r="U606" s="3101">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94">
        <v>8960</v>
      </c>
      <c r="U607" s="3101">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94">
        <v>8961</v>
      </c>
      <c r="U608" s="3101">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94">
        <v>8962</v>
      </c>
      <c r="U609" s="3101">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94">
        <v>8963</v>
      </c>
      <c r="U610" s="3101">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94">
        <v>8966</v>
      </c>
      <c r="U611" s="3101">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94">
        <v>8970</v>
      </c>
      <c r="U612" s="3101">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94">
        <v>8971</v>
      </c>
      <c r="U613" s="3101">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94">
        <v>8972</v>
      </c>
      <c r="U614" s="3101">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94">
        <v>8973</v>
      </c>
      <c r="U615" s="3101">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94">
        <v>8975</v>
      </c>
      <c r="U616" s="3101">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94">
        <v>8976</v>
      </c>
      <c r="U617" s="3101">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94">
        <v>8980</v>
      </c>
      <c r="U618" s="3101">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94">
        <v>8981</v>
      </c>
      <c r="U619" s="3101">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94">
        <v>8982</v>
      </c>
      <c r="U620" s="3101">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94">
        <v>8996</v>
      </c>
      <c r="U621" s="3101">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94">
        <v>8999</v>
      </c>
      <c r="U622" s="3101">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94">
        <v>7</v>
      </c>
      <c r="U623" s="3101"/>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94">
        <v>7000</v>
      </c>
      <c r="U624" s="3101"/>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94">
        <v>7001</v>
      </c>
      <c r="U625" s="3101">
        <v>0</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94">
        <v>7011</v>
      </c>
      <c r="U626" s="3101">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94">
        <v>7012</v>
      </c>
      <c r="U627" s="3101">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94">
        <v>7013</v>
      </c>
      <c r="U628" s="3101">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94">
        <v>7014</v>
      </c>
      <c r="U629" s="3101">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94">
        <v>7015</v>
      </c>
      <c r="U630" s="3101">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94">
        <v>7016</v>
      </c>
      <c r="U631" s="3101">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94">
        <v>7021</v>
      </c>
      <c r="U632" s="3101">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94">
        <v>7023</v>
      </c>
      <c r="U633" s="3101">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94">
        <v>7025</v>
      </c>
      <c r="U634" s="3101">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94">
        <v>7026</v>
      </c>
      <c r="U635" s="3101">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94">
        <v>7031</v>
      </c>
      <c r="U636" s="3101">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94">
        <v>7046</v>
      </c>
      <c r="U637" s="3101">
        <v>111511418.34999999</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94">
        <v>7048</v>
      </c>
      <c r="U638" s="3101">
        <v>111511418.34999999</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94">
        <v>7051</v>
      </c>
      <c r="U639" s="3102">
        <v>0</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94">
        <v>7053</v>
      </c>
      <c r="U640" s="3101">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94">
        <v>7054</v>
      </c>
      <c r="U641" s="3101">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94">
        <v>7055</v>
      </c>
      <c r="U642" s="3101">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94">
        <v>7056</v>
      </c>
      <c r="U643" s="3101">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94">
        <v>7057</v>
      </c>
      <c r="U644" s="3101">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94">
        <v>7061</v>
      </c>
      <c r="U645" s="3102">
        <v>9687769.6300000008</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94">
        <v>7071</v>
      </c>
      <c r="U646" s="3101">
        <v>197626.12</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94">
        <v>7096</v>
      </c>
      <c r="U647" s="3101">
        <v>47546373.82</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94">
        <v>7098</v>
      </c>
      <c r="U648" s="3101">
        <v>57431769.57</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94">
        <v>7099</v>
      </c>
      <c r="U649" s="3101">
        <v>54079648.780000001</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94">
        <v>7100</v>
      </c>
      <c r="U650" s="3101">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94">
        <v>7101</v>
      </c>
      <c r="U651" s="3101">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94">
        <v>7105</v>
      </c>
      <c r="U652" s="3101">
        <v>0</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94">
        <v>7111</v>
      </c>
      <c r="U653" s="3101">
        <v>0</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94">
        <v>7121</v>
      </c>
      <c r="U654" s="3101">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94">
        <v>7146</v>
      </c>
      <c r="U655" s="3101">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94">
        <v>7148</v>
      </c>
      <c r="U656" s="3101">
        <v>0</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94">
        <v>7151</v>
      </c>
      <c r="U657" s="3101">
        <v>1453325.99</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343138.18</v>
      </c>
      <c r="G658" s="885">
        <f>SUMIF(CFJE!$B:$B,$C658&amp;$D658&amp;"*",CFJE!$S:$S)</f>
        <v>0</v>
      </c>
      <c r="H658" s="885">
        <f>SUMIF(CFJE!$B:$B,$C658&amp;$D658&amp;"*",CFJE!$T:$T)</f>
        <v>0</v>
      </c>
      <c r="I658" s="913">
        <f t="shared" ref="I658:I689" si="252">(B658*F658+G658-H658)*B658</f>
        <v>343138.18</v>
      </c>
      <c r="J658" s="914">
        <f t="shared" ref="J658:J689" si="253">VLOOKUP($D658,Sheet_Precf,5,0)</f>
        <v>0</v>
      </c>
      <c r="K658" s="885"/>
      <c r="L658" s="885"/>
      <c r="M658" s="891">
        <f t="shared" ref="M658:M689" si="254">($B658*J658+K658-L658)*$B658</f>
        <v>0</v>
      </c>
      <c r="N658" s="641"/>
      <c r="O658" s="641"/>
      <c r="P658" s="641"/>
      <c r="Q658" s="641"/>
      <c r="T658" s="3094">
        <v>7161</v>
      </c>
      <c r="U658" s="3101">
        <v>53000000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94">
        <v>7165</v>
      </c>
      <c r="U659" s="3101">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94">
        <v>7171</v>
      </c>
      <c r="U660" s="3101">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94">
        <v>7196</v>
      </c>
      <c r="U661" s="3101">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94">
        <v>7198</v>
      </c>
      <c r="U662" s="3101">
        <v>54453325.990000002</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94">
        <v>7199</v>
      </c>
      <c r="U663" s="3101">
        <v>-54453325.990000002</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94">
        <v>7200</v>
      </c>
      <c r="U664" s="3101">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94">
        <v>7201</v>
      </c>
      <c r="U665" s="3101">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95">
        <v>7201.01</v>
      </c>
      <c r="U666" s="3101">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94">
        <v>7211</v>
      </c>
      <c r="U667" s="3101">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94">
        <v>7221</v>
      </c>
      <c r="U668" s="3101">
        <v>0</v>
      </c>
    </row>
    <row r="669" spans="1:21" ht="18">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94">
        <v>7246</v>
      </c>
      <c r="U669" s="3101">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233275.97</v>
      </c>
      <c r="G670" s="885">
        <f>SUMIF(CFJE!$B:$B,$C670&amp;$D670&amp;"*",CFJE!$S:$S)</f>
        <v>0</v>
      </c>
      <c r="H670" s="885">
        <f>SUMIF(CFJE!$B:$B,$C670&amp;$D670&amp;"*",CFJE!$T:$T)</f>
        <v>0</v>
      </c>
      <c r="I670" s="913">
        <f t="shared" si="252"/>
        <v>233275.97</v>
      </c>
      <c r="J670" s="914">
        <f t="shared" si="253"/>
        <v>111511418.34999999</v>
      </c>
      <c r="K670" s="885"/>
      <c r="L670" s="885"/>
      <c r="M670" s="891">
        <f t="shared" si="254"/>
        <v>111511418.34999999</v>
      </c>
      <c r="N670" s="641"/>
      <c r="O670" s="641"/>
      <c r="P670" s="641"/>
      <c r="Q670" s="641"/>
      <c r="T670" s="3094">
        <v>7248</v>
      </c>
      <c r="U670" s="3101">
        <v>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576414.15</v>
      </c>
      <c r="G671" s="885">
        <f t="shared" si="257"/>
        <v>0</v>
      </c>
      <c r="H671" s="885">
        <f t="shared" si="257"/>
        <v>0</v>
      </c>
      <c r="I671" s="913">
        <f t="shared" si="257"/>
        <v>576414.15</v>
      </c>
      <c r="J671" s="914">
        <f t="shared" si="257"/>
        <v>111511418.34999999</v>
      </c>
      <c r="K671" s="885">
        <f t="shared" si="257"/>
        <v>0</v>
      </c>
      <c r="L671" s="885">
        <f t="shared" si="257"/>
        <v>0</v>
      </c>
      <c r="M671" s="891">
        <f t="shared" si="257"/>
        <v>111511418.34999999</v>
      </c>
      <c r="N671" s="641"/>
      <c r="O671" s="641"/>
      <c r="P671" s="641"/>
      <c r="Q671" s="641"/>
      <c r="T671" s="3094">
        <v>7251</v>
      </c>
      <c r="U671" s="3101">
        <v>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0</v>
      </c>
      <c r="G672" s="885">
        <f>SUMIF(CFJE!$B:$B,$C672&amp;$D672&amp;"*",CFJE!$S:$S)</f>
        <v>0</v>
      </c>
      <c r="H672" s="885">
        <f>SUMIF(CFJE!$B:$B,$C672&amp;$D672&amp;"*",CFJE!$T:$T)</f>
        <v>0</v>
      </c>
      <c r="I672" s="913">
        <f t="shared" si="252"/>
        <v>0</v>
      </c>
      <c r="J672" s="914">
        <f t="shared" si="253"/>
        <v>0</v>
      </c>
      <c r="K672" s="885"/>
      <c r="L672" s="885"/>
      <c r="M672" s="891">
        <f t="shared" si="254"/>
        <v>0</v>
      </c>
      <c r="N672" s="641"/>
      <c r="O672" s="641"/>
      <c r="P672" s="641"/>
      <c r="Q672" s="641"/>
      <c r="T672" s="3094">
        <v>7261</v>
      </c>
      <c r="U672" s="3101">
        <v>0</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95">
        <v>7261.01</v>
      </c>
      <c r="U673" s="3101">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94">
        <v>7296</v>
      </c>
      <c r="U674" s="3101">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95">
        <v>7296.11</v>
      </c>
      <c r="U675" s="3101">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94">
        <v>7298</v>
      </c>
      <c r="U676" s="3101">
        <v>0</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94">
        <v>7299</v>
      </c>
      <c r="U677" s="3101">
        <v>0</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94">
        <v>7309</v>
      </c>
      <c r="U678" s="3101">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21587533.059999999</v>
      </c>
      <c r="G679" s="885">
        <f>SUMIF(CFJE!$B:$B,$C679&amp;$D679&amp;"*",CFJE!$S:$S)</f>
        <v>0</v>
      </c>
      <c r="H679" s="885">
        <f>SUMIF(CFJE!$B:$B,$C679&amp;$D679&amp;"*",CFJE!$T:$T)</f>
        <v>0</v>
      </c>
      <c r="I679" s="913">
        <f t="shared" si="252"/>
        <v>21587533.059999999</v>
      </c>
      <c r="J679" s="914">
        <f t="shared" si="253"/>
        <v>9687769.6300000008</v>
      </c>
      <c r="K679" s="885"/>
      <c r="L679" s="885"/>
      <c r="M679" s="891">
        <f t="shared" si="254"/>
        <v>9687769.6300000008</v>
      </c>
      <c r="N679" s="641"/>
      <c r="O679" s="641"/>
      <c r="P679" s="641"/>
      <c r="Q679" s="641"/>
      <c r="T679" s="3094">
        <v>7348</v>
      </c>
      <c r="U679" s="3101">
        <v>-373677.21</v>
      </c>
    </row>
    <row r="680" spans="1:21" ht="18">
      <c r="A680" s="1648">
        <f t="shared" si="239"/>
        <v>0</v>
      </c>
      <c r="B680" s="1647">
        <f t="shared" si="240"/>
        <v>-1</v>
      </c>
      <c r="C680" s="1647" t="str">
        <f t="shared" si="237"/>
        <v>J</v>
      </c>
      <c r="D680" s="1659">
        <v>7071</v>
      </c>
      <c r="E680" s="888" t="str">
        <f t="shared" si="241"/>
        <v>支付的各项税费</v>
      </c>
      <c r="F680" s="884">
        <f t="shared" si="258"/>
        <v>0</v>
      </c>
      <c r="G680" s="885">
        <f>SUMIF(CFJE!$B:$B,$C680&amp;$D680&amp;"*",CFJE!$S:$S)</f>
        <v>0</v>
      </c>
      <c r="H680" s="885">
        <f>SUMIF(CFJE!$B:$B,$C680&amp;$D680&amp;"*",CFJE!$T:$T)</f>
        <v>0</v>
      </c>
      <c r="I680" s="913">
        <f t="shared" si="252"/>
        <v>0</v>
      </c>
      <c r="J680" s="914">
        <f t="shared" si="253"/>
        <v>197626.12</v>
      </c>
      <c r="K680" s="885"/>
      <c r="L680" s="885"/>
      <c r="M680" s="891">
        <f t="shared" si="254"/>
        <v>197626.12</v>
      </c>
      <c r="N680" s="641"/>
      <c r="O680" s="641"/>
      <c r="P680" s="641"/>
      <c r="Q680" s="641"/>
      <c r="T680" s="3094">
        <v>7349</v>
      </c>
      <c r="U680" s="3101">
        <v>713944.14</v>
      </c>
    </row>
    <row r="681" spans="1:21" ht="18">
      <c r="A681" s="1648">
        <f t="shared" si="239"/>
        <v>0</v>
      </c>
      <c r="B681" s="1647">
        <f t="shared" si="240"/>
        <v>-1</v>
      </c>
      <c r="C681" s="1647" t="str">
        <f t="shared" si="237"/>
        <v>J</v>
      </c>
      <c r="D681" s="1659">
        <v>7096</v>
      </c>
      <c r="E681" s="888" t="str">
        <f t="shared" si="241"/>
        <v>支付其他与经营活动有关的现金</v>
      </c>
      <c r="F681" s="884">
        <f t="shared" si="258"/>
        <v>9655236.5600000005</v>
      </c>
      <c r="G681" s="885">
        <f>SUMIF(CFJE!$B:$B,$C681&amp;$D681&amp;"*",CFJE!$S:$S)</f>
        <v>0</v>
      </c>
      <c r="H681" s="885">
        <f>SUMIF(CFJE!$B:$B,$C681&amp;$D681&amp;"*",CFJE!$T:$T)</f>
        <v>0</v>
      </c>
      <c r="I681" s="913">
        <f t="shared" si="252"/>
        <v>9655236.5600000005</v>
      </c>
      <c r="J681" s="914">
        <f t="shared" si="253"/>
        <v>47546373.82</v>
      </c>
      <c r="K681" s="885"/>
      <c r="L681" s="885"/>
      <c r="M681" s="891">
        <f t="shared" si="254"/>
        <v>47546373.82</v>
      </c>
      <c r="N681" s="641"/>
      <c r="O681" s="641"/>
      <c r="P681" s="641"/>
      <c r="Q681" s="641"/>
      <c r="T681" s="3094">
        <v>7399</v>
      </c>
      <c r="U681" s="3101">
        <v>340266.93</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31242769.620000001</v>
      </c>
      <c r="G682" s="885">
        <f t="shared" si="261"/>
        <v>0</v>
      </c>
      <c r="H682" s="885">
        <f t="shared" si="261"/>
        <v>0</v>
      </c>
      <c r="I682" s="913">
        <f t="shared" si="261"/>
        <v>31242769.620000001</v>
      </c>
      <c r="J682" s="914">
        <f t="shared" si="261"/>
        <v>57431769.57</v>
      </c>
      <c r="K682" s="885">
        <f t="shared" si="261"/>
        <v>0</v>
      </c>
      <c r="L682" s="885">
        <f t="shared" si="261"/>
        <v>0</v>
      </c>
      <c r="M682" s="891">
        <f t="shared" si="261"/>
        <v>57431769.57</v>
      </c>
      <c r="N682" s="641"/>
      <c r="O682" s="641"/>
      <c r="P682" s="641"/>
      <c r="Q682" s="641"/>
      <c r="T682" s="3094">
        <v>19</v>
      </c>
      <c r="U682" s="3101"/>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-30666355.469999999</v>
      </c>
      <c r="G683" s="919">
        <f>SUM(G671,G682)</f>
        <v>0</v>
      </c>
      <c r="H683" s="919">
        <f>SUM(H671,H682)</f>
        <v>0</v>
      </c>
      <c r="I683" s="913">
        <f t="shared" si="262"/>
        <v>-30666355.469999999</v>
      </c>
      <c r="J683" s="914">
        <f t="shared" si="262"/>
        <v>54079648.780000001</v>
      </c>
      <c r="K683" s="919">
        <f>SUM(K671,K682)</f>
        <v>0</v>
      </c>
      <c r="L683" s="919">
        <f>SUM(L671,L682)</f>
        <v>0</v>
      </c>
      <c r="M683" s="891">
        <f t="shared" si="262"/>
        <v>54079648.780000001</v>
      </c>
      <c r="N683" s="641"/>
      <c r="O683" s="641"/>
      <c r="P683" s="641"/>
      <c r="Q683" s="641"/>
      <c r="T683" s="3099">
        <v>1122.1231</v>
      </c>
      <c r="U683" s="3101">
        <v>0</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99">
        <v>1125.1231</v>
      </c>
      <c r="U684" s="3101">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0</v>
      </c>
      <c r="G685" s="885">
        <f>SUMIF(CFJE!$B:$B,$C685&amp;$D685&amp;"*",CFJE!$S:$S)</f>
        <v>0</v>
      </c>
      <c r="H685" s="885">
        <f>SUMIF(CFJE!$B:$B,$C685&amp;$D685&amp;"*",CFJE!$T:$T)</f>
        <v>0</v>
      </c>
      <c r="I685" s="913">
        <f t="shared" si="252"/>
        <v>0</v>
      </c>
      <c r="J685" s="914">
        <f t="shared" si="253"/>
        <v>0</v>
      </c>
      <c r="K685" s="885"/>
      <c r="L685" s="885"/>
      <c r="M685" s="891">
        <f t="shared" si="254"/>
        <v>0</v>
      </c>
      <c r="N685" s="641"/>
      <c r="O685" s="641"/>
      <c r="P685" s="641"/>
      <c r="Q685" s="641"/>
      <c r="T685" s="3099">
        <v>1221.1231</v>
      </c>
      <c r="U685" s="3101">
        <v>0</v>
      </c>
    </row>
    <row r="686" spans="1:21" ht="18">
      <c r="A686" s="1648">
        <f t="shared" si="239"/>
        <v>0</v>
      </c>
      <c r="B686" s="1647">
        <f t="shared" si="240"/>
        <v>1</v>
      </c>
      <c r="C686" s="1647" t="str">
        <f t="shared" si="237"/>
        <v>J</v>
      </c>
      <c r="D686" s="1659">
        <v>7105</v>
      </c>
      <c r="E686" s="888" t="str">
        <f t="shared" si="241"/>
        <v>取得投资收益收到的现金</v>
      </c>
      <c r="F686" s="884">
        <f t="shared" si="263"/>
        <v>0</v>
      </c>
      <c r="G686" s="885">
        <f>SUMIF(CFJE!$B:$B,$C686&amp;$D686&amp;"*",CFJE!$S:$S)</f>
        <v>0</v>
      </c>
      <c r="H686" s="885">
        <f>SUMIF(CFJE!$B:$B,$C686&amp;$D686&amp;"*",CFJE!$T:$T)</f>
        <v>0</v>
      </c>
      <c r="I686" s="913">
        <f t="shared" si="252"/>
        <v>0</v>
      </c>
      <c r="J686" s="914">
        <f t="shared" si="253"/>
        <v>0</v>
      </c>
      <c r="K686" s="885"/>
      <c r="L686" s="885"/>
      <c r="M686" s="891">
        <f t="shared" si="254"/>
        <v>0</v>
      </c>
      <c r="N686" s="641"/>
      <c r="O686" s="641"/>
      <c r="P686" s="641"/>
      <c r="Q686" s="641"/>
      <c r="T686" s="3099">
        <v>1400.1470999999999</v>
      </c>
      <c r="U686" s="3101">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0</v>
      </c>
      <c r="K687" s="885"/>
      <c r="L687" s="885"/>
      <c r="M687" s="891">
        <f t="shared" si="254"/>
        <v>0</v>
      </c>
      <c r="N687" s="641"/>
      <c r="O687" s="641"/>
      <c r="P687" s="641"/>
      <c r="Q687" s="641"/>
      <c r="T687" s="3099">
        <v>1503.1504</v>
      </c>
      <c r="U687" s="3101">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99">
        <v>1501.1502</v>
      </c>
      <c r="U688" s="3101">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0</v>
      </c>
      <c r="G689" s="885">
        <f>SUMIF(CFJE!$B:$B,$C689&amp;$D689&amp;"*",CFJE!$S:$S)</f>
        <v>0</v>
      </c>
      <c r="H689" s="885">
        <f>SUMIF(CFJE!$B:$B,$C689&amp;$D689&amp;"*",CFJE!$T:$T)</f>
        <v>0</v>
      </c>
      <c r="I689" s="913">
        <f t="shared" si="252"/>
        <v>0</v>
      </c>
      <c r="J689" s="914">
        <f t="shared" si="253"/>
        <v>0</v>
      </c>
      <c r="K689" s="885"/>
      <c r="L689" s="885"/>
      <c r="M689" s="891">
        <f t="shared" si="254"/>
        <v>0</v>
      </c>
      <c r="N689" s="641"/>
      <c r="O689" s="641"/>
      <c r="P689" s="641"/>
      <c r="Q689" s="641"/>
      <c r="T689" s="3099">
        <v>1511.1512</v>
      </c>
      <c r="U689" s="3101">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0</v>
      </c>
      <c r="G690" s="885">
        <f t="shared" si="264"/>
        <v>0</v>
      </c>
      <c r="H690" s="885">
        <f t="shared" si="264"/>
        <v>0</v>
      </c>
      <c r="I690" s="913">
        <f t="shared" si="264"/>
        <v>0</v>
      </c>
      <c r="J690" s="914">
        <f t="shared" si="264"/>
        <v>0</v>
      </c>
      <c r="K690" s="885">
        <f t="shared" si="264"/>
        <v>0</v>
      </c>
      <c r="L690" s="885">
        <f t="shared" si="264"/>
        <v>0</v>
      </c>
      <c r="M690" s="891">
        <f t="shared" si="264"/>
        <v>0</v>
      </c>
      <c r="N690" s="641"/>
      <c r="O690" s="641"/>
      <c r="P690" s="641"/>
      <c r="Q690" s="641"/>
      <c r="T690" s="3099">
        <v>1521.1522</v>
      </c>
      <c r="U690" s="3101">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13963177.92</v>
      </c>
      <c r="G691" s="885">
        <f>SUMIF(CFJE!$B:$B,$C691&amp;$D691&amp;"*",CFJE!$S:$S)</f>
        <v>0</v>
      </c>
      <c r="H691" s="885">
        <f>SUMIF(CFJE!$B:$B,$C691&amp;$D691&amp;"*",CFJE!$T:$T)</f>
        <v>0</v>
      </c>
      <c r="I691" s="913">
        <f t="shared" ref="I691:I712" si="265">(B691*F691+G691-H691)*B691</f>
        <v>13963177.92</v>
      </c>
      <c r="J691" s="914">
        <f t="shared" ref="J691:J712" si="266">VLOOKUP($D691,Sheet_Precf,5,0)</f>
        <v>1453325.99</v>
      </c>
      <c r="K691" s="885"/>
      <c r="L691" s="885"/>
      <c r="M691" s="891">
        <f t="shared" ref="M691:M712" si="267">($B691*J691+K691-L691)*$B691</f>
        <v>1453325.99</v>
      </c>
      <c r="N691" s="641"/>
      <c r="O691" s="641"/>
      <c r="P691" s="641"/>
      <c r="Q691" s="641"/>
      <c r="T691" s="3099">
        <v>1601.1603</v>
      </c>
      <c r="U691" s="3101">
        <v>0</v>
      </c>
    </row>
    <row r="692" spans="1:21" ht="18">
      <c r="A692" s="1648">
        <f t="shared" si="239"/>
        <v>0</v>
      </c>
      <c r="B692" s="1647">
        <f t="shared" si="240"/>
        <v>-1</v>
      </c>
      <c r="C692" s="1647" t="str">
        <f t="shared" si="237"/>
        <v>J</v>
      </c>
      <c r="D692" s="1659">
        <v>7161</v>
      </c>
      <c r="E692" s="888" t="str">
        <f t="shared" si="241"/>
        <v>投资支付的现金</v>
      </c>
      <c r="F692" s="884">
        <f>VLOOKUP($D692,Sheet_Precf,4,0)</f>
        <v>22000000</v>
      </c>
      <c r="G692" s="885">
        <f>SUMIF(CFJE!$B:$B,$C692&amp;$D692&amp;"*",CFJE!$S:$S)</f>
        <v>0</v>
      </c>
      <c r="H692" s="885">
        <f>SUMIF(CFJE!$B:$B,$C692&amp;$D692&amp;"*",CFJE!$T:$T)</f>
        <v>0</v>
      </c>
      <c r="I692" s="913">
        <f t="shared" si="265"/>
        <v>22000000</v>
      </c>
      <c r="J692" s="914">
        <f t="shared" si="266"/>
        <v>53000000</v>
      </c>
      <c r="K692" s="885"/>
      <c r="L692" s="885"/>
      <c r="M692" s="891">
        <f t="shared" si="267"/>
        <v>53000000</v>
      </c>
      <c r="N692" s="641"/>
      <c r="O692" s="641"/>
      <c r="P692" s="641"/>
      <c r="Q692" s="641"/>
      <c r="T692" s="3099">
        <v>1605.1608000000001</v>
      </c>
      <c r="U692" s="3101">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99">
        <v>1604.1606999999999</v>
      </c>
      <c r="U693" s="3101">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99">
        <v>1621.1623999999999</v>
      </c>
      <c r="U694" s="3101">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10000000</v>
      </c>
      <c r="G695" s="885">
        <f>SUMIF(CFJE!$B:$B,$C695&amp;$D695&amp;"*",CFJE!$S:$S)</f>
        <v>0</v>
      </c>
      <c r="H695" s="885">
        <f>SUMIF(CFJE!$B:$B,$C695&amp;$D695&amp;"*",CFJE!$T:$T)</f>
        <v>0</v>
      </c>
      <c r="I695" s="913">
        <f t="shared" si="265"/>
        <v>10000000</v>
      </c>
      <c r="J695" s="914">
        <f t="shared" si="266"/>
        <v>0</v>
      </c>
      <c r="K695" s="885"/>
      <c r="L695" s="885"/>
      <c r="M695" s="891">
        <f t="shared" si="267"/>
        <v>0</v>
      </c>
      <c r="N695" s="641"/>
      <c r="O695" s="641"/>
      <c r="P695" s="641"/>
      <c r="Q695" s="641"/>
      <c r="T695" s="3099">
        <v>1631.1632999999999</v>
      </c>
      <c r="U695" s="3101">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45963177.920000002</v>
      </c>
      <c r="G696" s="885">
        <f t="shared" si="268"/>
        <v>0</v>
      </c>
      <c r="H696" s="885">
        <f t="shared" si="268"/>
        <v>0</v>
      </c>
      <c r="I696" s="913">
        <f t="shared" si="268"/>
        <v>45963177.920000002</v>
      </c>
      <c r="J696" s="914">
        <f t="shared" si="268"/>
        <v>54453325.990000002</v>
      </c>
      <c r="K696" s="885">
        <f t="shared" si="268"/>
        <v>0</v>
      </c>
      <c r="L696" s="885">
        <f t="shared" si="268"/>
        <v>0</v>
      </c>
      <c r="M696" s="891">
        <f t="shared" si="268"/>
        <v>54453325.990000002</v>
      </c>
      <c r="N696" s="641"/>
      <c r="O696" s="641"/>
      <c r="P696" s="641"/>
      <c r="Q696" s="641"/>
      <c r="T696" s="3099">
        <v>1701.1703</v>
      </c>
      <c r="U696" s="3101">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-45963177.920000002</v>
      </c>
      <c r="G697" s="919">
        <f>SUM(G690,G696)</f>
        <v>0</v>
      </c>
      <c r="H697" s="919">
        <f>SUM(H690,H696)</f>
        <v>0</v>
      </c>
      <c r="I697" s="913">
        <f t="shared" si="269"/>
        <v>-45963177.920000002</v>
      </c>
      <c r="J697" s="914">
        <f t="shared" si="269"/>
        <v>-54453325.990000002</v>
      </c>
      <c r="K697" s="919">
        <f>SUM(K690,K696)</f>
        <v>0</v>
      </c>
      <c r="L697" s="919">
        <f>SUM(L690,L696)</f>
        <v>0</v>
      </c>
      <c r="M697" s="891">
        <f t="shared" si="269"/>
        <v>-54453325.990000002</v>
      </c>
      <c r="N697" s="641"/>
      <c r="O697" s="641"/>
      <c r="P697" s="641"/>
      <c r="Q697" s="641"/>
      <c r="T697" s="3099">
        <v>1711.1712</v>
      </c>
      <c r="U697" s="3101">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99">
        <v>1991.1992</v>
      </c>
      <c r="U698" s="3101">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99">
        <v>1991</v>
      </c>
      <c r="U699" s="3101">
        <v>0</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99">
        <v>7500</v>
      </c>
      <c r="U700" s="3101"/>
    </row>
    <row r="701" spans="1:21" ht="18">
      <c r="A701" s="1648">
        <f t="shared" si="239"/>
        <v>0</v>
      </c>
      <c r="B701" s="1647">
        <f t="shared" si="240"/>
        <v>1</v>
      </c>
      <c r="C701" s="1647" t="str">
        <f t="shared" si="237"/>
        <v>J</v>
      </c>
      <c r="D701" s="1659">
        <v>7211</v>
      </c>
      <c r="E701" s="888" t="str">
        <f t="shared" si="241"/>
        <v>取得借款收到的现金</v>
      </c>
      <c r="F701" s="884">
        <f t="shared" si="270"/>
        <v>0</v>
      </c>
      <c r="G701" s="885">
        <f>SUMIF(CFJE!$B:$B,$C701&amp;$D701&amp;"*",CFJE!$S:$S)</f>
        <v>0</v>
      </c>
      <c r="H701" s="885">
        <f>SUMIF(CFJE!$B:$B,$C701&amp;$D701&amp;"*",CFJE!$T:$T)</f>
        <v>0</v>
      </c>
      <c r="I701" s="913">
        <f t="shared" si="265"/>
        <v>0</v>
      </c>
      <c r="J701" s="914">
        <f t="shared" si="266"/>
        <v>0</v>
      </c>
      <c r="K701" s="885"/>
      <c r="L701" s="885"/>
      <c r="M701" s="891">
        <f t="shared" si="267"/>
        <v>0</v>
      </c>
      <c r="N701" s="641"/>
      <c r="O701" s="641"/>
      <c r="P701" s="641"/>
      <c r="Q701" s="641"/>
      <c r="T701" s="3099">
        <v>7501</v>
      </c>
      <c r="U701" s="3101"/>
    </row>
    <row r="702" spans="1:21" ht="18">
      <c r="A702" s="1648">
        <f t="shared" si="239"/>
        <v>0</v>
      </c>
      <c r="B702" s="1647">
        <f t="shared" si="240"/>
        <v>1</v>
      </c>
      <c r="C702" s="1647" t="str">
        <f t="shared" si="237"/>
        <v>J</v>
      </c>
      <c r="D702" s="1659">
        <v>7246</v>
      </c>
      <c r="E702" s="888" t="str">
        <f t="shared" si="241"/>
        <v>收到其他与筹资活动有关的现金</v>
      </c>
      <c r="F702" s="884">
        <f t="shared" si="270"/>
        <v>81923075.409999996</v>
      </c>
      <c r="G702" s="885">
        <f>SUMIF(CFJE!$B:$B,$C702&amp;$D702&amp;"*",CFJE!$S:$S)</f>
        <v>0</v>
      </c>
      <c r="H702" s="885">
        <f>SUMIF(CFJE!$B:$B,$C702&amp;$D702&amp;"*",CFJE!$T:$T)</f>
        <v>0</v>
      </c>
      <c r="I702" s="913">
        <f t="shared" si="265"/>
        <v>81923075.409999996</v>
      </c>
      <c r="J702" s="914">
        <f t="shared" si="266"/>
        <v>0</v>
      </c>
      <c r="K702" s="885"/>
      <c r="L702" s="885"/>
      <c r="M702" s="891">
        <f t="shared" si="267"/>
        <v>0</v>
      </c>
      <c r="N702" s="641"/>
      <c r="O702" s="641"/>
      <c r="P702" s="641"/>
      <c r="Q702" s="641"/>
      <c r="T702" s="3099">
        <v>7502</v>
      </c>
      <c r="U702" s="3102">
        <v>-22510882.850000001</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81923075.409999996</v>
      </c>
      <c r="G703" s="885">
        <f t="shared" si="271"/>
        <v>0</v>
      </c>
      <c r="H703" s="885">
        <f t="shared" si="271"/>
        <v>0</v>
      </c>
      <c r="I703" s="913">
        <f t="shared" si="271"/>
        <v>81923075.409999996</v>
      </c>
      <c r="J703" s="914">
        <f t="shared" si="271"/>
        <v>0</v>
      </c>
      <c r="K703" s="885">
        <f t="shared" si="271"/>
        <v>0</v>
      </c>
      <c r="L703" s="885">
        <f t="shared" si="271"/>
        <v>0</v>
      </c>
      <c r="M703" s="891">
        <f t="shared" si="271"/>
        <v>0</v>
      </c>
      <c r="N703" s="641"/>
      <c r="O703" s="641"/>
      <c r="P703" s="641"/>
      <c r="Q703" s="641"/>
      <c r="T703" s="3099">
        <v>7503</v>
      </c>
      <c r="U703" s="3102">
        <v>29565.119999999999</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0</v>
      </c>
      <c r="K704" s="885"/>
      <c r="L704" s="885"/>
      <c r="M704" s="891">
        <f t="shared" si="267"/>
        <v>0</v>
      </c>
      <c r="N704" s="641"/>
      <c r="O704" s="641"/>
      <c r="P704" s="641"/>
      <c r="Q704" s="641"/>
      <c r="T704" s="3099">
        <v>7505</v>
      </c>
      <c r="U704" s="3102">
        <v>5709.33</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0</v>
      </c>
      <c r="G705" s="885">
        <f>SUMIF(CFJE!$B:$B,$C705&amp;$D705&amp;"*",CFJE!$S:$S)</f>
        <v>0</v>
      </c>
      <c r="H705" s="885">
        <f>SUMIF(CFJE!$B:$B,$C705&amp;$D705&amp;"*",CFJE!$T:$T)</f>
        <v>0</v>
      </c>
      <c r="I705" s="913">
        <f t="shared" si="265"/>
        <v>0</v>
      </c>
      <c r="J705" s="914">
        <f t="shared" si="266"/>
        <v>0</v>
      </c>
      <c r="K705" s="885"/>
      <c r="L705" s="885"/>
      <c r="M705" s="891">
        <f t="shared" si="267"/>
        <v>0</v>
      </c>
      <c r="N705" s="641"/>
      <c r="O705" s="641"/>
      <c r="P705" s="641"/>
      <c r="Q705" s="641"/>
      <c r="T705" s="3099">
        <v>7506</v>
      </c>
      <c r="U705" s="3102">
        <v>0</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99">
        <v>7507</v>
      </c>
      <c r="U706" s="3102">
        <v>110985.51</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5575000</v>
      </c>
      <c r="G707" s="885">
        <f>SUMIF(CFJE!$B:$B,$C707&amp;$D707&amp;"*",CFJE!$S:$S)</f>
        <v>0</v>
      </c>
      <c r="H707" s="885">
        <f>SUMIF(CFJE!$B:$B,$C707&amp;$D707&amp;"*",CFJE!$T:$T)</f>
        <v>0</v>
      </c>
      <c r="I707" s="913">
        <f t="shared" si="265"/>
        <v>5575000</v>
      </c>
      <c r="J707" s="914">
        <f t="shared" si="266"/>
        <v>0</v>
      </c>
      <c r="K707" s="885"/>
      <c r="L707" s="885"/>
      <c r="M707" s="891">
        <f t="shared" si="267"/>
        <v>0</v>
      </c>
      <c r="N707" s="641"/>
      <c r="O707" s="641"/>
      <c r="P707" s="641"/>
      <c r="Q707" s="641"/>
      <c r="T707" s="3099">
        <v>7508</v>
      </c>
      <c r="U707" s="3102">
        <v>0</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5575000</v>
      </c>
      <c r="G708" s="885">
        <f t="shared" si="276"/>
        <v>0</v>
      </c>
      <c r="H708" s="885">
        <f t="shared" si="276"/>
        <v>0</v>
      </c>
      <c r="I708" s="913">
        <f t="shared" si="276"/>
        <v>5575000</v>
      </c>
      <c r="J708" s="914">
        <f t="shared" si="276"/>
        <v>0</v>
      </c>
      <c r="K708" s="885">
        <f t="shared" si="276"/>
        <v>0</v>
      </c>
      <c r="L708" s="885">
        <f t="shared" si="276"/>
        <v>0</v>
      </c>
      <c r="M708" s="891">
        <f t="shared" si="276"/>
        <v>0</v>
      </c>
      <c r="N708" s="641"/>
      <c r="O708" s="641"/>
      <c r="P708" s="641"/>
      <c r="Q708" s="641"/>
      <c r="T708" s="3099">
        <v>7509</v>
      </c>
      <c r="U708" s="3102">
        <v>0</v>
      </c>
    </row>
    <row r="709" spans="1:21" ht="18">
      <c r="A709" s="1648" t="str">
        <f t="shared" si="273"/>
        <v>＝</v>
      </c>
      <c r="B709" s="1647">
        <f t="shared" si="274"/>
        <v>0</v>
      </c>
      <c r="C709" s="1647">
        <f t="shared" si="272"/>
        <v>0</v>
      </c>
      <c r="D709" s="2186">
        <v>7299</v>
      </c>
      <c r="E709" s="2187" t="str">
        <f t="shared" si="275"/>
        <v>筹资活动产生的现金流量净额</v>
      </c>
      <c r="F709" s="884">
        <f>SUM(F703,-F708)</f>
        <v>76348075.409999996</v>
      </c>
      <c r="G709" s="919">
        <f>SUM(G703,G708)</f>
        <v>0</v>
      </c>
      <c r="H709" s="919">
        <f>SUM(H703,H708)</f>
        <v>0</v>
      </c>
      <c r="I709" s="913">
        <f>SUM(I703,-I708)</f>
        <v>76348075.409999996</v>
      </c>
      <c r="J709" s="914">
        <f>SUM(J703,-J708)</f>
        <v>0</v>
      </c>
      <c r="K709" s="919">
        <f>SUM(K703,K708)</f>
        <v>0</v>
      </c>
      <c r="L709" s="919">
        <f>SUM(L703,L708)</f>
        <v>0</v>
      </c>
      <c r="M709" s="891">
        <f>SUM(M703,-M708)</f>
        <v>0</v>
      </c>
      <c r="N709" s="641"/>
      <c r="O709" s="641"/>
      <c r="P709" s="641"/>
      <c r="Q709" s="641"/>
      <c r="T709" s="3099">
        <v>7510</v>
      </c>
      <c r="U709" s="3102">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99">
        <v>7511</v>
      </c>
      <c r="U710" s="3102">
        <v>0</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-281457.98</v>
      </c>
      <c r="G711" s="885">
        <f t="shared" si="277"/>
        <v>0</v>
      </c>
      <c r="H711" s="885">
        <f t="shared" si="277"/>
        <v>0</v>
      </c>
      <c r="I711" s="913">
        <f t="shared" si="277"/>
        <v>-281457.98</v>
      </c>
      <c r="J711" s="914">
        <f t="shared" si="277"/>
        <v>-373677.21</v>
      </c>
      <c r="K711" s="885">
        <f t="shared" si="277"/>
        <v>0</v>
      </c>
      <c r="L711" s="885">
        <f t="shared" si="277"/>
        <v>0</v>
      </c>
      <c r="M711" s="891">
        <f t="shared" si="277"/>
        <v>-373677.21</v>
      </c>
      <c r="N711" s="641"/>
      <c r="O711" s="641"/>
      <c r="P711" s="641"/>
      <c r="Q711" s="641"/>
      <c r="T711" s="3099">
        <v>7512</v>
      </c>
      <c r="U711" s="3102">
        <v>0</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340266.93</v>
      </c>
      <c r="G712" s="918">
        <f>SUMIF(CFJE!$B:$B,$C712&amp;$D712&amp;"*",CFJE!$S:$S)</f>
        <v>0</v>
      </c>
      <c r="H712" s="918">
        <f>SUMIF(CFJE!$B:$B,$C712&amp;$D712&amp;"*",CFJE!$T:$T)</f>
        <v>0</v>
      </c>
      <c r="I712" s="913">
        <f t="shared" si="265"/>
        <v>340266.93</v>
      </c>
      <c r="J712" s="914">
        <f t="shared" si="266"/>
        <v>713944.14</v>
      </c>
      <c r="K712" s="918"/>
      <c r="L712" s="918"/>
      <c r="M712" s="891">
        <f t="shared" si="267"/>
        <v>713944.14</v>
      </c>
      <c r="N712" s="641"/>
      <c r="O712" s="641"/>
      <c r="P712" s="641"/>
      <c r="Q712" s="641"/>
      <c r="T712" s="3099">
        <v>7515</v>
      </c>
      <c r="U712" s="3102">
        <v>0</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58808.95</v>
      </c>
      <c r="G713" s="885">
        <f t="shared" si="278"/>
        <v>0</v>
      </c>
      <c r="H713" s="885">
        <f t="shared" si="278"/>
        <v>0</v>
      </c>
      <c r="I713" s="913">
        <f t="shared" si="278"/>
        <v>58808.95</v>
      </c>
      <c r="J713" s="914">
        <f t="shared" si="278"/>
        <v>340266.93</v>
      </c>
      <c r="K713" s="885">
        <f t="shared" si="278"/>
        <v>0</v>
      </c>
      <c r="L713" s="885">
        <f t="shared" si="278"/>
        <v>0</v>
      </c>
      <c r="M713" s="891">
        <f t="shared" si="278"/>
        <v>340266.93</v>
      </c>
      <c r="N713" s="641"/>
      <c r="O713" s="641"/>
      <c r="P713" s="641"/>
      <c r="Q713" s="641"/>
      <c r="T713" s="3099">
        <v>7516</v>
      </c>
      <c r="U713" s="3102">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99">
        <v>7517</v>
      </c>
      <c r="U714" s="3102">
        <v>0</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99">
        <v>7518</v>
      </c>
      <c r="U715" s="3102">
        <v>-4716956.07</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99">
        <v>7519</v>
      </c>
      <c r="U716" s="3102">
        <v>81161227.739999995</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99">
        <v>7523</v>
      </c>
      <c r="U717" s="3102">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0</v>
      </c>
      <c r="I718" s="913">
        <f t="shared" ref="I718:I733" si="280">($B718*F718+G718-H718)*$B718</f>
        <v>0</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99">
        <v>7525</v>
      </c>
      <c r="U718" s="3101">
        <v>54079648.780000001</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99">
        <v>7526</v>
      </c>
      <c r="U719" s="3102"/>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0</v>
      </c>
      <c r="I720" s="913">
        <f t="shared" si="280"/>
        <v>0</v>
      </c>
      <c r="J720" s="914">
        <f t="shared" si="281"/>
        <v>0</v>
      </c>
      <c r="K720" s="885">
        <f>SUMIF('AJE1'!$B:$B,$C720&amp;$D720&amp;"*",'AJE1'!$O:$O)</f>
        <v>0</v>
      </c>
      <c r="L720" s="885">
        <f>SUMIF('AJE1'!$B:$B,$C720&amp;$D720&amp;"*",'AJE1'!$P:$P)</f>
        <v>0</v>
      </c>
      <c r="M720" s="891">
        <f t="shared" si="282"/>
        <v>0</v>
      </c>
      <c r="N720" s="641"/>
      <c r="O720" s="641"/>
      <c r="P720" s="641"/>
      <c r="Q720" s="641"/>
      <c r="T720" s="3099">
        <v>7527</v>
      </c>
      <c r="U720" s="3102">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0</v>
      </c>
      <c r="I721" s="913">
        <f t="shared" si="280"/>
        <v>0</v>
      </c>
      <c r="J721" s="914">
        <f t="shared" si="281"/>
        <v>0</v>
      </c>
      <c r="K721" s="885">
        <f>SUMIF('AJE1'!$B:$B,$C721&amp;$D721&amp;"*",'AJE1'!$O:$O)</f>
        <v>0</v>
      </c>
      <c r="L721" s="885">
        <f>SUMIF('AJE1'!$B:$B,$C721&amp;$D721&amp;"*",'AJE1'!$P:$P)</f>
        <v>0</v>
      </c>
      <c r="M721" s="891">
        <f t="shared" si="282"/>
        <v>0</v>
      </c>
      <c r="N721" s="641"/>
      <c r="O721" s="641"/>
      <c r="P721" s="641"/>
      <c r="Q721" s="641"/>
      <c r="T721" s="3099">
        <v>7528</v>
      </c>
      <c r="U721" s="3102">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99">
        <v>7529</v>
      </c>
      <c r="U722" s="3102">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99">
        <v>7533</v>
      </c>
      <c r="U723" s="3102"/>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99">
        <v>7535</v>
      </c>
      <c r="U724" s="3102">
        <v>340266.93</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99">
        <v>7536</v>
      </c>
      <c r="U725" s="3102">
        <v>713944.14</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99">
        <v>7537</v>
      </c>
      <c r="U726" s="3102">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99">
        <v>7538</v>
      </c>
      <c r="U727" s="3102">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99">
        <v>7539</v>
      </c>
      <c r="U728" s="3101">
        <v>-373677.21</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99">
        <v>6829.5110000000004</v>
      </c>
      <c r="U729" s="931">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99">
        <v>6829.5119999999997</v>
      </c>
      <c r="U730" s="931">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99">
        <v>6829.5190000000002</v>
      </c>
      <c r="U731" s="931">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99">
        <v>6829.5309999999999</v>
      </c>
      <c r="U732" s="931">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99">
        <v>6829.5320000000002</v>
      </c>
      <c r="U733" s="931">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0</v>
      </c>
      <c r="I734" s="913">
        <f t="shared" si="283"/>
        <v>0</v>
      </c>
      <c r="J734" s="914">
        <f t="shared" si="283"/>
        <v>0</v>
      </c>
      <c r="K734" s="885">
        <f t="shared" si="283"/>
        <v>0</v>
      </c>
      <c r="L734" s="885">
        <f t="shared" si="283"/>
        <v>0</v>
      </c>
      <c r="M734" s="891">
        <f t="shared" si="283"/>
        <v>0</v>
      </c>
      <c r="N734" s="641"/>
      <c r="O734" s="641"/>
      <c r="P734" s="641"/>
      <c r="Q734" s="641"/>
      <c r="T734" s="3099">
        <v>6829.5330000000004</v>
      </c>
      <c r="U734" s="931">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99">
        <v>6829.5339999999997</v>
      </c>
      <c r="U735" s="931">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99">
        <v>6829.5349999999999</v>
      </c>
      <c r="U736" s="931">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-25297789.149999999</v>
      </c>
      <c r="G737" s="2787">
        <v>0</v>
      </c>
      <c r="H737" s="2787">
        <v>0</v>
      </c>
      <c r="I737" s="921">
        <f t="shared" ref="I737:I753" si="285">(B737*F737+G737-H737)*B737</f>
        <v>-25297789.149999999</v>
      </c>
      <c r="J737" s="922">
        <f t="shared" ref="J737:J753" si="286">VLOOKUP($D737,Sheet_Precf7,5,0)</f>
        <v>-22510882.850000001</v>
      </c>
      <c r="K737" s="2787">
        <v>0</v>
      </c>
      <c r="L737" s="2787">
        <v>0</v>
      </c>
      <c r="M737" s="923">
        <f t="shared" ref="M737:M753" si="287">($B737*J737+K737-L737)*$B737</f>
        <v>-22510882.850000001</v>
      </c>
      <c r="N737" s="641"/>
      <c r="O737" s="641"/>
      <c r="P737" s="641"/>
      <c r="Q737" s="641"/>
      <c r="T737" s="3099">
        <v>6829.5360000000001</v>
      </c>
      <c r="U737" s="931">
        <v>0</v>
      </c>
    </row>
    <row r="738" spans="1:21" ht="18">
      <c r="A738" s="1648">
        <f t="shared" si="273"/>
        <v>0</v>
      </c>
      <c r="B738" s="1647">
        <f t="shared" si="274"/>
        <v>1</v>
      </c>
      <c r="C738" s="1647">
        <f t="shared" si="272"/>
        <v>0</v>
      </c>
      <c r="D738" s="1659">
        <v>7503</v>
      </c>
      <c r="E738" s="888" t="str">
        <f t="shared" si="275"/>
        <v>资产减值准备金额</v>
      </c>
      <c r="F738" s="917">
        <f t="shared" si="284"/>
        <v>0</v>
      </c>
      <c r="G738" s="918"/>
      <c r="H738" s="918"/>
      <c r="I738" s="921">
        <f t="shared" si="285"/>
        <v>0</v>
      </c>
      <c r="J738" s="922">
        <f t="shared" si="286"/>
        <v>29565.119999999999</v>
      </c>
      <c r="K738" s="918"/>
      <c r="L738" s="918"/>
      <c r="M738" s="923">
        <f t="shared" si="287"/>
        <v>29565.119999999999</v>
      </c>
      <c r="N738" s="641"/>
      <c r="O738" s="641"/>
      <c r="P738" s="641"/>
      <c r="Q738" s="641"/>
      <c r="T738" s="3099">
        <v>6829.5370000000003</v>
      </c>
      <c r="U738" s="931">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-3895.59</v>
      </c>
      <c r="G739" s="918"/>
      <c r="H739" s="918"/>
      <c r="I739" s="921">
        <f t="shared" ref="I739" si="288">(B739*F739+G739-H739)*B739</f>
        <v>-3895.59</v>
      </c>
      <c r="J739" s="922">
        <f t="shared" si="286"/>
        <v>0</v>
      </c>
      <c r="K739" s="918"/>
      <c r="L739" s="918"/>
      <c r="M739" s="923">
        <f t="shared" ref="M739" si="289">($B739*J739+K739-L739)*$B739</f>
        <v>0</v>
      </c>
      <c r="N739" s="641"/>
      <c r="O739" s="641"/>
      <c r="P739" s="641"/>
      <c r="Q739" s="641"/>
      <c r="T739" s="3099">
        <v>6829.5389999999998</v>
      </c>
      <c r="U739" s="931">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63520.08</v>
      </c>
      <c r="G740" s="918"/>
      <c r="H740" s="918"/>
      <c r="I740" s="921">
        <f t="shared" si="285"/>
        <v>63520.08</v>
      </c>
      <c r="J740" s="922">
        <f t="shared" si="286"/>
        <v>5709.33</v>
      </c>
      <c r="K740" s="918"/>
      <c r="L740" s="918"/>
      <c r="M740" s="923">
        <f t="shared" si="287"/>
        <v>5709.33</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77952.14</v>
      </c>
      <c r="G741" s="918"/>
      <c r="H741" s="918"/>
      <c r="I741" s="921">
        <f t="shared" si="285"/>
        <v>77952.14</v>
      </c>
      <c r="J741" s="922">
        <f t="shared" si="286"/>
        <v>0</v>
      </c>
      <c r="K741" s="918"/>
      <c r="L741" s="918"/>
      <c r="M741" s="923">
        <f t="shared" si="287"/>
        <v>0</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380521.72</v>
      </c>
      <c r="G742" s="918"/>
      <c r="H742" s="918"/>
      <c r="I742" s="921">
        <f t="shared" si="285"/>
        <v>380521.72</v>
      </c>
      <c r="J742" s="922">
        <f t="shared" si="286"/>
        <v>110985.51</v>
      </c>
      <c r="K742" s="918"/>
      <c r="L742" s="918"/>
      <c r="M742" s="923">
        <f t="shared" si="287"/>
        <v>110985.51</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0</v>
      </c>
      <c r="K743" s="918"/>
      <c r="L743" s="918"/>
      <c r="M743" s="923">
        <f t="shared" si="287"/>
        <v>0</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0</v>
      </c>
      <c r="G746" s="918"/>
      <c r="H746" s="918"/>
      <c r="I746" s="921">
        <f t="shared" si="285"/>
        <v>0</v>
      </c>
      <c r="J746" s="922">
        <f t="shared" si="286"/>
        <v>0</v>
      </c>
      <c r="K746" s="918"/>
      <c r="L746" s="918"/>
      <c r="M746" s="923">
        <f t="shared" si="287"/>
        <v>0</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0</v>
      </c>
      <c r="G747" s="918"/>
      <c r="H747" s="918"/>
      <c r="I747" s="921">
        <f t="shared" si="285"/>
        <v>0</v>
      </c>
      <c r="J747" s="922">
        <f t="shared" si="286"/>
        <v>0</v>
      </c>
      <c r="K747" s="918"/>
      <c r="L747" s="918"/>
      <c r="M747" s="923">
        <f t="shared" si="287"/>
        <v>0</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-6256690.8899999997</v>
      </c>
      <c r="G748" s="918"/>
      <c r="H748" s="918"/>
      <c r="I748" s="921">
        <f t="shared" si="285"/>
        <v>-6256690.8899999997</v>
      </c>
      <c r="J748" s="922">
        <f t="shared" si="286"/>
        <v>0</v>
      </c>
      <c r="K748" s="918"/>
      <c r="L748" s="918"/>
      <c r="M748" s="923">
        <f t="shared" si="287"/>
        <v>0</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0</v>
      </c>
      <c r="G750" s="918"/>
      <c r="H750" s="918"/>
      <c r="I750" s="921">
        <f t="shared" si="285"/>
        <v>0</v>
      </c>
      <c r="J750" s="922">
        <f t="shared" si="286"/>
        <v>0</v>
      </c>
      <c r="K750" s="918"/>
      <c r="L750" s="918"/>
      <c r="M750" s="923">
        <f t="shared" si="287"/>
        <v>0</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-111864.86</v>
      </c>
      <c r="G751" s="918"/>
      <c r="H751" s="918"/>
      <c r="I751" s="921">
        <f t="shared" si="285"/>
        <v>-111864.86</v>
      </c>
      <c r="J751" s="922">
        <f t="shared" si="286"/>
        <v>-4716956.07</v>
      </c>
      <c r="K751" s="918"/>
      <c r="L751" s="918"/>
      <c r="M751" s="923">
        <f t="shared" si="287"/>
        <v>-4716956.07</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481891.08</v>
      </c>
      <c r="G752" s="918"/>
      <c r="H752" s="918"/>
      <c r="I752" s="921">
        <f t="shared" si="285"/>
        <v>481891.08</v>
      </c>
      <c r="J752" s="922">
        <f t="shared" si="286"/>
        <v>81161227.739999995</v>
      </c>
      <c r="K752" s="918"/>
      <c r="L752" s="918"/>
      <c r="M752" s="923">
        <f t="shared" si="287"/>
        <v>81161227.739999995</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-30666355.469999999</v>
      </c>
      <c r="G754" s="885">
        <f t="shared" ref="G754:M754" si="290">SUM(G737:G753)</f>
        <v>0</v>
      </c>
      <c r="H754" s="885">
        <f t="shared" si="290"/>
        <v>0</v>
      </c>
      <c r="I754" s="913">
        <f t="shared" si="290"/>
        <v>-30666355.469999999</v>
      </c>
      <c r="J754" s="914">
        <f t="shared" si="290"/>
        <v>54079648.780000001</v>
      </c>
      <c r="K754" s="885">
        <f t="shared" si="290"/>
        <v>0</v>
      </c>
      <c r="L754" s="885">
        <f t="shared" si="290"/>
        <v>0</v>
      </c>
      <c r="M754" s="891">
        <f t="shared" si="290"/>
        <v>54079648.780000001</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58808.95</v>
      </c>
      <c r="G760" s="918"/>
      <c r="H760" s="918"/>
      <c r="I760" s="921">
        <f>(B760*F760+G760-H760)*B760</f>
        <v>58808.95</v>
      </c>
      <c r="J760" s="922">
        <f>VLOOKUP($D760,Sheet_Precf7,5,0)</f>
        <v>340266.93</v>
      </c>
      <c r="K760" s="918"/>
      <c r="L760" s="918"/>
      <c r="M760" s="923">
        <f>($B760*J760+K760-L760)*$B760</f>
        <v>340266.93</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340266.93</v>
      </c>
      <c r="G761" s="918"/>
      <c r="H761" s="918"/>
      <c r="I761" s="921">
        <f>(B761*F761+G761-H761)*B761</f>
        <v>340266.93</v>
      </c>
      <c r="J761" s="922">
        <f>VLOOKUP($D761,Sheet_Precf7,5,0)</f>
        <v>713944.14</v>
      </c>
      <c r="K761" s="918"/>
      <c r="L761" s="918"/>
      <c r="M761" s="923">
        <f>($B761*J761+K761-L761)*$B761</f>
        <v>713944.14</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-281457.98</v>
      </c>
      <c r="G764" s="885">
        <f>SUM(G760:G763)</f>
        <v>0</v>
      </c>
      <c r="H764" s="885">
        <f>SUM(H760:H763)</f>
        <v>0</v>
      </c>
      <c r="I764" s="913">
        <f>SUM(I760,-I761,I762,-I763)</f>
        <v>-281457.98</v>
      </c>
      <c r="J764" s="914">
        <f>SUM(J760,-J761,J762,-J763)</f>
        <v>-373677.21</v>
      </c>
      <c r="K764" s="885">
        <f>SUM(K760:K763)</f>
        <v>0</v>
      </c>
      <c r="L764" s="885">
        <f>SUM(L760:L763)</f>
        <v>0</v>
      </c>
      <c r="M764" s="891">
        <f>SUM(M760,-M761,M762,-M763)</f>
        <v>-373677.21</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0</v>
      </c>
      <c r="G786" s="737"/>
      <c r="H786" s="737"/>
      <c r="I786" s="2199">
        <f ca="1">HYPERLINK("#'"&amp;$G$1&amp;"'!"&amp;ADDRESS(ROW(TB!I64),COLUMN(TB!I64),4),I64)</f>
        <v>0</v>
      </c>
      <c r="J786" s="2198">
        <f ca="1">HYPERLINK("#'"&amp;$G$1&amp;"'!"&amp;ADDRESS(ROW(TB!J64),COLUMN(TB!J64),4),J64)</f>
        <v>451984233.54000002</v>
      </c>
      <c r="K786" s="734"/>
      <c r="L786" s="734"/>
      <c r="M786" s="2200">
        <f ca="1">HYPERLINK("#'"&amp;$G$1&amp;"'!"&amp;ADDRESS(ROW(TB!M64),COLUMN(TB!M64),4),M64)</f>
        <v>451984233.54000002</v>
      </c>
    </row>
    <row r="787" spans="1:13" ht="18">
      <c r="A787" s="1650" t="s">
        <v>2565</v>
      </c>
      <c r="D787" s="932" t="s">
        <v>428</v>
      </c>
      <c r="E787" s="941" t="str">
        <f>E125</f>
        <v>负债和所有者权益</v>
      </c>
      <c r="F787" s="2201">
        <f ca="1">HYPERLINK("#'"&amp;$G$1&amp;"'!"&amp;ADDRESS(ROW(TB!F125),COLUMN(TB!F125),4),F125)</f>
        <v>-25297789.149999999</v>
      </c>
      <c r="G787" s="737"/>
      <c r="H787" s="737"/>
      <c r="I787" s="2202">
        <f ca="1">HYPERLINK("#'"&amp;$G$1&amp;"'!"&amp;ADDRESS(ROW(TB!I125),COLUMN(TB!I125),4),I125)</f>
        <v>-25297789.149999999</v>
      </c>
      <c r="J787" s="2201">
        <f ca="1">HYPERLINK("#'"&amp;$G$1&amp;"'!"&amp;ADDRESS(ROW(TB!J125),COLUMN(TB!J125),4),J125)</f>
        <v>451984233.54000002</v>
      </c>
      <c r="K787" s="737"/>
      <c r="L787" s="737"/>
      <c r="M787" s="2203">
        <f ca="1">HYPERLINK("#'"&amp;$G$1&amp;"'!"&amp;ADDRESS(ROW(TB!M125),COLUMN(TB!M125),4),M125)</f>
        <v>451984233.54000002</v>
      </c>
    </row>
    <row r="788" spans="1:13" ht="18">
      <c r="A788" s="1650" t="s">
        <v>2565</v>
      </c>
      <c r="D788" s="932"/>
      <c r="E788" s="942" t="s">
        <v>2580</v>
      </c>
      <c r="F788" s="943">
        <f ca="1">ROUND(F786-F787,2)</f>
        <v>25297789.149999999</v>
      </c>
      <c r="G788" s="737"/>
      <c r="H788" s="737"/>
      <c r="I788" s="952">
        <f ca="1">ROUND(I786-I787,2)</f>
        <v>25297789.149999999</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-25297789.149999999</v>
      </c>
      <c r="G790" s="737"/>
      <c r="H790" s="737"/>
      <c r="I790" s="2199">
        <f ca="1">HYPERLINK("#'"&amp;$G$1&amp;"'!"&amp;ADDRESS(ROW(TB!I163),COLUMN(TB!I163),4),I163)</f>
        <v>-25297789.149999999</v>
      </c>
      <c r="J790" s="2204">
        <f ca="1">HYPERLINK("#'"&amp;$G$1&amp;"'!"&amp;ADDRESS(ROW(TB!J163),COLUMN(TB!J163),4),J163)</f>
        <v>-22510882.850000001</v>
      </c>
      <c r="K790" s="737"/>
      <c r="L790" s="737"/>
      <c r="M790" s="2200">
        <f ca="1">HYPERLINK("#'"&amp;$G$1&amp;"'!"&amp;ADDRESS(ROW(TB!M163),COLUMN(TB!M163),4),M163)</f>
        <v>-22510882.850000001</v>
      </c>
    </row>
    <row r="791" spans="1:13" ht="18">
      <c r="A791" s="1650" t="s">
        <v>2565</v>
      </c>
      <c r="D791" s="932" t="s">
        <v>441</v>
      </c>
      <c r="E791" s="941" t="str">
        <f>E169</f>
        <v>归属于母公司所有者的净利润</v>
      </c>
      <c r="F791" s="2204">
        <f ca="1">HYPERLINK("#'"&amp;$G$1&amp;"'!"&amp;ADDRESS(ROW(TB!F169),COLUMN(TB!F169),4),F169)</f>
        <v>-25297789.149999999</v>
      </c>
      <c r="G791" s="737"/>
      <c r="H791" s="737"/>
      <c r="I791" s="2199">
        <f ca="1">HYPERLINK("#'"&amp;$G$1&amp;"'!"&amp;ADDRESS(ROW(TB!I169),COLUMN(TB!I169),4),I169)</f>
        <v>-25297789.149999999</v>
      </c>
      <c r="J791" s="2204">
        <f ca="1">HYPERLINK("#'"&amp;$G$1&amp;"'!"&amp;ADDRESS(ROW(TB!J169),COLUMN(TB!J169),4),J169)</f>
        <v>-22510882.850000001</v>
      </c>
      <c r="K791" s="737"/>
      <c r="L791" s="737"/>
      <c r="M791" s="2200">
        <f ca="1">HYPERLINK("#'"&amp;$G$1&amp;"'!"&amp;ADDRESS(ROW(TB!M169),COLUMN(TB!M169),4),M169)</f>
        <v>-22510882.850000001</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-25297789.149999999</v>
      </c>
      <c r="G795" s="737"/>
      <c r="H795" s="737"/>
      <c r="I795" s="2199"/>
      <c r="J795" s="2204">
        <f ca="1">HYPERLINK("#'"&amp;$G$1&amp;"'!"&amp;ADDRESS(ROW(TB!J163),COLUMN(TB!J163),4),J163)</f>
        <v>-22510882.850000001</v>
      </c>
      <c r="K795" s="737"/>
      <c r="L795" s="737"/>
      <c r="M795" s="2200"/>
    </row>
    <row r="796" spans="1:13" ht="18">
      <c r="A796" s="1650" t="s">
        <v>2565</v>
      </c>
      <c r="D796" s="932" t="s">
        <v>441</v>
      </c>
      <c r="E796" s="941" t="str">
        <f>E165</f>
        <v>持续经营净利润</v>
      </c>
      <c r="F796" s="2204">
        <f ca="1">HYPERLINK("#'"&amp;$G$1&amp;"'!"&amp;ADDRESS(ROW(TB!F165),COLUMN(TB!F165),4),F165)</f>
        <v>-25297789.149999999</v>
      </c>
      <c r="G796" s="737"/>
      <c r="H796" s="737"/>
      <c r="I796" s="2199"/>
      <c r="J796" s="2204">
        <f ca="1">HYPERLINK("#'"&amp;$G$1&amp;"'!"&amp;ADDRESS(ROW(TB!J165),COLUMN(TB!J165),4),J165)</f>
        <v>-22510882.850000001</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-25297789.149999999</v>
      </c>
      <c r="G800" s="737"/>
      <c r="H800" s="737"/>
      <c r="I800" s="2199">
        <f ca="1">HYPERLINK("#'"&amp;$G$1&amp;"'!"&amp;ADDRESS(ROW(TB!I192),COLUMN(TB!I192),4),I192)</f>
        <v>-25297789.149999999</v>
      </c>
      <c r="J800" s="2204">
        <f ca="1">HYPERLINK("#'"&amp;$G$1&amp;"'!"&amp;ADDRESS(ROW(TB!J192),COLUMN(TB!J192),4),J192)</f>
        <v>-22510882.850000001</v>
      </c>
      <c r="K800" s="737"/>
      <c r="L800" s="737"/>
      <c r="M800" s="2200">
        <f ca="1">HYPERLINK("#'"&amp;$G$1&amp;"'!"&amp;ADDRESS(ROW(TB!M192),COLUMN(TB!M192),4),M192)</f>
        <v>-22510882.850000001</v>
      </c>
    </row>
    <row r="801" spans="1:13" ht="24">
      <c r="A801" s="1650" t="s">
        <v>2565</v>
      </c>
      <c r="D801" s="932" t="s">
        <v>441</v>
      </c>
      <c r="E801" s="941" t="str">
        <f t="shared" si="301"/>
        <v>归属于母公司所有者的综合收益总额</v>
      </c>
      <c r="F801" s="2204">
        <f ca="1">HYPERLINK("#'"&amp;$G$1&amp;"'!"&amp;ADDRESS(ROW(TB!F193),COLUMN(TB!F193),4),F193)</f>
        <v>-25297789.149999999</v>
      </c>
      <c r="G801" s="737"/>
      <c r="H801" s="737"/>
      <c r="I801" s="2199">
        <f ca="1">HYPERLINK("#'"&amp;$G$1&amp;"'!"&amp;ADDRESS(ROW(TB!I193),COLUMN(TB!I193),4),I193)</f>
        <v>-25297789.149999999</v>
      </c>
      <c r="J801" s="2204">
        <f ca="1">HYPERLINK("#'"&amp;$G$1&amp;"'!"&amp;ADDRESS(ROW(TB!J193),COLUMN(TB!J193),4),J193)</f>
        <v>-22510882.850000001</v>
      </c>
      <c r="K801" s="737"/>
      <c r="L801" s="737"/>
      <c r="M801" s="2200">
        <f ca="1">HYPERLINK("#'"&amp;$G$1&amp;"'!"&amp;ADDRESS(ROW(TB!M193),COLUMN(TB!M193),4),M193)</f>
        <v>-22510882.850000001</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-25297789.149999999</v>
      </c>
      <c r="G805" s="737"/>
      <c r="H805" s="737"/>
      <c r="I805" s="2199">
        <f ca="1">HYPERLINK("#'"&amp;$G$1&amp;"'!"&amp;ADDRESS(ROW(TB!I169),COLUMN(TB!I169),4),I169)</f>
        <v>-25297789.149999999</v>
      </c>
      <c r="J805" s="2204">
        <f ca="1">HYPERLINK("#'"&amp;$G$1&amp;"'!"&amp;ADDRESS(ROW(TB!J169),COLUMN(TB!J169),4),J169)</f>
        <v>-22510882.850000001</v>
      </c>
      <c r="K805" s="737"/>
      <c r="L805" s="737"/>
      <c r="M805" s="2200">
        <f ca="1">HYPERLINK("#'"&amp;$G$1&amp;"'!"&amp;ADDRESS(ROW(TB!M169),COLUMN(TB!M169),4),M169)</f>
        <v>-22510882.850000001</v>
      </c>
    </row>
    <row r="806" spans="1:13" ht="24">
      <c r="A806" s="1650" t="s">
        <v>2565</v>
      </c>
      <c r="D806" s="932" t="s">
        <v>442</v>
      </c>
      <c r="E806" s="941" t="str">
        <f>E567</f>
        <v>未分配利润_综合收益总额增加权益</v>
      </c>
      <c r="F806" s="2204">
        <f ca="1">HYPERLINK("#'"&amp;$G$1&amp;"'!"&amp;ADDRESS(ROW(TB!F567),COLUMN(TB!F567),4),F567)</f>
        <v>-25297789.149999999</v>
      </c>
      <c r="G806" s="737"/>
      <c r="H806" s="737"/>
      <c r="I806" s="2202">
        <f ca="1">HYPERLINK("#'"&amp;$G$1&amp;"'!"&amp;ADDRESS(ROW(TB!I567),COLUMN(TB!I567),4),I567)</f>
        <v>-25297789.149999999</v>
      </c>
      <c r="J806" s="2204">
        <f ca="1">HYPERLINK("#'"&amp;$G$1&amp;"'!"&amp;ADDRESS(ROW(TB!J567),COLUMN(TB!J567),4),J567)</f>
        <v>-22510882.850000001</v>
      </c>
      <c r="K806" s="737"/>
      <c r="L806" s="737"/>
      <c r="M806" s="2200">
        <f ca="1">HYPERLINK("#'"&amp;$G$1&amp;"'!"&amp;ADDRESS(ROW(TB!M567),COLUMN(TB!M567),4),M567)</f>
        <v>-22510882.850000001</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-25297789.149999999</v>
      </c>
      <c r="G813" s="737"/>
      <c r="H813" s="737"/>
      <c r="I813" s="2199">
        <f ca="1">HYPERLINK("#'"&amp;$G$1&amp;"'!"&amp;ADDRESS(ROW(TB!I192),COLUMN(TB!I192),4),I192)</f>
        <v>-25297789.149999999</v>
      </c>
      <c r="J813" s="2204">
        <f ca="1">HYPERLINK("#'"&amp;$G$1&amp;"'!"&amp;ADDRESS(ROW(TB!J192),COLUMN(TB!J192),4),J192)</f>
        <v>-22510882.850000001</v>
      </c>
      <c r="K813" s="737"/>
      <c r="L813" s="737"/>
      <c r="M813" s="2200">
        <f ca="1">HYPERLINK("#'"&amp;$G$1&amp;"'!"&amp;ADDRESS(ROW(TB!M192),COLUMN(TB!M192),4),M192)</f>
        <v>-22510882.850000001</v>
      </c>
    </row>
    <row r="814" spans="1:13" ht="24">
      <c r="A814" s="1650" t="s">
        <v>2565</v>
      </c>
      <c r="D814" s="932" t="s">
        <v>442</v>
      </c>
      <c r="E814" s="941" t="str">
        <f>E212</f>
        <v>所有者权益_综合收益总额增加权益</v>
      </c>
      <c r="F814" s="2204">
        <f ca="1">HYPERLINK("#'"&amp;$G$1&amp;"'!"&amp;ADDRESS(ROW(TB!F212),COLUMN(TB!F212),4),F212)</f>
        <v>-25297789.149999999</v>
      </c>
      <c r="G814" s="737"/>
      <c r="H814" s="737"/>
      <c r="I814" s="2202">
        <f ca="1">HYPERLINK("#'"&amp;$G$1&amp;"'!"&amp;ADDRESS(ROW(TB!I212),COLUMN(TB!I212),4),I212)</f>
        <v>-25297789.149999999</v>
      </c>
      <c r="J814" s="2204">
        <f ca="1">HYPERLINK("#'"&amp;$G$1&amp;"'!"&amp;ADDRESS(ROW(TB!J212),COLUMN(TB!J212),4),J212)</f>
        <v>-22510882.850000001</v>
      </c>
      <c r="K814" s="737"/>
      <c r="L814" s="737"/>
      <c r="M814" s="2200">
        <f ca="1">HYPERLINK("#'"&amp;$G$1&amp;"'!"&amp;ADDRESS(ROW(TB!M212),COLUMN(TB!M212),4),M212)</f>
        <v>-22510882.850000001</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-25297789.149999999</v>
      </c>
      <c r="G821" s="737"/>
      <c r="H821" s="737"/>
      <c r="I821" s="2199">
        <f ca="1">HYPERLINK("#'"&amp;$G$1&amp;"'!"&amp;ADDRESS(ROW(TB!I163),COLUMN(TB!I163),4),I163)</f>
        <v>-25297789.149999999</v>
      </c>
      <c r="J821" s="2204">
        <f ca="1">HYPERLINK("#'"&amp;$G$1&amp;"'!"&amp;ADDRESS(ROW(TB!J163),COLUMN(TB!J163),4),J163)</f>
        <v>-22510882.850000001</v>
      </c>
      <c r="K821" s="737"/>
      <c r="L821" s="737"/>
      <c r="M821" s="2200">
        <f ca="1">HYPERLINK("#'"&amp;$G$1&amp;"'!"&amp;ADDRESS(ROW(TB!M163),COLUMN(TB!M163),4),M163)</f>
        <v>-22510882.850000001</v>
      </c>
    </row>
    <row r="822" spans="1:13" ht="18">
      <c r="A822" s="1650" t="s">
        <v>2565</v>
      </c>
      <c r="D822" s="932" t="s">
        <v>578</v>
      </c>
      <c r="E822" s="941" t="str">
        <f>E737</f>
        <v>净利润金额</v>
      </c>
      <c r="F822" s="2204">
        <f ca="1">HYPERLINK("#'"&amp;$G$1&amp;"'!"&amp;ADDRESS(ROW(TB!F737),COLUMN(TB!F737),4),F737)</f>
        <v>-25297789.149999999</v>
      </c>
      <c r="G822" s="737"/>
      <c r="H822" s="737"/>
      <c r="I822" s="2202">
        <f ca="1">HYPERLINK("#'"&amp;$G$1&amp;"'!"&amp;ADDRESS(ROW(TB!I737),COLUMN(TB!I737),4),I737)</f>
        <v>-25297789.149999999</v>
      </c>
      <c r="J822" s="2204">
        <f ca="1">HYPERLINK("#'"&amp;$G$1&amp;"'!"&amp;ADDRESS(ROW(TB!J737),COLUMN(TB!J737),4),J737)</f>
        <v>-22510882.850000001</v>
      </c>
      <c r="K822" s="737"/>
      <c r="L822" s="737"/>
      <c r="M822" s="2200">
        <f ca="1">HYPERLINK("#'"&amp;$G$1&amp;"'!"&amp;ADDRESS(ROW(TB!M737),COLUMN(TB!M737),4),M737)</f>
        <v>-22510882.850000001</v>
      </c>
    </row>
    <row r="823" spans="1:13" ht="18">
      <c r="A823" s="1650" t="s">
        <v>2565</v>
      </c>
      <c r="D823" s="932"/>
      <c r="E823" s="942" t="s">
        <v>2580</v>
      </c>
      <c r="F823" s="943">
        <f ca="1">ROUND(F821-F822,2)</f>
        <v>0</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-30666355.469999999</v>
      </c>
      <c r="G825" s="737"/>
      <c r="H825" s="737"/>
      <c r="I825" s="2199">
        <f ca="1">HYPERLINK("#'"&amp;$G$1&amp;"'!"&amp;ADDRESS(ROW(TB!I683),COLUMN(TB!I683),4),I683)</f>
        <v>-30666355.469999999</v>
      </c>
      <c r="J825" s="2204">
        <f ca="1">HYPERLINK("#'"&amp;$G$1&amp;"'!"&amp;ADDRESS(ROW(TB!J683),COLUMN(TB!J683),4),J683)</f>
        <v>54079648.780000001</v>
      </c>
      <c r="K825" s="737"/>
      <c r="L825" s="737"/>
      <c r="M825" s="2200">
        <f ca="1">HYPERLINK("#'"&amp;$G$1&amp;"'!"&amp;ADDRESS(ROW(TB!M683),COLUMN(TB!M683),4),M683)</f>
        <v>54079648.780000001</v>
      </c>
    </row>
    <row r="826" spans="1:13" ht="18">
      <c r="A826" s="1650" t="s">
        <v>2565</v>
      </c>
      <c r="D826" s="932" t="s">
        <v>578</v>
      </c>
      <c r="E826" s="941" t="str">
        <f>E754</f>
        <v>经营活动产生的现金流量净额</v>
      </c>
      <c r="F826" s="2204">
        <f ca="1">HYPERLINK("#'"&amp;$G$1&amp;"'!"&amp;ADDRESS(ROW(TB!F754),COLUMN(TB!F754),4),F754)</f>
        <v>-30666355.469999999</v>
      </c>
      <c r="G826" s="737"/>
      <c r="H826" s="737"/>
      <c r="I826" s="2202">
        <f ca="1">HYPERLINK("#'"&amp;$G$1&amp;"'!"&amp;ADDRESS(ROW(TB!I754),COLUMN(TB!I754),4),I754)</f>
        <v>-30666355.469999999</v>
      </c>
      <c r="J826" s="2204">
        <f ca="1">HYPERLINK("#'"&amp;$G$1&amp;"'!"&amp;ADDRESS(ROW(TB!J754),COLUMN(TB!J754),4),J754)</f>
        <v>54079648.780000001</v>
      </c>
      <c r="K826" s="737"/>
      <c r="L826" s="737"/>
      <c r="M826" s="2200">
        <f ca="1">HYPERLINK("#'"&amp;$G$1&amp;"'!"&amp;ADDRESS(ROW(TB!M754),COLUMN(TB!M754),4),M754)</f>
        <v>54079648.780000001</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-281457.98</v>
      </c>
      <c r="G829" s="737"/>
      <c r="H829" s="737"/>
      <c r="I829" s="2199">
        <f ca="1">HYPERLINK("#'"&amp;$G$1&amp;"'!"&amp;ADDRESS(ROW(TB!I711),COLUMN(TB!I711),4),I711)</f>
        <v>-281457.98</v>
      </c>
      <c r="J829" s="2204">
        <f ca="1">HYPERLINK("#'"&amp;$G$1&amp;"'!"&amp;ADDRESS(ROW(TB!J711),COLUMN(TB!J711),4),J711)</f>
        <v>-373677.21</v>
      </c>
      <c r="K829" s="737"/>
      <c r="L829" s="737"/>
      <c r="M829" s="2200">
        <f ca="1">HYPERLINK("#'"&amp;$G$1&amp;"'!"&amp;ADDRESS(ROW(TB!M711),COLUMN(TB!M711),4),M711)</f>
        <v>-373677.21</v>
      </c>
    </row>
    <row r="830" spans="1:13" ht="18">
      <c r="A830" s="1650" t="s">
        <v>2565</v>
      </c>
      <c r="D830" s="932" t="s">
        <v>578</v>
      </c>
      <c r="E830" s="941" t="str">
        <f>E764</f>
        <v>现金及现金等价物净增加额</v>
      </c>
      <c r="F830" s="2204">
        <f ca="1">HYPERLINK("#'"&amp;$G$1&amp;"'!"&amp;ADDRESS(ROW(TB!F764),COLUMN(TB!F764),4),F764)</f>
        <v>-281457.98</v>
      </c>
      <c r="G830" s="737"/>
      <c r="H830" s="737"/>
      <c r="I830" s="2202">
        <f ca="1">HYPERLINK("#'"&amp;$G$1&amp;"'!"&amp;ADDRESS(ROW(TB!I764),COLUMN(TB!I764),4),I764)</f>
        <v>-281457.98</v>
      </c>
      <c r="J830" s="2204">
        <f ca="1">HYPERLINK("#'"&amp;$G$1&amp;"'!"&amp;ADDRESS(ROW(TB!J764),COLUMN(TB!J764),4),J764)</f>
        <v>-373677.21</v>
      </c>
      <c r="K830" s="737"/>
      <c r="L830" s="737"/>
      <c r="M830" s="2200">
        <f ca="1">HYPERLINK("#'"&amp;$G$1&amp;"'!"&amp;ADDRESS(ROW(TB!M764),COLUMN(TB!M764),4),M764)</f>
        <v>-373677.21</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0</v>
      </c>
      <c r="G833" s="737"/>
      <c r="H833" s="737"/>
      <c r="I833" s="2199">
        <f ca="1">HYPERLINK("#'"&amp;$G$1&amp;"'!"&amp;ADDRESS(ROW(TB!I111),COLUMN(TB!I111),4),I111)</f>
        <v>0</v>
      </c>
      <c r="J833" s="2204">
        <f ca="1">HYPERLINK("#'"&amp;$G$1&amp;"'!"&amp;ADDRESS(ROW(TB!J111),COLUMN(TB!J111),4),J111)</f>
        <v>100000000</v>
      </c>
      <c r="K833" s="737"/>
      <c r="L833" s="737"/>
      <c r="M833" s="2200">
        <f ca="1">HYPERLINK("#'"&amp;$G$1&amp;"'!"&amp;ADDRESS(ROW(TB!M111),COLUMN(TB!M111),4),M111)</f>
        <v>100000000</v>
      </c>
    </row>
    <row r="834" spans="1:13" ht="18">
      <c r="A834" s="1650" t="s">
        <v>2565</v>
      </c>
      <c r="D834" s="932" t="s">
        <v>442</v>
      </c>
      <c r="E834" s="941" t="str">
        <f>E267</f>
        <v>实收资本_本期期末余额</v>
      </c>
      <c r="F834" s="2204">
        <f ca="1">HYPERLINK("#'"&amp;$G$1&amp;"'!"&amp;ADDRESS(ROW(TB!F267),COLUMN(TB!F267),4),F267)</f>
        <v>0</v>
      </c>
      <c r="G834" s="737"/>
      <c r="H834" s="737"/>
      <c r="I834" s="2202">
        <f ca="1">HYPERLINK("#'"&amp;$G$1&amp;"'!"&amp;ADDRESS(ROW(TB!I267),COLUMN(TB!I267),4),I267)</f>
        <v>0</v>
      </c>
      <c r="J834" s="2204">
        <f ca="1">HYPERLINK("#'"&amp;$G$1&amp;"'!"&amp;ADDRESS(ROW(TB!J267),COLUMN(TB!J267),4),J267)</f>
        <v>100000000</v>
      </c>
      <c r="K834" s="737"/>
      <c r="L834" s="737"/>
      <c r="M834" s="2200">
        <f ca="1">HYPERLINK("#'"&amp;$G$1&amp;"'!"&amp;ADDRESS(ROW(TB!M267),COLUMN(TB!M267),4),M267)</f>
        <v>100000000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0</v>
      </c>
      <c r="G845" s="737"/>
      <c r="H845" s="737"/>
      <c r="I845" s="2199">
        <f ca="1">HYPERLINK("#'"&amp;$G$1&amp;"'!"&amp;ADDRESS(ROW(TB!I115),COLUMN(TB!I115),4),I115)</f>
        <v>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0</v>
      </c>
      <c r="G846" s="737"/>
      <c r="H846" s="737"/>
      <c r="I846" s="2202">
        <f ca="1">HYPERLINK("#'"&amp;$G$1&amp;"'!"&amp;ADDRESS(ROW(TB!I393),COLUMN(TB!I393),4),I393)</f>
        <v>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0</v>
      </c>
      <c r="G861" s="737"/>
      <c r="H861" s="737"/>
      <c r="I861" s="2199">
        <f ca="1">HYPERLINK("#'"&amp;$G$1&amp;"'!"&amp;ADDRESS(ROW(TB!I119),COLUMN(TB!I119),4),I119)</f>
        <v>0</v>
      </c>
      <c r="J861" s="2204">
        <f ca="1">HYPERLINK("#'"&amp;$G$1&amp;"'!"&amp;ADDRESS(ROW(TB!J119),COLUMN(TB!J119),4),J119)</f>
        <v>0</v>
      </c>
      <c r="K861" s="737"/>
      <c r="L861" s="737"/>
      <c r="M861" s="2200">
        <f ca="1">HYPERLINK("#'"&amp;$G$1&amp;"'!"&amp;ADDRESS(ROW(TB!M119),COLUMN(TB!M119),4),M119)</f>
        <v>0</v>
      </c>
    </row>
    <row r="862" spans="1:13" ht="18">
      <c r="A862" s="1650" t="s">
        <v>2565</v>
      </c>
      <c r="D862" s="932" t="s">
        <v>442</v>
      </c>
      <c r="E862" s="941" t="str">
        <f>E523</f>
        <v>盈余公积_本期期末余额</v>
      </c>
      <c r="F862" s="2204">
        <f ca="1">HYPERLINK("#'"&amp;$G$1&amp;"'!"&amp;ADDRESS(ROW(TB!F523),COLUMN(TB!F523),4),F523)</f>
        <v>0</v>
      </c>
      <c r="G862" s="737"/>
      <c r="H862" s="737"/>
      <c r="I862" s="2202">
        <f ca="1">HYPERLINK("#'"&amp;$G$1&amp;"'!"&amp;ADDRESS(ROW(TB!I523),COLUMN(TB!I523),4),I523)</f>
        <v>0</v>
      </c>
      <c r="J862" s="2204">
        <f ca="1">HYPERLINK("#'"&amp;$G$1&amp;"'!"&amp;ADDRESS(ROW(TB!J523),COLUMN(TB!J523),4),J523)</f>
        <v>0</v>
      </c>
      <c r="K862" s="737"/>
      <c r="L862" s="737"/>
      <c r="M862" s="2200">
        <f ca="1">HYPERLINK("#'"&amp;$G$1&amp;"'!"&amp;ADDRESS(ROW(TB!M523),COLUMN(TB!M523),4),M523)</f>
        <v>0</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-25297789.149999999</v>
      </c>
      <c r="G869" s="737"/>
      <c r="H869" s="737"/>
      <c r="I869" s="2199">
        <f ca="1">HYPERLINK("#'"&amp;$G$1&amp;"'!"&amp;ADDRESS(ROW(TB!I121),COLUMN(TB!I121),4),I121)</f>
        <v>-25297789.149999999</v>
      </c>
      <c r="J869" s="2204">
        <f ca="1">HYPERLINK("#'"&amp;$G$1&amp;"'!"&amp;ADDRESS(ROW(TB!J121),COLUMN(TB!J121),4),J121)</f>
        <v>-47230884.140000001</v>
      </c>
      <c r="K869" s="737"/>
      <c r="L869" s="737"/>
      <c r="M869" s="2200">
        <f ca="1">HYPERLINK("#'"&amp;$G$1&amp;"'!"&amp;ADDRESS(ROW(TB!M121),COLUMN(TB!M121),4),M121)</f>
        <v>-47230884.140000001</v>
      </c>
    </row>
    <row r="870" spans="1:13" ht="18">
      <c r="A870" s="1650" t="s">
        <v>2565</v>
      </c>
      <c r="D870" s="932" t="s">
        <v>442</v>
      </c>
      <c r="E870" s="941" t="str">
        <f>E589</f>
        <v>未分配利润_本期期末余额</v>
      </c>
      <c r="F870" s="2204">
        <f ca="1">HYPERLINK("#'"&amp;$G$1&amp;"'!"&amp;ADDRESS(ROW(TB!F589),COLUMN(TB!F589),4),F589)</f>
        <v>-25297789.149999999</v>
      </c>
      <c r="G870" s="737"/>
      <c r="H870" s="737"/>
      <c r="I870" s="2202">
        <f ca="1">HYPERLINK("#'"&amp;$G$1&amp;"'!"&amp;ADDRESS(ROW(TB!I589),COLUMN(TB!I589),4),I589)</f>
        <v>-25297789.149999999</v>
      </c>
      <c r="J870" s="2204">
        <f ca="1">HYPERLINK("#'"&amp;$G$1&amp;"'!"&amp;ADDRESS(ROW(TB!J589),COLUMN(TB!J589),4),J589)</f>
        <v>-47230884.140000001</v>
      </c>
      <c r="K870" s="737"/>
      <c r="L870" s="737"/>
      <c r="M870" s="2200">
        <f ca="1">HYPERLINK("#'"&amp;$G$1&amp;"'!"&amp;ADDRESS(ROW(TB!M589),COLUMN(TB!M589),4),M589)</f>
        <v>-47230884.140000001</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25297789.149999999</v>
      </c>
      <c r="G877" s="960"/>
      <c r="H877" s="960"/>
      <c r="I877" s="961">
        <f ca="1">SUMIF($E$786:$E$876,"差       异",I786:I876)</f>
        <v>25297789.149999999</v>
      </c>
      <c r="J877" s="959">
        <f ca="1">SUMIF($E$786:$E$876,"差       异",J786:J876)</f>
        <v>0</v>
      </c>
      <c r="K877" s="960"/>
      <c r="L877" s="960"/>
      <c r="M877" s="962">
        <f ca="1">SUMIF($E$786:$E$876,"差       异",M786:M876)</f>
        <v>0</v>
      </c>
    </row>
  </sheetData>
  <sheetProtection algorithmName="SHA-512" hashValue="NY1SvGyG+XyItV/sgcKdguorpS95zPD1mZAaciJ99l/Nt7jTdaR0WKziMsXQuouX1uU6ChOjre2KRDHzvIApiQ==" saltValue="JbOSQZKyq7GP9PMH/OWjJQ==" spinCount="100000" sheet="1" scenarios="1" formatCells="0" autoFilter="0"/>
  <phoneticPr fontId="163" type="noConversion"/>
  <conditionalFormatting sqref="E9:E10">
    <cfRule type="expression" dxfId="3909" priority="93" stopIfTrue="1">
      <formula>$A9="："</formula>
    </cfRule>
    <cfRule type="expression" dxfId="3908"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07"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3906" priority="3" stopIfTrue="1" operator="notEqual">
      <formula>0</formula>
    </cfRule>
  </conditionalFormatting>
  <conditionalFormatting sqref="F798 M798 I798:J798">
    <cfRule type="cellIs" dxfId="3905" priority="2" stopIfTrue="1" operator="notEqual">
      <formula>0</formula>
    </cfRule>
  </conditionalFormatting>
  <conditionalFormatting sqref="F798 M798 I798:J798">
    <cfRule type="cellIs" dxfId="3904"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192"/>
  <sheetViews>
    <sheetView topLeftCell="A4" workbookViewId="0">
      <selection activeCell="I9" sqref="I9:P12"/>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t="e">
        <f>LARGE(I8:I40,1)</f>
        <v>#NUM!</v>
      </c>
      <c r="G4" s="2750"/>
      <c r="H4" s="645"/>
      <c r="I4" s="661" t="s">
        <v>2520</v>
      </c>
      <c r="J4" s="662" t="str">
        <f>Lead!$C$5</f>
        <v>华软金信科技（北京）有限公司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43861</v>
      </c>
      <c r="P5" s="675" t="s">
        <v>6590</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38" si="0">IF($K9="","","J"&amp;$C9)</f>
        <v/>
      </c>
      <c r="C9" s="2749" t="str">
        <f t="shared" ref="C9:C38" si="1">IF($K9="","",VLOOKUP($K9,Sheet_Items2,7,0))</f>
        <v/>
      </c>
      <c r="D9" s="2749" t="str">
        <f t="shared" ref="D9:D38" si="2">IF($O9&amp;$P9&lt;&gt;"",cellAbove,INDEX($J:$J,ROW()))&amp;""</f>
        <v/>
      </c>
      <c r="E9" s="2749" t="str">
        <f t="shared" ref="E9:E38" si="3">IF($O9&amp;$P9&lt;&gt;"",cellAbove,INDEX($I:$I,ROW()))&amp;""</f>
        <v/>
      </c>
      <c r="F9" s="2749" t="e">
        <f t="shared" ref="F9:F38" si="4">VALUE(IF(E9="",E8&amp;"."&amp;TEXT((ROW()-8),"000"),E9&amp;"."&amp;TEXT((ROW()-8),"000")))</f>
        <v>#VALUE!</v>
      </c>
      <c r="G9" s="2759" t="str">
        <f t="shared" ref="G9:G38" si="5">IF(TRIM($J9&amp;$K9&amp;$O9&amp;$P9)="","","本期")</f>
        <v/>
      </c>
      <c r="H9" s="649"/>
      <c r="I9" s="687"/>
      <c r="J9" s="688"/>
      <c r="K9" s="689"/>
      <c r="L9" s="689"/>
      <c r="M9" s="689"/>
      <c r="N9" s="689"/>
      <c r="O9" s="211"/>
      <c r="P9" s="690"/>
      <c r="Q9" s="731" t="str">
        <f t="shared" ref="Q9:Q38" si="6">IF(ISERROR(VLOOKUP(VALUE(MID($C9,1,4)),Sheet_Items,5,0)),"",VLOOKUP(VALUE(MID($C9,1,4)),Sheet_Items,5,0))</f>
        <v/>
      </c>
      <c r="R9" s="732" t="str">
        <f t="shared" ref="R9:R38" si="7">LEFT(C9,1)</f>
        <v/>
      </c>
      <c r="S9" s="733"/>
      <c r="T9" s="732"/>
      <c r="U9" s="732"/>
      <c r="V9" s="732"/>
      <c r="W9" s="734"/>
      <c r="X9" s="732"/>
      <c r="Y9" s="732"/>
      <c r="Z9" s="732"/>
      <c r="AA9" s="2772"/>
      <c r="AB9" s="2772"/>
      <c r="AC9" s="2773">
        <f t="shared" ref="AC9:AC38" si="8">IF(O9&gt;0,O9,IF(P9&lt;0,-P9,0))</f>
        <v>0</v>
      </c>
      <c r="AD9" s="2773">
        <f t="shared" ref="AD9:AD38" si="9">IF(P9&gt;0,P9,IF(O9&lt;0,-O9,0))</f>
        <v>0</v>
      </c>
      <c r="AE9" s="847" t="str">
        <f t="shared" ref="AE9:AE38" si="10">IF(COUNTBLANK(I9:Q9)=COLUMNS(I9:Q9),"",IF(H9="","请选择分录类型！",IF(AND(I9="",J9="",K9=""),"请输入...",IF(AND(J9&lt;&gt;"",J9&lt;&gt;"借",J9&lt;&gt;"贷",K9&lt;&gt;""),"请在下一行输入报表项目！",IF(AND(K9&lt;&gt;"",O9="",P9=""),"请输入金额！",IF(AND(K9="",L9&amp;M9&amp;O9&amp;P9&lt;&gt;""),"请输入报表项目！",IF(AND(O9&lt;&gt;"",P9&lt;&gt;""),"借贷通吃？","")))))))</f>
        <v/>
      </c>
      <c r="AF9" s="641"/>
    </row>
    <row r="10" spans="1:32" ht="18">
      <c r="A10" s="2752"/>
      <c r="B10" s="2779" t="str">
        <f t="shared" si="0"/>
        <v/>
      </c>
      <c r="C10" s="2749" t="str">
        <f t="shared" si="1"/>
        <v/>
      </c>
      <c r="D10" s="2749" t="str">
        <f t="shared" si="2"/>
        <v/>
      </c>
      <c r="E10" s="2749" t="str">
        <f t="shared" si="3"/>
        <v/>
      </c>
      <c r="F10" s="2749">
        <f t="shared" si="4"/>
        <v>2E-3</v>
      </c>
      <c r="G10" s="2759" t="str">
        <f t="shared" si="5"/>
        <v/>
      </c>
      <c r="H10" s="650"/>
      <c r="I10" s="691"/>
      <c r="J10" s="692"/>
      <c r="K10" s="689"/>
      <c r="L10" s="693"/>
      <c r="M10" s="693"/>
      <c r="N10" s="693"/>
      <c r="O10" s="193"/>
      <c r="P10" s="215"/>
      <c r="Q10" s="735" t="str">
        <f t="shared" si="6"/>
        <v/>
      </c>
      <c r="R10" s="732" t="str">
        <f t="shared" si="7"/>
        <v/>
      </c>
      <c r="S10" s="732"/>
      <c r="T10" s="732"/>
      <c r="U10" s="732"/>
      <c r="V10" s="732"/>
      <c r="W10" s="734">
        <v>1340674.3799999999</v>
      </c>
      <c r="X10" s="732"/>
      <c r="Y10" s="732"/>
      <c r="Z10" s="732"/>
      <c r="AA10" s="2772"/>
      <c r="AB10" s="2772"/>
      <c r="AC10" s="2773">
        <f t="shared" si="8"/>
        <v>0</v>
      </c>
      <c r="AD10" s="2773">
        <f t="shared" si="9"/>
        <v>0</v>
      </c>
      <c r="AE10" s="847" t="str">
        <f t="shared" si="10"/>
        <v/>
      </c>
      <c r="AF10" s="641"/>
    </row>
    <row r="11" spans="1:32" ht="18">
      <c r="A11" s="2752"/>
      <c r="B11" s="2779" t="str">
        <f t="shared" si="0"/>
        <v/>
      </c>
      <c r="C11" s="2749" t="str">
        <f t="shared" si="1"/>
        <v/>
      </c>
      <c r="D11" s="2749" t="str">
        <f t="shared" si="2"/>
        <v/>
      </c>
      <c r="E11" s="2749" t="str">
        <f t="shared" si="3"/>
        <v/>
      </c>
      <c r="F11" s="2749">
        <f t="shared" si="4"/>
        <v>3.0000000000000001E-3</v>
      </c>
      <c r="G11" s="2759" t="str">
        <f t="shared" si="5"/>
        <v/>
      </c>
      <c r="H11" s="650"/>
      <c r="I11" s="691"/>
      <c r="J11" s="692"/>
      <c r="K11" s="689"/>
      <c r="L11" s="693"/>
      <c r="M11" s="693"/>
      <c r="N11" s="693"/>
      <c r="O11" s="193"/>
      <c r="P11" s="215"/>
      <c r="Q11" s="735" t="str">
        <f t="shared" si="6"/>
        <v/>
      </c>
      <c r="R11" s="732" t="str">
        <f t="shared" si="7"/>
        <v/>
      </c>
      <c r="S11" s="732"/>
      <c r="T11" s="732"/>
      <c r="U11" s="732"/>
      <c r="V11" s="732"/>
      <c r="W11" s="734"/>
      <c r="X11" s="732"/>
      <c r="Y11" s="732"/>
      <c r="Z11" s="732"/>
      <c r="AA11" s="2772"/>
      <c r="AB11" s="2772"/>
      <c r="AC11" s="2773">
        <f t="shared" si="8"/>
        <v>0</v>
      </c>
      <c r="AD11" s="2773">
        <f t="shared" si="9"/>
        <v>0</v>
      </c>
      <c r="AE11" s="847" t="str">
        <f t="shared" si="10"/>
        <v/>
      </c>
      <c r="AF11" s="641"/>
    </row>
    <row r="12" spans="1:32" ht="18">
      <c r="A12" s="2752"/>
      <c r="B12" s="2779" t="str">
        <f t="shared" si="0"/>
        <v/>
      </c>
      <c r="C12" s="2749" t="str">
        <f t="shared" si="1"/>
        <v/>
      </c>
      <c r="D12" s="2749" t="str">
        <f t="shared" si="2"/>
        <v/>
      </c>
      <c r="E12" s="2749" t="str">
        <f t="shared" si="3"/>
        <v/>
      </c>
      <c r="F12" s="2749">
        <f t="shared" si="4"/>
        <v>4.0000000000000001E-3</v>
      </c>
      <c r="G12" s="2759" t="str">
        <f t="shared" si="5"/>
        <v/>
      </c>
      <c r="H12" s="650"/>
      <c r="I12" s="691"/>
      <c r="J12" s="692"/>
      <c r="K12" s="689"/>
      <c r="L12" s="693"/>
      <c r="M12" s="693"/>
      <c r="N12" s="693"/>
      <c r="O12" s="193"/>
      <c r="P12" s="215"/>
      <c r="Q12" s="735" t="str">
        <f t="shared" si="6"/>
        <v/>
      </c>
      <c r="R12" s="732" t="str">
        <f t="shared" si="7"/>
        <v/>
      </c>
      <c r="S12" s="732"/>
      <c r="T12" s="732"/>
      <c r="U12" s="732"/>
      <c r="V12" s="732"/>
      <c r="W12" s="734"/>
      <c r="X12" s="732"/>
      <c r="Y12" s="732"/>
      <c r="Z12" s="732"/>
      <c r="AA12" s="2772"/>
      <c r="AB12" s="2772"/>
      <c r="AC12" s="2773">
        <f t="shared" si="8"/>
        <v>0</v>
      </c>
      <c r="AD12" s="2773">
        <f t="shared" si="9"/>
        <v>0</v>
      </c>
      <c r="AE12" s="847" t="str">
        <f t="shared" si="10"/>
        <v/>
      </c>
      <c r="AF12" s="641"/>
    </row>
    <row r="13" spans="1:32" ht="18">
      <c r="A13" s="2752"/>
      <c r="B13" s="2779" t="str">
        <f t="shared" si="0"/>
        <v/>
      </c>
      <c r="C13" s="2749" t="str">
        <f t="shared" si="1"/>
        <v/>
      </c>
      <c r="D13" s="2749" t="str">
        <f t="shared" si="2"/>
        <v/>
      </c>
      <c r="E13" s="2749" t="str">
        <f t="shared" si="3"/>
        <v/>
      </c>
      <c r="F13" s="2749">
        <f t="shared" si="4"/>
        <v>5.0000000000000001E-3</v>
      </c>
      <c r="G13" s="2759" t="str">
        <f t="shared" si="5"/>
        <v/>
      </c>
      <c r="H13" s="650"/>
      <c r="I13" s="691"/>
      <c r="J13" s="692"/>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
      </c>
      <c r="E14" s="2749" t="str">
        <f t="shared" si="3"/>
        <v/>
      </c>
      <c r="F14" s="2749">
        <f t="shared" si="4"/>
        <v>6.0000000000000001E-3</v>
      </c>
      <c r="G14" s="2759" t="str">
        <f t="shared" si="5"/>
        <v/>
      </c>
      <c r="H14" s="650"/>
      <c r="I14" s="691"/>
      <c r="J14" s="692"/>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
      </c>
      <c r="AF14" s="641"/>
    </row>
    <row r="15" spans="1:32" ht="18">
      <c r="A15" s="2752"/>
      <c r="B15" s="2779" t="str">
        <f t="shared" si="0"/>
        <v/>
      </c>
      <c r="C15" s="2749" t="str">
        <f t="shared" si="1"/>
        <v/>
      </c>
      <c r="D15" s="2749" t="str">
        <f t="shared" si="2"/>
        <v/>
      </c>
      <c r="E15" s="2749" t="str">
        <f t="shared" si="3"/>
        <v/>
      </c>
      <c r="F15" s="2749">
        <f t="shared" si="4"/>
        <v>7.0000000000000001E-3</v>
      </c>
      <c r="G15" s="2759" t="str">
        <f t="shared" si="5"/>
        <v/>
      </c>
      <c r="H15" s="650"/>
      <c r="I15" s="691"/>
      <c r="J15" s="692"/>
      <c r="K15" s="689"/>
      <c r="L15" s="693"/>
      <c r="M15" s="693"/>
      <c r="N15" s="693"/>
      <c r="O15" s="193"/>
      <c r="P15" s="215"/>
      <c r="Q15" s="735" t="str">
        <f t="shared" si="6"/>
        <v/>
      </c>
      <c r="R15" s="732" t="str">
        <f t="shared" si="7"/>
        <v/>
      </c>
      <c r="S15" s="732"/>
      <c r="T15" s="732"/>
      <c r="U15" s="732"/>
      <c r="V15" s="732"/>
      <c r="W15" s="734"/>
      <c r="X15" s="732"/>
      <c r="Y15" s="732"/>
      <c r="Z15" s="732"/>
      <c r="AA15" s="2772"/>
      <c r="AB15" s="2772"/>
      <c r="AC15" s="2773">
        <f t="shared" si="8"/>
        <v>0</v>
      </c>
      <c r="AD15" s="2773">
        <f t="shared" si="9"/>
        <v>0</v>
      </c>
      <c r="AE15" s="847" t="str">
        <f t="shared" si="10"/>
        <v/>
      </c>
      <c r="AF15" s="641"/>
    </row>
    <row r="16" spans="1:32" ht="18">
      <c r="A16" s="2752"/>
      <c r="B16" s="2779" t="str">
        <f t="shared" si="0"/>
        <v/>
      </c>
      <c r="C16" s="2749" t="str">
        <f t="shared" si="1"/>
        <v/>
      </c>
      <c r="D16" s="2749" t="str">
        <f t="shared" si="2"/>
        <v/>
      </c>
      <c r="E16" s="2749" t="str">
        <f t="shared" si="3"/>
        <v/>
      </c>
      <c r="F16" s="2749">
        <f t="shared" si="4"/>
        <v>8.0000000000000002E-3</v>
      </c>
      <c r="G16" s="2759" t="str">
        <f t="shared" si="5"/>
        <v/>
      </c>
      <c r="H16" s="650"/>
      <c r="I16" s="691"/>
      <c r="J16" s="692" t="str">
        <f t="shared" ref="J16:J38" si="11">IF($O16&lt;&gt;"","借",IF($P16&lt;&gt;"","贷",""))</f>
        <v/>
      </c>
      <c r="K16" s="689"/>
      <c r="L16" s="693"/>
      <c r="M16" s="693"/>
      <c r="N16" s="693"/>
      <c r="O16" s="193"/>
      <c r="P16" s="215"/>
      <c r="Q16" s="735" t="str">
        <f t="shared" si="6"/>
        <v/>
      </c>
      <c r="R16" s="732" t="str">
        <f t="shared" si="7"/>
        <v/>
      </c>
      <c r="S16" s="732"/>
      <c r="T16" s="732"/>
      <c r="U16" s="732"/>
      <c r="V16" s="732"/>
      <c r="W16" s="734"/>
      <c r="X16" s="732"/>
      <c r="Y16" s="732"/>
      <c r="Z16" s="732"/>
      <c r="AA16" s="2772"/>
      <c r="AB16" s="2772"/>
      <c r="AC16" s="2773">
        <f t="shared" si="8"/>
        <v>0</v>
      </c>
      <c r="AD16" s="2773">
        <f t="shared" si="9"/>
        <v>0</v>
      </c>
      <c r="AE16" s="847" t="str">
        <f t="shared" si="10"/>
        <v/>
      </c>
      <c r="AF16" s="641"/>
    </row>
    <row r="17" spans="1:32" ht="18">
      <c r="A17" s="2752"/>
      <c r="B17" s="2779" t="str">
        <f t="shared" si="0"/>
        <v/>
      </c>
      <c r="C17" s="2749" t="str">
        <f t="shared" si="1"/>
        <v/>
      </c>
      <c r="D17" s="2749" t="str">
        <f t="shared" si="2"/>
        <v/>
      </c>
      <c r="E17" s="2749" t="str">
        <f t="shared" si="3"/>
        <v/>
      </c>
      <c r="F17" s="2749">
        <f t="shared" si="4"/>
        <v>8.9999999999999993E-3</v>
      </c>
      <c r="G17" s="2759" t="str">
        <f t="shared" si="5"/>
        <v/>
      </c>
      <c r="H17" s="650"/>
      <c r="I17" s="691"/>
      <c r="J17" s="692"/>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
      </c>
      <c r="E18" s="2749" t="str">
        <f t="shared" si="3"/>
        <v/>
      </c>
      <c r="F18" s="2749">
        <f t="shared" si="4"/>
        <v>0.01</v>
      </c>
      <c r="G18" s="2759" t="str">
        <f t="shared" si="5"/>
        <v/>
      </c>
      <c r="H18" s="650"/>
      <c r="I18" s="691"/>
      <c r="J18" s="692"/>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
      </c>
      <c r="AF18" s="641"/>
    </row>
    <row r="19" spans="1:32" ht="18">
      <c r="A19" s="2752"/>
      <c r="B19" s="2779" t="str">
        <f t="shared" si="0"/>
        <v/>
      </c>
      <c r="C19" s="2749" t="str">
        <f t="shared" si="1"/>
        <v/>
      </c>
      <c r="D19" s="2749" t="str">
        <f t="shared" si="2"/>
        <v/>
      </c>
      <c r="E19" s="2749" t="str">
        <f t="shared" si="3"/>
        <v/>
      </c>
      <c r="F19" s="2749">
        <f t="shared" si="4"/>
        <v>1.0999999999999999E-2</v>
      </c>
      <c r="G19" s="2759" t="str">
        <f t="shared" si="5"/>
        <v/>
      </c>
      <c r="H19" s="650"/>
      <c r="I19" s="691"/>
      <c r="J19" s="692"/>
      <c r="K19" s="689"/>
      <c r="L19" s="693"/>
      <c r="M19" s="693"/>
      <c r="N19" s="693"/>
      <c r="O19" s="193"/>
      <c r="P19" s="215"/>
      <c r="Q19" s="735" t="str">
        <f t="shared" si="6"/>
        <v/>
      </c>
      <c r="R19" s="732" t="str">
        <f t="shared" si="7"/>
        <v/>
      </c>
      <c r="S19" s="732"/>
      <c r="T19" s="732"/>
      <c r="U19" s="732"/>
      <c r="V19" s="732"/>
      <c r="W19" s="734"/>
      <c r="X19" s="732"/>
      <c r="Y19" s="732"/>
      <c r="Z19" s="732"/>
      <c r="AA19" s="2772"/>
      <c r="AB19" s="2772"/>
      <c r="AC19" s="2773">
        <f t="shared" si="8"/>
        <v>0</v>
      </c>
      <c r="AD19" s="2773">
        <f t="shared" si="9"/>
        <v>0</v>
      </c>
      <c r="AE19" s="847" t="str">
        <f t="shared" si="10"/>
        <v/>
      </c>
      <c r="AF19" s="641"/>
    </row>
    <row r="20" spans="1:32" ht="18">
      <c r="A20" s="2752"/>
      <c r="B20" s="2779" t="str">
        <f t="shared" si="0"/>
        <v/>
      </c>
      <c r="C20" s="2749" t="str">
        <f t="shared" si="1"/>
        <v/>
      </c>
      <c r="D20" s="2749" t="str">
        <f t="shared" si="2"/>
        <v/>
      </c>
      <c r="E20" s="2749" t="str">
        <f t="shared" si="3"/>
        <v/>
      </c>
      <c r="F20" s="2749">
        <f t="shared" si="4"/>
        <v>1.2E-2</v>
      </c>
      <c r="G20" s="2759" t="str">
        <f t="shared" si="5"/>
        <v/>
      </c>
      <c r="H20" s="650"/>
      <c r="I20" s="691"/>
      <c r="J20" s="692"/>
      <c r="K20" s="689"/>
      <c r="L20" s="693"/>
      <c r="M20" s="693"/>
      <c r="N20" s="693"/>
      <c r="O20" s="193"/>
      <c r="P20" s="215"/>
      <c r="Q20" s="735" t="str">
        <f t="shared" si="6"/>
        <v/>
      </c>
      <c r="R20" s="732" t="str">
        <f t="shared" si="7"/>
        <v/>
      </c>
      <c r="S20" s="732"/>
      <c r="T20" s="732"/>
      <c r="U20" s="732"/>
      <c r="V20" s="732"/>
      <c r="W20" s="734"/>
      <c r="X20" s="732"/>
      <c r="Y20" s="732"/>
      <c r="Z20" s="732"/>
      <c r="AA20" s="2772"/>
      <c r="AB20" s="2772"/>
      <c r="AC20" s="2773">
        <f t="shared" si="8"/>
        <v>0</v>
      </c>
      <c r="AD20" s="2773">
        <f t="shared" si="9"/>
        <v>0</v>
      </c>
      <c r="AE20" s="847" t="str">
        <f t="shared" si="10"/>
        <v/>
      </c>
      <c r="AF20" s="641"/>
    </row>
    <row r="21" spans="1:32" ht="18">
      <c r="A21" s="2752"/>
      <c r="B21" s="2779" t="str">
        <f t="shared" si="0"/>
        <v/>
      </c>
      <c r="C21" s="2749" t="str">
        <f t="shared" si="1"/>
        <v/>
      </c>
      <c r="D21" s="2749" t="str">
        <f t="shared" si="2"/>
        <v/>
      </c>
      <c r="E21" s="2749" t="str">
        <f t="shared" si="3"/>
        <v/>
      </c>
      <c r="F21" s="2749">
        <f t="shared" si="4"/>
        <v>1.2999999999999999E-2</v>
      </c>
      <c r="G21" s="2759" t="str">
        <f t="shared" si="5"/>
        <v/>
      </c>
      <c r="H21" s="650"/>
      <c r="I21" s="691"/>
      <c r="J21" s="692"/>
      <c r="K21" s="689"/>
      <c r="L21" s="693"/>
      <c r="M21" s="693"/>
      <c r="N21" s="693"/>
      <c r="O21" s="193"/>
      <c r="P21" s="215"/>
      <c r="Q21" s="735" t="str">
        <f t="shared" si="6"/>
        <v/>
      </c>
      <c r="R21" s="732" t="str">
        <f t="shared" si="7"/>
        <v/>
      </c>
      <c r="S21" s="732"/>
      <c r="T21" s="732"/>
      <c r="U21" s="732"/>
      <c r="V21" s="732"/>
      <c r="W21" s="734"/>
      <c r="X21" s="732"/>
      <c r="Y21" s="732"/>
      <c r="Z21" s="732"/>
      <c r="AA21" s="2772"/>
      <c r="AB21" s="2772"/>
      <c r="AC21" s="2773">
        <f t="shared" si="8"/>
        <v>0</v>
      </c>
      <c r="AD21" s="2773">
        <f t="shared" si="9"/>
        <v>0</v>
      </c>
      <c r="AE21" s="847" t="str">
        <f t="shared" si="10"/>
        <v/>
      </c>
      <c r="AF21" s="641"/>
    </row>
    <row r="22" spans="1:32" ht="18">
      <c r="A22" s="2752"/>
      <c r="B22" s="2779" t="str">
        <f t="shared" si="0"/>
        <v/>
      </c>
      <c r="C22" s="2749" t="str">
        <f t="shared" si="1"/>
        <v/>
      </c>
      <c r="D22" s="2749" t="str">
        <f t="shared" si="2"/>
        <v/>
      </c>
      <c r="E22" s="2749" t="str">
        <f t="shared" si="3"/>
        <v/>
      </c>
      <c r="F22" s="2749">
        <f t="shared" si="4"/>
        <v>1.4E-2</v>
      </c>
      <c r="G22" s="2759" t="str">
        <f t="shared" si="5"/>
        <v/>
      </c>
      <c r="H22" s="650"/>
      <c r="I22" s="691"/>
      <c r="J22" s="692"/>
      <c r="K22" s="689"/>
      <c r="L22" s="693"/>
      <c r="M22" s="693"/>
      <c r="N22" s="693"/>
      <c r="O22" s="193"/>
      <c r="P22" s="215"/>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
      </c>
      <c r="E23" s="2749" t="str">
        <f t="shared" si="3"/>
        <v/>
      </c>
      <c r="F23" s="2749">
        <f t="shared" si="4"/>
        <v>1.4999999999999999E-2</v>
      </c>
      <c r="G23" s="2759" t="str">
        <f t="shared" si="5"/>
        <v/>
      </c>
      <c r="H23" s="650"/>
      <c r="I23" s="691"/>
      <c r="J23" s="692"/>
      <c r="K23" s="689"/>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
      </c>
      <c r="AF23" s="641"/>
    </row>
    <row r="24" spans="1:32" ht="18">
      <c r="A24" s="2752"/>
      <c r="B24" s="2779" t="str">
        <f t="shared" si="0"/>
        <v/>
      </c>
      <c r="C24" s="2749" t="str">
        <f t="shared" si="1"/>
        <v/>
      </c>
      <c r="D24" s="2749" t="str">
        <f t="shared" si="2"/>
        <v/>
      </c>
      <c r="E24" s="2749" t="str">
        <f t="shared" si="3"/>
        <v/>
      </c>
      <c r="F24" s="2749">
        <f t="shared" si="4"/>
        <v>1.6E-2</v>
      </c>
      <c r="G24" s="2759" t="str">
        <f t="shared" si="5"/>
        <v/>
      </c>
      <c r="H24" s="650"/>
      <c r="I24" s="691"/>
      <c r="J24" s="692"/>
      <c r="K24" s="689"/>
      <c r="L24" s="693"/>
      <c r="M24" s="693"/>
      <c r="N24" s="693"/>
      <c r="O24" s="193"/>
      <c r="P24" s="215"/>
      <c r="Q24" s="735" t="str">
        <f t="shared" si="6"/>
        <v/>
      </c>
      <c r="R24" s="732" t="str">
        <f t="shared" si="7"/>
        <v/>
      </c>
      <c r="S24" s="732"/>
      <c r="T24" s="732"/>
      <c r="U24" s="732"/>
      <c r="V24" s="732"/>
      <c r="W24" s="734"/>
      <c r="X24" s="732"/>
      <c r="Y24" s="732"/>
      <c r="Z24" s="732"/>
      <c r="AA24" s="2772"/>
      <c r="AB24" s="2772"/>
      <c r="AC24" s="2773">
        <f t="shared" si="8"/>
        <v>0</v>
      </c>
      <c r="AD24" s="2773">
        <f t="shared" si="9"/>
        <v>0</v>
      </c>
      <c r="AE24" s="847" t="str">
        <f t="shared" si="10"/>
        <v/>
      </c>
      <c r="AF24" s="641"/>
    </row>
    <row r="25" spans="1:32" ht="18">
      <c r="A25" s="2752"/>
      <c r="B25" s="2779" t="str">
        <f t="shared" si="0"/>
        <v/>
      </c>
      <c r="C25" s="2749" t="str">
        <f t="shared" si="1"/>
        <v/>
      </c>
      <c r="D25" s="2749" t="str">
        <f t="shared" si="2"/>
        <v/>
      </c>
      <c r="E25" s="2749" t="str">
        <f t="shared" si="3"/>
        <v/>
      </c>
      <c r="F25" s="2749">
        <f t="shared" si="4"/>
        <v>1.7000000000000001E-2</v>
      </c>
      <c r="G25" s="2759" t="str">
        <f t="shared" si="5"/>
        <v/>
      </c>
      <c r="H25" s="650"/>
      <c r="I25" s="691"/>
      <c r="J25" s="692"/>
      <c r="K25" s="689"/>
      <c r="L25" s="693"/>
      <c r="M25" s="693"/>
      <c r="N25" s="693"/>
      <c r="O25" s="193"/>
      <c r="P25" s="215"/>
      <c r="Q25" s="735" t="str">
        <f t="shared" si="6"/>
        <v/>
      </c>
      <c r="R25" s="732" t="str">
        <f t="shared" si="7"/>
        <v/>
      </c>
      <c r="S25" s="732"/>
      <c r="T25" s="732"/>
      <c r="U25" s="732"/>
      <c r="V25" s="732"/>
      <c r="W25" s="734"/>
      <c r="X25" s="732"/>
      <c r="Y25" s="732"/>
      <c r="Z25" s="732"/>
      <c r="AA25" s="2772"/>
      <c r="AB25" s="2772"/>
      <c r="AC25" s="2773">
        <f t="shared" si="8"/>
        <v>0</v>
      </c>
      <c r="AD25" s="2773">
        <f t="shared" si="9"/>
        <v>0</v>
      </c>
      <c r="AE25" s="847" t="str">
        <f t="shared" si="10"/>
        <v/>
      </c>
      <c r="AF25" s="641"/>
    </row>
    <row r="26" spans="1:32" ht="18">
      <c r="A26" s="2752"/>
      <c r="B26" s="2779" t="str">
        <f t="shared" si="0"/>
        <v/>
      </c>
      <c r="C26" s="2749" t="str">
        <f t="shared" si="1"/>
        <v/>
      </c>
      <c r="D26" s="2749" t="str">
        <f t="shared" si="2"/>
        <v/>
      </c>
      <c r="E26" s="2749" t="str">
        <f t="shared" si="3"/>
        <v/>
      </c>
      <c r="F26" s="2749">
        <f t="shared" si="4"/>
        <v>1.7999999999999999E-2</v>
      </c>
      <c r="G26" s="2759" t="str">
        <f t="shared" si="5"/>
        <v/>
      </c>
      <c r="H26" s="650"/>
      <c r="I26" s="691"/>
      <c r="J26" s="692"/>
      <c r="K26" s="689"/>
      <c r="L26" s="693"/>
      <c r="M26" s="693"/>
      <c r="N26" s="693"/>
      <c r="O26" s="193"/>
      <c r="P26" s="215"/>
      <c r="Q26" s="735" t="str">
        <f t="shared" si="6"/>
        <v/>
      </c>
      <c r="R26" s="732" t="str">
        <f t="shared" si="7"/>
        <v/>
      </c>
      <c r="S26" s="732"/>
      <c r="T26" s="732"/>
      <c r="U26" s="732"/>
      <c r="V26" s="732"/>
      <c r="W26" s="734"/>
      <c r="X26" s="732"/>
      <c r="Y26" s="732"/>
      <c r="Z26" s="732"/>
      <c r="AA26" s="2772"/>
      <c r="AB26" s="2772"/>
      <c r="AC26" s="2773">
        <f t="shared" si="8"/>
        <v>0</v>
      </c>
      <c r="AD26" s="2773">
        <f t="shared" si="9"/>
        <v>0</v>
      </c>
      <c r="AE26" s="847" t="str">
        <f t="shared" si="10"/>
        <v/>
      </c>
      <c r="AF26" s="641"/>
    </row>
    <row r="27" spans="1:32" ht="18">
      <c r="A27" s="2752"/>
      <c r="B27" s="2779" t="str">
        <f t="shared" si="0"/>
        <v/>
      </c>
      <c r="C27" s="2749" t="str">
        <f t="shared" si="1"/>
        <v/>
      </c>
      <c r="D27" s="2749" t="str">
        <f t="shared" si="2"/>
        <v/>
      </c>
      <c r="E27" s="2749" t="str">
        <f t="shared" si="3"/>
        <v/>
      </c>
      <c r="F27" s="2749">
        <f t="shared" si="4"/>
        <v>1.9E-2</v>
      </c>
      <c r="G27" s="2759" t="str">
        <f t="shared" si="5"/>
        <v/>
      </c>
      <c r="H27" s="650"/>
      <c r="I27" s="691"/>
      <c r="J27" s="692"/>
      <c r="K27" s="689"/>
      <c r="L27" s="693"/>
      <c r="M27" s="693"/>
      <c r="N27" s="693"/>
      <c r="O27" s="193"/>
      <c r="P27" s="215"/>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
      </c>
      <c r="E28" s="2749" t="str">
        <f t="shared" si="3"/>
        <v/>
      </c>
      <c r="F28" s="2749">
        <f t="shared" si="4"/>
        <v>0.02</v>
      </c>
      <c r="G28" s="2759" t="str">
        <f t="shared" si="5"/>
        <v/>
      </c>
      <c r="H28" s="650"/>
      <c r="I28" s="691"/>
      <c r="J28" s="692"/>
      <c r="K28" s="689"/>
      <c r="L28" s="693"/>
      <c r="M28" s="693"/>
      <c r="N28" s="693"/>
      <c r="O28" s="193"/>
      <c r="P28" s="215"/>
      <c r="Q28" s="735" t="str">
        <f t="shared" si="6"/>
        <v/>
      </c>
      <c r="R28" s="732" t="str">
        <f t="shared" si="7"/>
        <v/>
      </c>
      <c r="S28" s="732"/>
      <c r="T28" s="732"/>
      <c r="U28" s="732"/>
      <c r="V28" s="732"/>
      <c r="W28" s="734"/>
      <c r="X28" s="732"/>
      <c r="Y28" s="732"/>
      <c r="Z28" s="732"/>
      <c r="AA28" s="2772"/>
      <c r="AB28" s="2772"/>
      <c r="AC28" s="2773">
        <f t="shared" si="8"/>
        <v>0</v>
      </c>
      <c r="AD28" s="2773">
        <f t="shared" si="9"/>
        <v>0</v>
      </c>
      <c r="AE28" s="847" t="str">
        <f t="shared" si="10"/>
        <v/>
      </c>
      <c r="AF28" s="641"/>
    </row>
    <row r="29" spans="1:32" ht="18">
      <c r="A29" s="2752"/>
      <c r="B29" s="2779" t="str">
        <f t="shared" si="0"/>
        <v/>
      </c>
      <c r="C29" s="2749" t="str">
        <f t="shared" si="1"/>
        <v/>
      </c>
      <c r="D29" s="2749" t="str">
        <f t="shared" si="2"/>
        <v/>
      </c>
      <c r="E29" s="2749" t="str">
        <f t="shared" si="3"/>
        <v/>
      </c>
      <c r="F29" s="2749">
        <f t="shared" si="4"/>
        <v>2.1000000000000001E-2</v>
      </c>
      <c r="G29" s="2759" t="str">
        <f t="shared" si="5"/>
        <v/>
      </c>
      <c r="H29" s="650"/>
      <c r="I29" s="691"/>
      <c r="J29" s="692"/>
      <c r="K29" s="689"/>
      <c r="L29" s="693"/>
      <c r="M29" s="693"/>
      <c r="N29" s="693"/>
      <c r="O29" s="193"/>
      <c r="P29" s="215"/>
      <c r="Q29" s="735" t="str">
        <f t="shared" si="6"/>
        <v/>
      </c>
      <c r="R29" s="736" t="str">
        <f t="shared" si="7"/>
        <v/>
      </c>
      <c r="S29" s="736"/>
      <c r="T29" s="736"/>
      <c r="U29" s="736"/>
      <c r="V29" s="736"/>
      <c r="W29" s="734"/>
      <c r="X29" s="736"/>
      <c r="Y29" s="732"/>
      <c r="Z29" s="732"/>
      <c r="AA29" s="2772"/>
      <c r="AB29" s="2772"/>
      <c r="AC29" s="2773">
        <f t="shared" si="8"/>
        <v>0</v>
      </c>
      <c r="AD29" s="2773">
        <f t="shared" si="9"/>
        <v>0</v>
      </c>
      <c r="AE29" s="847" t="str">
        <f t="shared" si="10"/>
        <v/>
      </c>
      <c r="AF29" s="641"/>
    </row>
    <row r="30" spans="1:32" ht="18">
      <c r="A30" s="2752"/>
      <c r="B30" s="2779" t="str">
        <f t="shared" si="0"/>
        <v/>
      </c>
      <c r="C30" s="2749" t="str">
        <f t="shared" si="1"/>
        <v/>
      </c>
      <c r="D30" s="2749" t="str">
        <f t="shared" si="2"/>
        <v/>
      </c>
      <c r="E30" s="2749" t="str">
        <f t="shared" si="3"/>
        <v/>
      </c>
      <c r="F30" s="2749">
        <f t="shared" si="4"/>
        <v>2.1999999999999999E-2</v>
      </c>
      <c r="G30" s="2759" t="str">
        <f t="shared" si="5"/>
        <v/>
      </c>
      <c r="H30" s="650"/>
      <c r="I30" s="691"/>
      <c r="J30" s="692"/>
      <c r="K30" s="689"/>
      <c r="L30" s="693"/>
      <c r="M30" s="693"/>
      <c r="N30" s="693"/>
      <c r="O30" s="193"/>
      <c r="P30" s="215"/>
      <c r="Q30" s="735" t="str">
        <f t="shared" si="6"/>
        <v/>
      </c>
      <c r="R30" s="641" t="str">
        <f t="shared" si="7"/>
        <v/>
      </c>
      <c r="T30" s="641"/>
      <c r="U30" s="641"/>
      <c r="V30" s="641"/>
      <c r="W30" s="737"/>
      <c r="X30" s="641"/>
      <c r="Y30" s="732"/>
      <c r="Z30" s="732"/>
      <c r="AA30" s="2772"/>
      <c r="AB30" s="2772"/>
      <c r="AC30" s="2773">
        <f t="shared" si="8"/>
        <v>0</v>
      </c>
      <c r="AD30" s="2773">
        <f t="shared" si="9"/>
        <v>0</v>
      </c>
      <c r="AE30" s="847" t="str">
        <f t="shared" si="10"/>
        <v/>
      </c>
      <c r="AF30" s="641"/>
    </row>
    <row r="31" spans="1:32" ht="18">
      <c r="A31" s="2752"/>
      <c r="B31" s="2779" t="str">
        <f t="shared" si="0"/>
        <v/>
      </c>
      <c r="C31" s="2749" t="str">
        <f t="shared" si="1"/>
        <v/>
      </c>
      <c r="D31" s="2749" t="str">
        <f t="shared" si="2"/>
        <v/>
      </c>
      <c r="E31" s="2749" t="str">
        <f t="shared" si="3"/>
        <v/>
      </c>
      <c r="F31" s="2749">
        <f t="shared" si="4"/>
        <v>2.3E-2</v>
      </c>
      <c r="G31" s="2759" t="str">
        <f t="shared" si="5"/>
        <v/>
      </c>
      <c r="H31" s="650"/>
      <c r="I31" s="691"/>
      <c r="J31" s="692"/>
      <c r="K31" s="689"/>
      <c r="L31" s="693"/>
      <c r="M31" s="693"/>
      <c r="N31" s="693"/>
      <c r="O31" s="193"/>
      <c r="P31" s="215"/>
      <c r="Q31" s="735" t="str">
        <f t="shared" si="6"/>
        <v/>
      </c>
      <c r="R31" s="732" t="str">
        <f t="shared" si="7"/>
        <v/>
      </c>
      <c r="S31" s="732"/>
      <c r="T31" s="732"/>
      <c r="U31" s="732"/>
      <c r="V31" s="732"/>
      <c r="W31" s="734"/>
      <c r="X31" s="732"/>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
      </c>
      <c r="E32" s="2749" t="str">
        <f t="shared" si="3"/>
        <v/>
      </c>
      <c r="F32" s="2749">
        <f t="shared" si="4"/>
        <v>2.4E-2</v>
      </c>
      <c r="G32" s="2759" t="str">
        <f t="shared" si="5"/>
        <v/>
      </c>
      <c r="H32" s="650"/>
      <c r="I32" s="691"/>
      <c r="J32" s="692"/>
      <c r="K32" s="689"/>
      <c r="L32" s="693"/>
      <c r="M32" s="693"/>
      <c r="N32" s="693"/>
      <c r="O32" s="193"/>
      <c r="P32" s="215"/>
      <c r="Q32" s="735" t="str">
        <f t="shared" si="6"/>
        <v/>
      </c>
      <c r="R32" s="732" t="str">
        <f t="shared" si="7"/>
        <v/>
      </c>
      <c r="S32" s="732"/>
      <c r="T32" s="732"/>
      <c r="U32" s="732"/>
      <c r="V32" s="732"/>
      <c r="W32" s="734"/>
      <c r="X32" s="732"/>
      <c r="Y32" s="732"/>
      <c r="Z32" s="732"/>
      <c r="AA32" s="2772"/>
      <c r="AB32" s="2772"/>
      <c r="AC32" s="2773">
        <f t="shared" si="8"/>
        <v>0</v>
      </c>
      <c r="AD32" s="2773">
        <f t="shared" si="9"/>
        <v>0</v>
      </c>
      <c r="AE32" s="847" t="str">
        <f t="shared" si="10"/>
        <v/>
      </c>
      <c r="AF32" s="641"/>
    </row>
    <row r="33" spans="1:34" ht="18">
      <c r="A33" s="2752"/>
      <c r="B33" s="2779" t="str">
        <f t="shared" si="0"/>
        <v/>
      </c>
      <c r="C33" s="2749" t="str">
        <f t="shared" si="1"/>
        <v/>
      </c>
      <c r="D33" s="2749" t="str">
        <f t="shared" si="2"/>
        <v/>
      </c>
      <c r="E33" s="2749" t="str">
        <f t="shared" si="3"/>
        <v/>
      </c>
      <c r="F33" s="2749">
        <f t="shared" si="4"/>
        <v>2.5000000000000001E-2</v>
      </c>
      <c r="G33" s="2759" t="str">
        <f t="shared" si="5"/>
        <v/>
      </c>
      <c r="H33" s="650"/>
      <c r="I33" s="691"/>
      <c r="J33" s="692"/>
      <c r="K33" s="689"/>
      <c r="L33" s="693"/>
      <c r="M33" s="693"/>
      <c r="N33" s="693"/>
      <c r="O33" s="193"/>
      <c r="P33" s="215"/>
      <c r="Q33" s="735" t="str">
        <f t="shared" si="6"/>
        <v/>
      </c>
      <c r="R33" s="732" t="str">
        <f t="shared" si="7"/>
        <v/>
      </c>
      <c r="S33" s="732"/>
      <c r="T33" s="732"/>
      <c r="U33" s="732"/>
      <c r="V33" s="732"/>
      <c r="W33" s="734"/>
      <c r="X33" s="732"/>
      <c r="Y33" s="732"/>
      <c r="Z33" s="732"/>
      <c r="AA33" s="2772"/>
      <c r="AB33" s="2772"/>
      <c r="AC33" s="2773">
        <f t="shared" si="8"/>
        <v>0</v>
      </c>
      <c r="AD33" s="2773">
        <f t="shared" si="9"/>
        <v>0</v>
      </c>
      <c r="AE33" s="847" t="str">
        <f t="shared" si="10"/>
        <v/>
      </c>
      <c r="AF33" s="641"/>
    </row>
    <row r="34" spans="1:34" ht="18">
      <c r="A34" s="2752"/>
      <c r="B34" s="2779" t="str">
        <f t="shared" si="0"/>
        <v/>
      </c>
      <c r="C34" s="2749" t="str">
        <f t="shared" si="1"/>
        <v/>
      </c>
      <c r="D34" s="2749" t="str">
        <f t="shared" si="2"/>
        <v/>
      </c>
      <c r="E34" s="2749" t="str">
        <f t="shared" si="3"/>
        <v/>
      </c>
      <c r="F34" s="2749">
        <f t="shared" si="4"/>
        <v>2.5999999999999999E-2</v>
      </c>
      <c r="G34" s="2759" t="str">
        <f t="shared" si="5"/>
        <v/>
      </c>
      <c r="H34" s="650"/>
      <c r="I34" s="691"/>
      <c r="J34" s="692" t="str">
        <f t="shared" si="11"/>
        <v/>
      </c>
      <c r="K34" s="689"/>
      <c r="L34" s="693"/>
      <c r="M34" s="693"/>
      <c r="N34" s="693"/>
      <c r="O34" s="193"/>
      <c r="P34" s="215"/>
      <c r="Q34" s="735" t="str">
        <f t="shared" si="6"/>
        <v/>
      </c>
      <c r="R34" s="732" t="str">
        <f t="shared" si="7"/>
        <v/>
      </c>
      <c r="S34" s="732"/>
      <c r="T34" s="732"/>
      <c r="U34" s="732"/>
      <c r="V34" s="732"/>
      <c r="W34" s="734"/>
      <c r="X34" s="732"/>
      <c r="Y34" s="732"/>
      <c r="Z34" s="732"/>
      <c r="AA34" s="2772"/>
      <c r="AB34" s="2772"/>
      <c r="AC34" s="2773">
        <f t="shared" si="8"/>
        <v>0</v>
      </c>
      <c r="AD34" s="2773">
        <f t="shared" si="9"/>
        <v>0</v>
      </c>
      <c r="AE34" s="847" t="str">
        <f t="shared" si="10"/>
        <v/>
      </c>
      <c r="AF34" s="641"/>
    </row>
    <row r="35" spans="1:34" ht="18">
      <c r="A35" s="2752"/>
      <c r="B35" s="2779" t="str">
        <f t="shared" si="0"/>
        <v/>
      </c>
      <c r="C35" s="2749" t="str">
        <f t="shared" si="1"/>
        <v/>
      </c>
      <c r="D35" s="2749" t="str">
        <f t="shared" si="2"/>
        <v/>
      </c>
      <c r="E35" s="2749" t="str">
        <f t="shared" si="3"/>
        <v/>
      </c>
      <c r="F35" s="2749">
        <f t="shared" si="4"/>
        <v>2.7E-2</v>
      </c>
      <c r="G35" s="2759" t="str">
        <f t="shared" si="5"/>
        <v/>
      </c>
      <c r="H35" s="650"/>
      <c r="I35" s="691"/>
      <c r="J35" s="692" t="str">
        <f t="shared" si="11"/>
        <v/>
      </c>
      <c r="K35" s="689"/>
      <c r="L35" s="693"/>
      <c r="M35" s="693"/>
      <c r="N35" s="693"/>
      <c r="O35" s="193"/>
      <c r="P35" s="215"/>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4" ht="18">
      <c r="A36" s="2752"/>
      <c r="B36" s="2779" t="str">
        <f t="shared" si="0"/>
        <v/>
      </c>
      <c r="C36" s="2749" t="str">
        <f t="shared" si="1"/>
        <v/>
      </c>
      <c r="D36" s="2749" t="str">
        <f t="shared" si="2"/>
        <v/>
      </c>
      <c r="E36" s="2749" t="str">
        <f t="shared" si="3"/>
        <v/>
      </c>
      <c r="F36" s="2749">
        <f t="shared" si="4"/>
        <v>2.8000000000000001E-2</v>
      </c>
      <c r="G36" s="2759" t="str">
        <f t="shared" si="5"/>
        <v/>
      </c>
      <c r="H36" s="650"/>
      <c r="I36" s="691"/>
      <c r="J36" s="692" t="str">
        <f t="shared" si="11"/>
        <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
      </c>
      <c r="AF36" s="641"/>
    </row>
    <row r="37" spans="1:34" ht="18">
      <c r="A37" s="2752"/>
      <c r="B37" s="2779" t="str">
        <f t="shared" si="0"/>
        <v/>
      </c>
      <c r="C37" s="2749" t="str">
        <f t="shared" si="1"/>
        <v/>
      </c>
      <c r="D37" s="2749" t="str">
        <f t="shared" si="2"/>
        <v/>
      </c>
      <c r="E37" s="2749" t="str">
        <f t="shared" si="3"/>
        <v/>
      </c>
      <c r="F37" s="2749">
        <f t="shared" si="4"/>
        <v>2.9000000000000001E-2</v>
      </c>
      <c r="G37" s="2759" t="str">
        <f t="shared" si="5"/>
        <v/>
      </c>
      <c r="H37" s="650"/>
      <c r="I37" s="691"/>
      <c r="J37" s="692" t="str">
        <f t="shared" si="11"/>
        <v/>
      </c>
      <c r="K37" s="689"/>
      <c r="L37" s="693"/>
      <c r="M37" s="693"/>
      <c r="N37" s="693"/>
      <c r="O37" s="193"/>
      <c r="P37" s="215"/>
      <c r="Q37" s="735" t="str">
        <f t="shared" si="6"/>
        <v/>
      </c>
      <c r="R37" s="732" t="str">
        <f t="shared" si="7"/>
        <v/>
      </c>
      <c r="S37" s="732"/>
      <c r="T37" s="732"/>
      <c r="U37" s="732"/>
      <c r="V37" s="732"/>
      <c r="W37" s="734"/>
      <c r="X37" s="732"/>
      <c r="Y37" s="732"/>
      <c r="Z37" s="732"/>
      <c r="AA37" s="2772"/>
      <c r="AB37" s="2772"/>
      <c r="AC37" s="2773">
        <f t="shared" si="8"/>
        <v>0</v>
      </c>
      <c r="AD37" s="2773">
        <f t="shared" si="9"/>
        <v>0</v>
      </c>
      <c r="AE37" s="847" t="str">
        <f t="shared" si="10"/>
        <v/>
      </c>
      <c r="AF37" s="641"/>
    </row>
    <row r="38" spans="1:34" ht="18">
      <c r="A38" s="2752"/>
      <c r="B38" s="2779" t="str">
        <f t="shared" si="0"/>
        <v/>
      </c>
      <c r="C38" s="2749" t="str">
        <f t="shared" si="1"/>
        <v/>
      </c>
      <c r="D38" s="2749" t="str">
        <f t="shared" si="2"/>
        <v/>
      </c>
      <c r="E38" s="2749" t="str">
        <f t="shared" si="3"/>
        <v/>
      </c>
      <c r="F38" s="2749">
        <f t="shared" si="4"/>
        <v>0.03</v>
      </c>
      <c r="G38" s="2759" t="str">
        <f t="shared" si="5"/>
        <v/>
      </c>
      <c r="H38" s="651"/>
      <c r="I38" s="694"/>
      <c r="J38" s="692" t="str">
        <f t="shared" si="11"/>
        <v/>
      </c>
      <c r="K38" s="689"/>
      <c r="L38" s="695"/>
      <c r="M38" s="695"/>
      <c r="N38" s="695"/>
      <c r="O38" s="196"/>
      <c r="P38" s="218"/>
      <c r="Q38" s="738" t="str">
        <f t="shared" si="6"/>
        <v/>
      </c>
      <c r="R38" s="732" t="str">
        <f t="shared" si="7"/>
        <v/>
      </c>
      <c r="S38" s="732"/>
      <c r="T38" s="732"/>
      <c r="U38" s="732"/>
      <c r="V38" s="732"/>
      <c r="W38" s="734"/>
      <c r="X38" s="732"/>
      <c r="Y38" s="732"/>
      <c r="Z38" s="732"/>
      <c r="AA38" s="2772"/>
      <c r="AB38" s="2772"/>
      <c r="AC38" s="2773">
        <f t="shared" si="8"/>
        <v>0</v>
      </c>
      <c r="AD38" s="2773">
        <f t="shared" si="9"/>
        <v>0</v>
      </c>
      <c r="AE38" s="847" t="str">
        <f t="shared" si="10"/>
        <v/>
      </c>
      <c r="AF38" s="641"/>
    </row>
    <row r="39" spans="1:34" ht="18" hidden="1">
      <c r="A39" s="2752"/>
      <c r="B39" s="2780"/>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847"/>
      <c r="AF39" s="641"/>
    </row>
    <row r="40" spans="1:34" s="640" customFormat="1" ht="18" customHeight="1">
      <c r="A40" s="2753" t="s">
        <v>2688</v>
      </c>
      <c r="B40" s="2781"/>
      <c r="C40" s="2760"/>
      <c r="D40" s="2761"/>
      <c r="E40" s="2761"/>
      <c r="F40" s="2761"/>
      <c r="G40" s="2762"/>
      <c r="H40" s="842"/>
      <c r="I40" s="843"/>
      <c r="J40" s="844" t="s">
        <v>2689</v>
      </c>
      <c r="K40" s="842"/>
      <c r="L40" s="842"/>
      <c r="M40" s="845"/>
      <c r="N40" s="845"/>
      <c r="O40" s="830">
        <f>SUBTOTAL(109,(INDEX(O:O,ROW(O$8)+1):cellAbove))</f>
        <v>0</v>
      </c>
      <c r="P40" s="846">
        <f>SUBTOTAL(109,(INDEX(P:P,ROW(P$8)+1):cellAbove))</f>
        <v>0</v>
      </c>
      <c r="Q40" s="842"/>
      <c r="R40" s="740"/>
      <c r="S40" s="732"/>
      <c r="T40" s="740"/>
      <c r="U40" s="740"/>
      <c r="V40" s="740"/>
      <c r="W40" s="741"/>
      <c r="X40" s="740"/>
      <c r="Y40" s="742"/>
      <c r="Z40" s="742"/>
      <c r="AA40" s="2775"/>
      <c r="AB40" s="2775"/>
      <c r="AC40" s="2776"/>
      <c r="AD40" s="2776"/>
      <c r="AE40" s="840"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641"/>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1:24" ht="12.75">
      <c r="A49" s="2749"/>
      <c r="B49" s="642"/>
      <c r="C49" s="2749"/>
      <c r="D49" s="2749"/>
      <c r="E49" s="2749"/>
      <c r="F49" s="2749"/>
      <c r="G49" s="2763"/>
      <c r="R49" s="740"/>
      <c r="S49" s="732"/>
      <c r="T49" s="740"/>
      <c r="U49" s="740"/>
      <c r="V49" s="740"/>
      <c r="W49" s="740"/>
      <c r="X49" s="740"/>
    </row>
    <row r="50" spans="1:24">
      <c r="R50" s="742"/>
      <c r="S50" s="736"/>
      <c r="T50" s="742"/>
      <c r="U50" s="742"/>
      <c r="V50" s="742"/>
      <c r="W50" s="742"/>
      <c r="X50" s="742"/>
    </row>
    <row r="51" spans="1:24">
      <c r="R51" s="641"/>
      <c r="T51" s="641"/>
      <c r="U51" s="641"/>
      <c r="V51" s="641"/>
      <c r="W51" s="641"/>
      <c r="X51" s="641"/>
    </row>
    <row r="52" spans="1:24" ht="12.75">
      <c r="R52" s="740"/>
      <c r="S52" s="732"/>
      <c r="T52" s="740"/>
      <c r="U52" s="740"/>
      <c r="V52" s="740"/>
      <c r="W52" s="740"/>
      <c r="X52" s="740"/>
    </row>
    <row r="53" spans="1:24" ht="12.75">
      <c r="R53" s="740"/>
      <c r="S53" s="732"/>
      <c r="T53" s="740"/>
      <c r="U53" s="740"/>
      <c r="V53" s="740"/>
      <c r="W53" s="740"/>
      <c r="X53" s="740"/>
    </row>
    <row r="54" spans="1:24" ht="12.75">
      <c r="R54" s="740"/>
      <c r="S54" s="732"/>
      <c r="T54" s="740"/>
      <c r="U54" s="740"/>
      <c r="V54" s="740"/>
      <c r="W54" s="740"/>
      <c r="X54" s="740"/>
    </row>
    <row r="55" spans="1:24" ht="12.75">
      <c r="R55" s="740"/>
      <c r="S55" s="732"/>
      <c r="T55" s="740"/>
      <c r="U55" s="740"/>
      <c r="V55" s="740"/>
      <c r="W55" s="740"/>
      <c r="X55" s="740"/>
    </row>
    <row r="56" spans="1:24" ht="12.75">
      <c r="R56" s="740"/>
      <c r="S56" s="732"/>
      <c r="T56" s="740"/>
      <c r="U56" s="740"/>
      <c r="V56" s="740"/>
      <c r="W56" s="740"/>
      <c r="X56" s="740"/>
    </row>
    <row r="57" spans="1:24" ht="12.75">
      <c r="R57" s="740"/>
      <c r="S57" s="732"/>
      <c r="T57" s="740"/>
      <c r="U57" s="740"/>
      <c r="V57" s="740"/>
      <c r="W57" s="740"/>
      <c r="X57" s="740"/>
    </row>
    <row r="58" spans="1:24" ht="12.75">
      <c r="R58" s="740"/>
      <c r="S58" s="732"/>
      <c r="T58" s="740"/>
      <c r="U58" s="740"/>
      <c r="V58" s="740"/>
      <c r="W58" s="740"/>
      <c r="X58" s="740"/>
    </row>
    <row r="59" spans="1:24" ht="12.75">
      <c r="R59" s="740"/>
      <c r="S59" s="732"/>
      <c r="T59" s="740"/>
      <c r="U59" s="740"/>
      <c r="V59" s="740"/>
      <c r="W59" s="740"/>
      <c r="X59" s="740"/>
    </row>
    <row r="60" spans="1:24" ht="12.75">
      <c r="R60" s="740"/>
      <c r="S60" s="732"/>
      <c r="T60" s="740"/>
      <c r="U60" s="740"/>
      <c r="V60" s="740"/>
      <c r="W60" s="740"/>
      <c r="X60" s="740"/>
    </row>
    <row r="61" spans="1:24" ht="12.75">
      <c r="R61" s="740"/>
      <c r="S61" s="732"/>
      <c r="T61" s="740"/>
      <c r="U61" s="740"/>
      <c r="V61" s="740"/>
      <c r="W61" s="740"/>
      <c r="X61" s="740"/>
    </row>
    <row r="62" spans="1:24" ht="12.75">
      <c r="R62" s="740"/>
      <c r="S62" s="732"/>
      <c r="T62" s="740"/>
      <c r="U62" s="740"/>
      <c r="V62" s="740"/>
      <c r="W62" s="740"/>
      <c r="X62" s="740"/>
    </row>
    <row r="63" spans="1:24" ht="12.75">
      <c r="R63" s="740"/>
      <c r="S63" s="732"/>
      <c r="T63" s="740"/>
      <c r="U63" s="740"/>
      <c r="V63" s="740"/>
      <c r="W63" s="740"/>
      <c r="X63" s="740"/>
    </row>
    <row r="64" spans="1: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algorithmName="SHA-512" hashValue="956LmmL553PeSILJiZiHuJWzYtZjpVwoTqO+aVU7AB27sJyEElavJqs+aPvRpPiIj5LG1Sy4i6rhxmhev4oqbQ==" saltValue="d4ptG7MK4zqEga4Q2rtJWg==" spinCount="100000" sheet="1" scenarios="1" formatCells="0" autoFilter="0"/>
  <autoFilter ref="A8:AE38"/>
  <phoneticPr fontId="163" type="noConversion"/>
  <conditionalFormatting sqref="P4:Q4">
    <cfRule type="expression" dxfId="3903" priority="2" stopIfTrue="1">
      <formula>$P4&lt;&gt;""</formula>
    </cfRule>
  </conditionalFormatting>
  <conditionalFormatting sqref="AE9:AE39">
    <cfRule type="expression" dxfId="3902" priority="11" stopIfTrue="1">
      <formula>AE9&lt;&gt;""</formula>
    </cfRule>
  </conditionalFormatting>
  <conditionalFormatting sqref="B9:B38">
    <cfRule type="expression" dxfId="3901" priority="1">
      <formula>ISERROR($B9)</formula>
    </cfRule>
  </conditionalFormatting>
  <dataValidations xWindow="433" yWindow="715" count="12">
    <dataValidation type="list" allowBlank="1" showInputMessage="1" showErrorMessage="1" sqref="R9">
      <formula1>Sheet_AcctClass</formula1>
    </dataValidation>
    <dataValidation type="decimal" showInputMessage="1" showErrorMessage="1" errorTitle="WPE" error="请输入数值！" prompt="贷方金额" sqref="P9:P39">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选择分录类型！" prompt="AJE 调整分录_x000a_RJE 重分类分录" sqref="H9:H39">
      <formula1>"AJE,RJE"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-922337203685477</formula1>
      <formula2>922337203685477</formula2>
    </dataValidation>
    <dataValidation type="list" allowBlank="1" showInputMessage="1" showErrorMessage="1" sqref="T9:T38">
      <formula1>Sheet_MisstaType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华软金信科技（北京）有限公司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43861</v>
      </c>
      <c r="P5" s="675" t="s">
        <v>6592</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6600</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3900" priority="2" stopIfTrue="1">
      <formula>$P4&lt;&gt;""</formula>
    </cfRule>
  </conditionalFormatting>
  <conditionalFormatting sqref="R9:R38">
    <cfRule type="expression" dxfId="3899" priority="9" stopIfTrue="1">
      <formula>R9&lt;&gt;""</formula>
    </cfRule>
  </conditionalFormatting>
  <conditionalFormatting sqref="B9:B38">
    <cfRule type="expression" dxfId="3898"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华软金信科技（北京）有限公司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43861</v>
      </c>
      <c r="P5" s="767" t="s">
        <v>2708</v>
      </c>
      <c r="Q5" s="1453" t="s">
        <v>6593</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6600</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128"/>
      <c r="N44" s="3129"/>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130"/>
      <c r="N45" s="3131"/>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130"/>
      <c r="N46" s="3131"/>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130"/>
      <c r="N47" s="3131"/>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130"/>
      <c r="N48" s="3131"/>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126"/>
      <c r="N49" s="3127"/>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0SiZdghdiCCPGbNBhOdpahbdvYEn9A6hV/0BNMktovelGbvBtCTbKaKDAB49RC1Pb2iSD37x18Qqimn+nd0v5w==" saltValue="g6onw8DuIfzWOtTf34U5mg=="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3897" priority="2" stopIfTrue="1">
      <formula>$P4&lt;&gt;""</formula>
    </cfRule>
  </conditionalFormatting>
  <conditionalFormatting sqref="AE9:AE39">
    <cfRule type="expression" dxfId="3896" priority="5" stopIfTrue="1">
      <formula>AE9&lt;&gt;""</formula>
    </cfRule>
  </conditionalFormatting>
  <conditionalFormatting sqref="B9:B38">
    <cfRule type="expression" dxfId="3895"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K10" sqref="K10"/>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华软金信科技（北京）有限公司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43861</v>
      </c>
      <c r="P5" s="675" t="s">
        <v>6592</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6600</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3894" priority="2" stopIfTrue="1">
      <formula>$P4&lt;&gt;""</formula>
    </cfRule>
  </conditionalFormatting>
  <conditionalFormatting sqref="AE9:AE39">
    <cfRule type="expression" dxfId="3893" priority="11" stopIfTrue="1">
      <formula>AE9&lt;&gt;""</formula>
    </cfRule>
  </conditionalFormatting>
  <conditionalFormatting sqref="B9:B38">
    <cfRule type="expression" dxfId="3892"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114" t="s">
        <v>5807</v>
      </c>
      <c r="F2" s="3114"/>
      <c r="G2" s="3114"/>
      <c r="H2" s="3114"/>
      <c r="I2" s="3114"/>
      <c r="J2" s="3114"/>
      <c r="K2" s="3114"/>
      <c r="L2" s="3114"/>
      <c r="M2" s="1664"/>
      <c r="N2" s="1664"/>
      <c r="O2" s="1664"/>
      <c r="P2" s="1664"/>
    </row>
    <row r="3" spans="1:16" ht="27" customHeight="1">
      <c r="A3" s="2840"/>
      <c r="B3" s="2840"/>
      <c r="C3" s="2840"/>
      <c r="D3" s="2840"/>
      <c r="E3" s="3113" t="str">
        <f>TEXT(Lead!$F$5,"yyyy 年 mm 月 dd 日")</f>
        <v>2019 年 12 月 31 日</v>
      </c>
      <c r="F3" s="3113"/>
      <c r="G3" s="3113"/>
      <c r="H3" s="3113"/>
      <c r="I3" s="3113"/>
      <c r="J3" s="3113"/>
      <c r="K3" s="3113"/>
      <c r="L3" s="3113"/>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编制单位：华软金信科技（北京）有限公司</v>
      </c>
      <c r="F5" s="2039"/>
      <c r="G5" s="2039"/>
      <c r="H5" s="2039"/>
      <c r="I5" s="2039"/>
      <c r="J5" s="2039"/>
      <c r="K5" s="2039" t="s">
        <v>5750</v>
      </c>
      <c r="L5" s="2039" t="s">
        <v>5751</v>
      </c>
      <c r="M5" s="1664"/>
      <c r="N5" s="1664"/>
      <c r="O5" s="1664"/>
      <c r="P5" s="1664"/>
    </row>
    <row r="6" spans="1:16" ht="21" customHeight="1">
      <c r="A6" s="2870" t="s">
        <v>6636</v>
      </c>
      <c r="B6" s="2870" t="s">
        <v>2557</v>
      </c>
      <c r="C6" s="2870" t="s">
        <v>6637</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0</v>
      </c>
      <c r="H8" s="2126">
        <f t="shared" ref="H8:H30" si="5">IF($C8="","",VLOOKUP($C8,Sheet_Trialbal,10,0))</f>
        <v>340266.93</v>
      </c>
      <c r="I8" s="2130" t="str">
        <f t="shared" si="3"/>
        <v>短期借款</v>
      </c>
      <c r="J8" s="2124"/>
      <c r="K8" s="2125">
        <f t="shared" ref="K8:K30" si="6">IF($D8="","",VLOOKUP($D8,Sheet_Trialbal,6,0))</f>
        <v>0</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0</v>
      </c>
      <c r="H15" s="2126">
        <f t="shared" si="5"/>
        <v>0</v>
      </c>
      <c r="I15" s="2130" t="str">
        <f t="shared" si="3"/>
        <v>应付账款</v>
      </c>
      <c r="J15" s="2124"/>
      <c r="K15" s="2125">
        <f t="shared" si="6"/>
        <v>0</v>
      </c>
      <c r="L15" s="2128">
        <f t="shared" si="7"/>
        <v>0</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0</v>
      </c>
      <c r="H16" s="2126">
        <f t="shared" si="5"/>
        <v>0</v>
      </c>
      <c r="I16" s="2130" t="str">
        <f t="shared" si="3"/>
        <v>预收款项</v>
      </c>
      <c r="J16" s="2124"/>
      <c r="K16" s="2125">
        <f t="shared" si="6"/>
        <v>0</v>
      </c>
      <c r="L16" s="2128">
        <f t="shared" si="7"/>
        <v>0</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0</v>
      </c>
      <c r="H17" s="2126">
        <f t="shared" si="5"/>
        <v>496233.65</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0</v>
      </c>
      <c r="H21" s="2126">
        <f t="shared" si="5"/>
        <v>4191637.3</v>
      </c>
      <c r="I21" s="2130" t="str">
        <f t="shared" si="3"/>
        <v>应付职工薪酬</v>
      </c>
      <c r="J21" s="2124"/>
      <c r="K21" s="2125">
        <f t="shared" si="6"/>
        <v>0</v>
      </c>
      <c r="L21" s="2128">
        <f t="shared" si="7"/>
        <v>2712561.36</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0</v>
      </c>
      <c r="L22" s="2128">
        <f t="shared" si="7"/>
        <v>44562.07</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0</v>
      </c>
      <c r="L23" s="2128">
        <f t="shared" si="7"/>
        <v>396457994.25</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0</v>
      </c>
      <c r="H25" s="2126">
        <f t="shared" si="5"/>
        <v>0</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0</v>
      </c>
      <c r="H28" s="2126">
        <f t="shared" si="5"/>
        <v>0</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0</v>
      </c>
      <c r="H31" s="2126">
        <f>SUM(H8:H30)-SUM(H22,H23)</f>
        <v>5028137.88</v>
      </c>
      <c r="I31" s="2134" t="str">
        <f t="shared" si="3"/>
        <v>流动负债合计</v>
      </c>
      <c r="J31" s="2124"/>
      <c r="K31" s="2125">
        <f>SUM(K8:K30)-SUM(K24,K25)</f>
        <v>0</v>
      </c>
      <c r="L31" s="2128">
        <f>SUM(L8:L30)-SUM(L24,L25)</f>
        <v>399215117.68000001</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445619464.50999999</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0</v>
      </c>
      <c r="H43" s="2126">
        <f t="shared" si="10"/>
        <v>221616.66</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0</v>
      </c>
      <c r="L45" s="2128">
        <f>SUM(L31,L44)</f>
        <v>399215117.68000001</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0</v>
      </c>
      <c r="H47" s="2126">
        <f t="shared" si="10"/>
        <v>132000</v>
      </c>
      <c r="I47" s="2136" t="str">
        <f>IF($D47="","",VLOOKUP($D47,Sheet_Items,6,0))</f>
        <v>股本</v>
      </c>
      <c r="J47" s="2124"/>
      <c r="K47" s="2125">
        <f t="shared" si="13"/>
        <v>0</v>
      </c>
      <c r="L47" s="2128">
        <f t="shared" si="14"/>
        <v>100000000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0</v>
      </c>
      <c r="H48" s="2126">
        <f t="shared" si="10"/>
        <v>0</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0</v>
      </c>
      <c r="H50" s="2126">
        <f t="shared" si="10"/>
        <v>983014.49</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0</v>
      </c>
      <c r="H51" s="2126">
        <f t="shared" si="10"/>
        <v>0</v>
      </c>
      <c r="I51" s="2130" t="str">
        <f t="shared" si="15"/>
        <v>资本公积</v>
      </c>
      <c r="J51" s="2124"/>
      <c r="K51" s="2125">
        <f t="shared" si="13"/>
        <v>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0</v>
      </c>
      <c r="H52" s="2126">
        <f t="shared" si="10"/>
        <v>0</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0</v>
      </c>
      <c r="L55" s="2128">
        <f t="shared" si="14"/>
        <v>0</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-25297789.149999999</v>
      </c>
      <c r="L57" s="2128">
        <f t="shared" si="14"/>
        <v>-47230884.140000001</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0</v>
      </c>
      <c r="H58" s="2126">
        <f>SUM(H33:H57)</f>
        <v>446956095.66000003</v>
      </c>
      <c r="I58" s="2138" t="str">
        <f>IF($D58="","",VLOOKUP($D58,Sheet_Items,6,0))</f>
        <v>所有者权益合计</v>
      </c>
      <c r="J58" s="2124"/>
      <c r="K58" s="2125">
        <f>SUM(K47:K48,K51,-K52,K53:K57)</f>
        <v>-25297789.149999999</v>
      </c>
      <c r="L58" s="2128">
        <f>SUM(L47:L48,L51,-L52,L53:L57)</f>
        <v>52769115.859999999</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0</v>
      </c>
      <c r="H59" s="2141">
        <f>SUM(H31,H58)</f>
        <v>451984233.54000002</v>
      </c>
      <c r="I59" s="2142" t="str">
        <f>IF($D59="","",VLOOKUP($D59,Sheet_Items,6,0))</f>
        <v>负债和所有者权益总计</v>
      </c>
      <c r="J59" s="2139"/>
      <c r="K59" s="2140">
        <f>SUM(K45,K58)</f>
        <v>-25297789.149999999</v>
      </c>
      <c r="L59" s="2143">
        <f>SUM(L45,L58)</f>
        <v>451984233.54000002</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0</v>
      </c>
      <c r="I68" s="1688" t="str">
        <f>I59</f>
        <v>负债和所有者权益总计</v>
      </c>
      <c r="J68" s="1687"/>
      <c r="K68" s="1694">
        <f>K59</f>
        <v>-25297789.149999999</v>
      </c>
      <c r="L68" s="1695">
        <f>ROUND(H68-K68,2)</f>
        <v>25297789.149999999</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451984233.54000002</v>
      </c>
      <c r="I70" s="1704" t="str">
        <f>I59</f>
        <v>负债和所有者权益总计</v>
      </c>
      <c r="J70" s="1702"/>
      <c r="K70" s="1705">
        <f>L59</f>
        <v>451984233.54000002</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3891" priority="18" stopIfTrue="1">
      <formula>#REF!=TRUE</formula>
    </cfRule>
  </conditionalFormatting>
  <conditionalFormatting sqref="L69 L67 L71">
    <cfRule type="cellIs" dxfId="3890" priority="17" stopIfTrue="1" operator="notEqual">
      <formula>0</formula>
    </cfRule>
  </conditionalFormatting>
  <conditionalFormatting sqref="E64:F64">
    <cfRule type="expression" dxfId="3889" priority="16" stopIfTrue="1">
      <formula>#REF!=TRUE</formula>
    </cfRule>
  </conditionalFormatting>
  <conditionalFormatting sqref="L68 L66 L70">
    <cfRule type="cellIs" dxfId="3888" priority="15" stopIfTrue="1" operator="notEqual">
      <formula>0</formula>
    </cfRule>
  </conditionalFormatting>
  <conditionalFormatting sqref="E64:F64">
    <cfRule type="expression" dxfId="3887" priority="14" stopIfTrue="1">
      <formula>#REF!=TRUE</formula>
    </cfRule>
  </conditionalFormatting>
  <conditionalFormatting sqref="L68 L66 L70">
    <cfRule type="cellIs" dxfId="3886" priority="13" stopIfTrue="1" operator="notEqual">
      <formula>0</formula>
    </cfRule>
  </conditionalFormatting>
  <conditionalFormatting sqref="L69 L67">
    <cfRule type="cellIs" dxfId="3885" priority="12" stopIfTrue="1" operator="notEqual">
      <formula>0</formula>
    </cfRule>
  </conditionalFormatting>
  <conditionalFormatting sqref="L68 L70">
    <cfRule type="cellIs" dxfId="3884" priority="11" stopIfTrue="1" operator="notEqual">
      <formula>0</formula>
    </cfRule>
  </conditionalFormatting>
  <conditionalFormatting sqref="L68 L70">
    <cfRule type="cellIs" dxfId="3883" priority="10" stopIfTrue="1" operator="notEqual">
      <formula>0</formula>
    </cfRule>
  </conditionalFormatting>
  <conditionalFormatting sqref="E65:F65">
    <cfRule type="expression" dxfId="3882" priority="9" stopIfTrue="1">
      <formula>#REF!=TRUE</formula>
    </cfRule>
  </conditionalFormatting>
  <conditionalFormatting sqref="L69 L67">
    <cfRule type="cellIs" dxfId="3881" priority="8" stopIfTrue="1" operator="notEqual">
      <formula>0</formula>
    </cfRule>
  </conditionalFormatting>
  <conditionalFormatting sqref="E64:F64">
    <cfRule type="expression" dxfId="3880" priority="7" stopIfTrue="1">
      <formula>#REF!=TRUE</formula>
    </cfRule>
  </conditionalFormatting>
  <conditionalFormatting sqref="L68 L66 L70">
    <cfRule type="cellIs" dxfId="3879" priority="6" stopIfTrue="1" operator="notEqual">
      <formula>0</formula>
    </cfRule>
  </conditionalFormatting>
  <conditionalFormatting sqref="E64:F64">
    <cfRule type="expression" dxfId="3878" priority="5" stopIfTrue="1">
      <formula>#REF!=TRUE</formula>
    </cfRule>
  </conditionalFormatting>
  <conditionalFormatting sqref="L68 L66 L70">
    <cfRule type="cellIs" dxfId="3877" priority="4" stopIfTrue="1" operator="notEqual">
      <formula>0</formula>
    </cfRule>
  </conditionalFormatting>
  <conditionalFormatting sqref="L69 L67">
    <cfRule type="cellIs" dxfId="3876" priority="3" stopIfTrue="1" operator="notEqual">
      <formula>0</formula>
    </cfRule>
  </conditionalFormatting>
  <conditionalFormatting sqref="L68 L70">
    <cfRule type="cellIs" dxfId="3875" priority="2" stopIfTrue="1" operator="notEqual">
      <formula>0</formula>
    </cfRule>
  </conditionalFormatting>
  <conditionalFormatting sqref="L68 L70">
    <cfRule type="cellIs" dxfId="3874"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114" t="s">
        <v>5808</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编制单位：华软金信科技（北京）有限公司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328458.53999999998</v>
      </c>
      <c r="F7" s="2149">
        <f>SUM(F8:F11)</f>
        <v>6282.79</v>
      </c>
      <c r="G7" s="1710"/>
      <c r="H7" s="1710"/>
      <c r="I7" s="852"/>
      <c r="J7" s="1664"/>
    </row>
    <row r="8" spans="1:10" ht="18" customHeight="1">
      <c r="A8" s="2853">
        <f t="shared" si="0"/>
        <v>0</v>
      </c>
      <c r="B8" s="2854">
        <v>6001</v>
      </c>
      <c r="C8" s="2150" t="str">
        <f t="shared" si="1"/>
        <v>其中：营业收入</v>
      </c>
      <c r="D8" s="2151"/>
      <c r="E8" s="2125">
        <f>IF($B8="","",VLOOKUP($B8,Sheet_Trialbal,6,0))</f>
        <v>328458.53999999998</v>
      </c>
      <c r="F8" s="2128">
        <f>IF($B8="","",VLOOKUP($B8,Sheet_Trialbal,10,0))</f>
        <v>6282.79</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31896947.5</v>
      </c>
      <c r="F12" s="2149">
        <f>SUM(F13:F25)</f>
        <v>22487600.52</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8990453.4299999997</v>
      </c>
      <c r="F13" s="2128">
        <f t="shared" ref="F13:F37" si="3">IF($B13="","",VLOOKUP($B13,Sheet_Trialbal,10,0))</f>
        <v>0</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88392.34</v>
      </c>
      <c r="F21" s="2128">
        <f t="shared" si="3"/>
        <v>102037.26</v>
      </c>
      <c r="G21" s="1710"/>
      <c r="H21" s="1710"/>
      <c r="I21" s="852"/>
      <c r="J21" s="1664"/>
    </row>
    <row r="22" spans="1:10" ht="18" customHeight="1">
      <c r="A22" s="2853">
        <f t="shared" si="0"/>
        <v>0</v>
      </c>
      <c r="B22" s="2854">
        <v>6601</v>
      </c>
      <c r="C22" s="2152" t="str">
        <f t="shared" si="1"/>
        <v>销售费用</v>
      </c>
      <c r="D22" s="2151"/>
      <c r="E22" s="2125">
        <f t="shared" si="2"/>
        <v>6019256.5999999996</v>
      </c>
      <c r="F22" s="2128">
        <f t="shared" si="3"/>
        <v>533561.96</v>
      </c>
      <c r="G22" s="1710"/>
      <c r="H22" s="1710"/>
      <c r="I22" s="852"/>
      <c r="J22" s="1664"/>
    </row>
    <row r="23" spans="1:10" ht="18" customHeight="1">
      <c r="A23" s="2853">
        <f t="shared" si="0"/>
        <v>0</v>
      </c>
      <c r="B23" s="2854">
        <v>6602</v>
      </c>
      <c r="C23" s="2152" t="str">
        <f t="shared" si="1"/>
        <v>管理费用</v>
      </c>
      <c r="D23" s="2151"/>
      <c r="E23" s="2125">
        <f t="shared" si="2"/>
        <v>15303416.08</v>
      </c>
      <c r="F23" s="2128">
        <f t="shared" si="3"/>
        <v>10602460.369999999</v>
      </c>
      <c r="G23" s="1710"/>
      <c r="H23" s="1710"/>
      <c r="I23" s="852"/>
      <c r="J23" s="1664"/>
    </row>
    <row r="24" spans="1:10" ht="18" customHeight="1">
      <c r="A24" s="2853">
        <f t="shared" si="0"/>
        <v>0</v>
      </c>
      <c r="B24" s="2854">
        <v>6606</v>
      </c>
      <c r="C24" s="2152" t="str">
        <f t="shared" si="1"/>
        <v>研发费用</v>
      </c>
      <c r="D24" s="2151"/>
      <c r="E24" s="2125">
        <f t="shared" si="2"/>
        <v>0</v>
      </c>
      <c r="F24" s="2128">
        <f t="shared" si="3"/>
        <v>6800845.5</v>
      </c>
      <c r="G24" s="1710"/>
      <c r="H24" s="1710"/>
      <c r="I24" s="852"/>
      <c r="J24" s="1664"/>
    </row>
    <row r="25" spans="1:10" ht="18" customHeight="1">
      <c r="A25" s="2853">
        <f t="shared" si="0"/>
        <v>0</v>
      </c>
      <c r="B25" s="2854">
        <v>6603</v>
      </c>
      <c r="C25" s="2152" t="str">
        <f t="shared" si="1"/>
        <v>财务费用</v>
      </c>
      <c r="D25" s="2151"/>
      <c r="E25" s="2125">
        <f t="shared" si="2"/>
        <v>1495429.05</v>
      </c>
      <c r="F25" s="2128">
        <f t="shared" si="3"/>
        <v>4448695.43</v>
      </c>
      <c r="G25" s="1710"/>
      <c r="H25" s="1710"/>
      <c r="I25" s="852"/>
      <c r="J25" s="1664"/>
    </row>
    <row r="26" spans="1:10" ht="18" customHeight="1">
      <c r="A26" s="2853">
        <f t="shared" si="0"/>
        <v>0</v>
      </c>
      <c r="B26" s="2854" t="s">
        <v>803</v>
      </c>
      <c r="C26" s="2152" t="str">
        <f t="shared" si="1"/>
        <v>其中：利息费用</v>
      </c>
      <c r="D26" s="2151"/>
      <c r="E26" s="2125">
        <f t="shared" si="2"/>
        <v>1496740.48</v>
      </c>
      <c r="F26" s="2128">
        <f t="shared" si="3"/>
        <v>0</v>
      </c>
      <c r="G26" s="1710"/>
      <c r="H26" s="1710"/>
      <c r="I26" s="852"/>
      <c r="J26" s="1664"/>
    </row>
    <row r="27" spans="1:10" ht="18" customHeight="1">
      <c r="A27" s="2853">
        <f t="shared" si="0"/>
        <v>0</v>
      </c>
      <c r="B27" s="2854" t="s">
        <v>810</v>
      </c>
      <c r="C27" s="2154" t="str">
        <f t="shared" si="1"/>
        <v>利息收入</v>
      </c>
      <c r="D27" s="2151"/>
      <c r="E27" s="2125">
        <f t="shared" si="2"/>
        <v>-1311.43</v>
      </c>
      <c r="F27" s="2128">
        <f t="shared" si="3"/>
        <v>0</v>
      </c>
      <c r="G27" s="1710"/>
      <c r="H27" s="1710"/>
      <c r="I27" s="852"/>
      <c r="J27" s="1664"/>
    </row>
    <row r="28" spans="1:10" ht="18" customHeight="1">
      <c r="A28" s="2853">
        <f t="shared" si="0"/>
        <v>0</v>
      </c>
      <c r="B28" s="2854">
        <v>6181</v>
      </c>
      <c r="C28" s="2152" t="str">
        <f t="shared" si="1"/>
        <v>加：其他收益</v>
      </c>
      <c r="D28" s="2151"/>
      <c r="E28" s="2125">
        <f t="shared" si="2"/>
        <v>10113.33</v>
      </c>
      <c r="F28" s="2128">
        <f t="shared" si="3"/>
        <v>0</v>
      </c>
      <c r="G28" s="1710"/>
      <c r="H28" s="1710"/>
      <c r="I28" s="852"/>
      <c r="J28" s="1664"/>
    </row>
    <row r="29" spans="1:10" ht="18" customHeight="1">
      <c r="A29" s="2853">
        <f t="shared" si="0"/>
        <v>0</v>
      </c>
      <c r="B29" s="2854">
        <v>6111</v>
      </c>
      <c r="C29" s="2152" t="str">
        <f t="shared" si="1"/>
        <v>投资收益（损失以“-”号填列）</v>
      </c>
      <c r="D29" s="2151"/>
      <c r="E29" s="2125">
        <f t="shared" si="2"/>
        <v>0</v>
      </c>
      <c r="F29" s="2128">
        <f t="shared" si="3"/>
        <v>0</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3895.59</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0</v>
      </c>
      <c r="F36" s="2128">
        <f t="shared" si="3"/>
        <v>-29565.119999999999</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0</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-31554480.039999999</v>
      </c>
      <c r="F38" s="2149">
        <f>SUM(F8:F11)-SUM(F13:F25)+SUM(F28:F37)-SUM(F30,F31)</f>
        <v>-22510882.850000001</v>
      </c>
      <c r="G38" s="1711"/>
      <c r="H38" s="1711"/>
      <c r="I38" s="852"/>
      <c r="J38" s="1664"/>
    </row>
    <row r="39" spans="1:10" ht="18" customHeight="1">
      <c r="A39" s="2853">
        <f t="shared" si="0"/>
        <v>0</v>
      </c>
      <c r="B39" s="2857">
        <v>6710</v>
      </c>
      <c r="C39" s="2150" t="str">
        <f t="shared" si="4"/>
        <v>加：营业外收入</v>
      </c>
      <c r="D39" s="2151"/>
      <c r="E39" s="2125">
        <f>IF($B39="","",VLOOKUP($B39,Sheet_Trialbal,6,0))</f>
        <v>0</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0</v>
      </c>
      <c r="F40" s="2128">
        <f>IF($B40="","",VLOOKUP($B40,Sheet_Trialbal,10,0))</f>
        <v>0</v>
      </c>
      <c r="G40" s="1710"/>
      <c r="H40" s="1710"/>
      <c r="I40" s="852"/>
      <c r="J40" s="1664"/>
    </row>
    <row r="41" spans="1:10" ht="18" customHeight="1">
      <c r="A41" s="2853" t="str">
        <f t="shared" si="0"/>
        <v>＝</v>
      </c>
      <c r="B41" s="2857">
        <v>6788</v>
      </c>
      <c r="C41" s="2158" t="str">
        <f t="shared" si="4"/>
        <v>四、利润总额（亏损总额以“-”号填列）</v>
      </c>
      <c r="D41" s="2147"/>
      <c r="E41" s="2148">
        <f>SUM(E38,E39,-E40)</f>
        <v>-31554480.039999999</v>
      </c>
      <c r="F41" s="2149">
        <f>SUM(F38,F39,-F40)</f>
        <v>-22510882.850000001</v>
      </c>
      <c r="G41" s="1711"/>
      <c r="H41" s="1711"/>
      <c r="I41" s="852"/>
      <c r="J41" s="1664"/>
    </row>
    <row r="42" spans="1:10" ht="18" customHeight="1">
      <c r="A42" s="2853">
        <f t="shared" si="0"/>
        <v>0</v>
      </c>
      <c r="B42" s="2857">
        <v>6791</v>
      </c>
      <c r="C42" s="2150" t="str">
        <f t="shared" si="4"/>
        <v>减：所得税费用</v>
      </c>
      <c r="D42" s="2151"/>
      <c r="E42" s="2125">
        <f>IF($B42="","",VLOOKUP($B42,Sheet_Trialbal,6,0))</f>
        <v>-6256690.8899999997</v>
      </c>
      <c r="F42" s="2128">
        <f>IF($B42="","",VLOOKUP($B42,Sheet_Trialbal,10,0))</f>
        <v>0</v>
      </c>
      <c r="G42" s="1710"/>
      <c r="H42" s="1710"/>
      <c r="I42" s="852"/>
      <c r="J42" s="1664"/>
    </row>
    <row r="43" spans="1:10" ht="18" customHeight="1">
      <c r="A43" s="2853" t="str">
        <f t="shared" si="0"/>
        <v>＝</v>
      </c>
      <c r="B43" s="2857">
        <v>6799</v>
      </c>
      <c r="C43" s="2158" t="str">
        <f t="shared" si="4"/>
        <v>五、净利润（净亏损以“-”号填列）</v>
      </c>
      <c r="D43" s="2147"/>
      <c r="E43" s="2148">
        <f>SUM(E41,-E42)</f>
        <v>-25297789.149999999</v>
      </c>
      <c r="F43" s="2149">
        <f>SUM(F41,-F42)</f>
        <v>-22510882.850000001</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-25297789.149999999</v>
      </c>
      <c r="F65" s="2128">
        <f>SUM(F43,F46)</f>
        <v>-22510882.850000001</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132"/>
      <c r="D69" s="3132"/>
      <c r="E69" s="3132"/>
      <c r="F69" s="3132"/>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115"/>
      <c r="D71" s="3115"/>
      <c r="E71" s="3115"/>
      <c r="F71" s="3115"/>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-25297789.149999999</v>
      </c>
      <c r="F77" s="1728">
        <f>F43</f>
        <v>-22510882.850000001</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-25297789.149999999</v>
      </c>
      <c r="F79" s="1731">
        <f>ROUND(F77-F78,2)</f>
        <v>-22510882.850000001</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-25297789.149999999</v>
      </c>
      <c r="F82" s="1728">
        <f>F43</f>
        <v>-22510882.850000001</v>
      </c>
      <c r="G82" s="853"/>
      <c r="H82" s="853"/>
      <c r="I82" s="852"/>
      <c r="J82" s="1664"/>
    </row>
    <row r="83" spans="1:10" ht="18">
      <c r="A83" s="2868" t="s">
        <v>2565</v>
      </c>
      <c r="B83" s="2869"/>
      <c r="C83" s="1691" t="str">
        <f>OwnersEquity!$C$15&amp;" | "&amp;OwnersEquity!$N$7</f>
        <v>（一）综合收益总额 | 未分配利润</v>
      </c>
      <c r="D83" s="1724" t="s">
        <v>5764</v>
      </c>
      <c r="E83" s="1727">
        <f>OwnersEquity!N15</f>
        <v>-25297789.149999999</v>
      </c>
      <c r="F83" s="1728">
        <f>OwnersEquity!AA15</f>
        <v>-22510882.850000001</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-25297789.149999999</v>
      </c>
      <c r="F90" s="1728">
        <f>F65</f>
        <v>-22510882.850000001</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-25297789.149999999</v>
      </c>
      <c r="F91" s="1728">
        <f ca="1">OwnersEquity!AC15</f>
        <v>-22510882.850000001</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-25297789.149999999</v>
      </c>
      <c r="F94" s="1706">
        <f ca="1">SUMIF($C$76:$C$93,"差       异",F76:F93)</f>
        <v>-22510882.850000001</v>
      </c>
      <c r="G94" s="1736"/>
      <c r="H94" s="1740" t="str">
        <f ca="1">IF(E94+F94=0,"Balanced","Diff "&amp;TEXT(ROUND(E94+F94,2),"#,###.00"))</f>
        <v>Diff -47,808,672.00</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873" priority="56" stopIfTrue="1" operator="notEqual">
      <formula>0</formula>
    </cfRule>
  </conditionalFormatting>
  <conditionalFormatting sqref="D74:D75 C74">
    <cfRule type="expression" dxfId="3872" priority="55" stopIfTrue="1">
      <formula>#REF!=TRUE</formula>
    </cfRule>
  </conditionalFormatting>
  <conditionalFormatting sqref="E94:F94 E88:F88 E92:F92 E84:F84">
    <cfRule type="cellIs" dxfId="3871" priority="54" stopIfTrue="1" operator="notEqual">
      <formula>0</formula>
    </cfRule>
  </conditionalFormatting>
  <conditionalFormatting sqref="E94:F94 E88:F88 E92:F92 E84:F84">
    <cfRule type="cellIs" dxfId="3870" priority="52" stopIfTrue="1" operator="notEqual">
      <formula>0</formula>
    </cfRule>
  </conditionalFormatting>
  <conditionalFormatting sqref="E94:F94 E88:F88 E92:F92 E84:F84">
    <cfRule type="cellIs" dxfId="3869" priority="51" stopIfTrue="1" operator="notEqual">
      <formula>0</formula>
    </cfRule>
  </conditionalFormatting>
  <conditionalFormatting sqref="E94:F94 E88:F88 E92:F92 E84:F84">
    <cfRule type="cellIs" dxfId="3868" priority="50" stopIfTrue="1" operator="notEqual">
      <formula>0</formula>
    </cfRule>
  </conditionalFormatting>
  <conditionalFormatting sqref="E94:F94 E88:F88 E92:F92 E84:F84">
    <cfRule type="cellIs" dxfId="3867" priority="48" stopIfTrue="1" operator="notEqual">
      <formula>0</formula>
    </cfRule>
  </conditionalFormatting>
  <conditionalFormatting sqref="E94:F94 E88:F88 E92:F92 E84:F84">
    <cfRule type="cellIs" dxfId="3866" priority="46" stopIfTrue="1" operator="notEqual">
      <formula>0</formula>
    </cfRule>
  </conditionalFormatting>
  <conditionalFormatting sqref="E94:F94 E88:F88 E92:F92 E84:F84">
    <cfRule type="cellIs" dxfId="3865" priority="45" stopIfTrue="1" operator="notEqual">
      <formula>0</formula>
    </cfRule>
  </conditionalFormatting>
  <conditionalFormatting sqref="E94:F94 E88:F88 E92:F92 E84:F84">
    <cfRule type="cellIs" dxfId="3864" priority="44" stopIfTrue="1" operator="notEqual">
      <formula>0</formula>
    </cfRule>
  </conditionalFormatting>
  <conditionalFormatting sqref="E94:F94 E88:F88 E92:F92 E84:F84">
    <cfRule type="cellIs" dxfId="3863" priority="43" stopIfTrue="1" operator="notEqual">
      <formula>0</formula>
    </cfRule>
  </conditionalFormatting>
  <conditionalFormatting sqref="E94:F94 E88:F88 E92:F92 E84:F84">
    <cfRule type="cellIs" dxfId="3862" priority="42" stopIfTrue="1" operator="notEqual">
      <formula>0</formula>
    </cfRule>
  </conditionalFormatting>
  <conditionalFormatting sqref="E94:F94 E88:F88 E92:F92 E84:F84">
    <cfRule type="cellIs" dxfId="3861" priority="41" stopIfTrue="1" operator="notEqual">
      <formula>0</formula>
    </cfRule>
  </conditionalFormatting>
  <conditionalFormatting sqref="E94:F94 E88:F88 E92:F92 E84:F84">
    <cfRule type="cellIs" dxfId="3860" priority="40" stopIfTrue="1" operator="notEqual">
      <formula>0</formula>
    </cfRule>
  </conditionalFormatting>
  <conditionalFormatting sqref="E94:F94 E88:F88 E92:F92 E84:F84">
    <cfRule type="cellIs" dxfId="3859" priority="38" stopIfTrue="1" operator="notEqual">
      <formula>0</formula>
    </cfRule>
  </conditionalFormatting>
  <conditionalFormatting sqref="E94:F94 E88:F88 E92:F92 E84:F84">
    <cfRule type="cellIs" dxfId="3858" priority="36" stopIfTrue="1" operator="notEqual">
      <formula>0</formula>
    </cfRule>
  </conditionalFormatting>
  <conditionalFormatting sqref="E94:F94 E88:F88 E92:F92 E84:F84">
    <cfRule type="cellIs" dxfId="3857" priority="35" stopIfTrue="1" operator="notEqual">
      <formula>0</formula>
    </cfRule>
  </conditionalFormatting>
  <conditionalFormatting sqref="E94:F94 E88:F88 E92:F92 E84:F84">
    <cfRule type="cellIs" dxfId="3856" priority="34" stopIfTrue="1" operator="notEqual">
      <formula>0</formula>
    </cfRule>
  </conditionalFormatting>
  <conditionalFormatting sqref="E94:F94 E88:F88 E92:F92 E84:F84">
    <cfRule type="cellIs" dxfId="3855" priority="32" stopIfTrue="1" operator="notEqual">
      <formula>0</formula>
    </cfRule>
  </conditionalFormatting>
  <conditionalFormatting sqref="E94:F94 E88:F88 E92:F92 E84:F84">
    <cfRule type="cellIs" dxfId="3854" priority="30" stopIfTrue="1" operator="notEqual">
      <formula>0</formula>
    </cfRule>
  </conditionalFormatting>
  <conditionalFormatting sqref="E94:F94 E88:F88 E92:F92 E84:F84">
    <cfRule type="cellIs" dxfId="3853" priority="29" stopIfTrue="1" operator="notEqual">
      <formula>0</formula>
    </cfRule>
  </conditionalFormatting>
  <conditionalFormatting sqref="E94:F94 E88:F88 E92:F92 E84:F84">
    <cfRule type="cellIs" dxfId="3852" priority="28" stopIfTrue="1" operator="notEqual">
      <formula>0</formula>
    </cfRule>
  </conditionalFormatting>
  <conditionalFormatting sqref="E94:F94 E88:F88 E92:F92 E84:F84">
    <cfRule type="cellIs" dxfId="3851" priority="27" stopIfTrue="1" operator="notEqual">
      <formula>0</formula>
    </cfRule>
  </conditionalFormatting>
  <conditionalFormatting sqref="E94:F94 E88:F88 E92:F92 E84:F84">
    <cfRule type="cellIs" dxfId="3850" priority="26" stopIfTrue="1" operator="notEqual">
      <formula>0</formula>
    </cfRule>
  </conditionalFormatting>
  <conditionalFormatting sqref="E94:F94 E88:F88 E92:F92 E84:F84">
    <cfRule type="cellIs" dxfId="3849"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114" t="s">
        <v>5809</v>
      </c>
      <c r="D2" s="3114"/>
      <c r="E2" s="3114"/>
      <c r="F2" s="3114"/>
      <c r="G2" s="1664"/>
      <c r="H2" s="1664"/>
      <c r="I2" s="1664"/>
      <c r="J2" s="1664"/>
    </row>
    <row r="3" spans="1:10" ht="27" customHeight="1">
      <c r="A3" s="2840"/>
      <c r="B3" s="2841"/>
      <c r="C3" s="3113" t="str">
        <f>Lead!$F$7</f>
        <v>2019年度</v>
      </c>
      <c r="D3" s="3113"/>
      <c r="E3" s="3113"/>
      <c r="F3" s="3113"/>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编制单位：华软金信科技（北京）有限公司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343138.18</v>
      </c>
      <c r="F8" s="2128">
        <f t="shared" ref="F8:F20" si="3">VLOOKUP($B8,Sheet_Trialbal,10,0)</f>
        <v>0</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233275.97</v>
      </c>
      <c r="F20" s="2128">
        <f t="shared" si="3"/>
        <v>111511418.34999999</v>
      </c>
      <c r="G20" s="1664"/>
      <c r="H20" s="1664"/>
      <c r="I20" s="1664"/>
      <c r="J20" s="1664"/>
    </row>
    <row r="21" spans="1:10" ht="18" customHeight="1">
      <c r="A21" s="2842" t="str">
        <f t="shared" si="0"/>
        <v>＝</v>
      </c>
      <c r="B21" s="2844">
        <v>7048</v>
      </c>
      <c r="C21" s="2075" t="str">
        <f t="shared" si="1"/>
        <v>经营活动现金流入小计</v>
      </c>
      <c r="D21" s="2168"/>
      <c r="E21" s="2125">
        <f>SUM(E8:E20)</f>
        <v>576414.15</v>
      </c>
      <c r="F21" s="2128">
        <f>SUM(F8:F20)</f>
        <v>111511418.34999999</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0</v>
      </c>
      <c r="F22" s="2128">
        <f t="shared" ref="F22:F31" si="5">VLOOKUP($B22,Sheet_Trialbal,10,0)</f>
        <v>0</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21587533.059999999</v>
      </c>
      <c r="F29" s="2128">
        <f t="shared" si="5"/>
        <v>9687769.6300000008</v>
      </c>
      <c r="G29" s="1664"/>
      <c r="H29" s="1664"/>
      <c r="I29" s="1664"/>
      <c r="J29" s="1664"/>
    </row>
    <row r="30" spans="1:10" ht="18" customHeight="1">
      <c r="A30" s="2842">
        <f t="shared" si="0"/>
        <v>0</v>
      </c>
      <c r="B30" s="2843">
        <v>7071</v>
      </c>
      <c r="C30" s="2079" t="str">
        <f t="shared" si="1"/>
        <v>支付的各项税费</v>
      </c>
      <c r="D30" s="2168"/>
      <c r="E30" s="2125">
        <f t="shared" si="4"/>
        <v>0</v>
      </c>
      <c r="F30" s="2128">
        <f t="shared" si="5"/>
        <v>197626.12</v>
      </c>
      <c r="G30" s="1664"/>
      <c r="H30" s="1664"/>
      <c r="I30" s="1664"/>
      <c r="J30" s="1664"/>
    </row>
    <row r="31" spans="1:10" ht="18" customHeight="1">
      <c r="A31" s="2842">
        <f t="shared" si="0"/>
        <v>0</v>
      </c>
      <c r="B31" s="2843">
        <v>7096</v>
      </c>
      <c r="C31" s="2079" t="str">
        <f t="shared" si="1"/>
        <v>支付其他与经营活动有关的现金</v>
      </c>
      <c r="D31" s="2168"/>
      <c r="E31" s="2125">
        <f t="shared" si="4"/>
        <v>9655236.5600000005</v>
      </c>
      <c r="F31" s="2128">
        <f t="shared" si="5"/>
        <v>47546373.82</v>
      </c>
      <c r="G31" s="1664"/>
      <c r="H31" s="1664"/>
      <c r="I31" s="1664"/>
      <c r="J31" s="1664"/>
    </row>
    <row r="32" spans="1:10" ht="18" customHeight="1">
      <c r="A32" s="2842" t="str">
        <f t="shared" si="0"/>
        <v>＝</v>
      </c>
      <c r="B32" s="2844">
        <v>7098</v>
      </c>
      <c r="C32" s="2075" t="str">
        <f t="shared" si="1"/>
        <v>经营活动现金流出小计</v>
      </c>
      <c r="D32" s="2168"/>
      <c r="E32" s="2125">
        <f>SUM(E22:E31)</f>
        <v>31242769.620000001</v>
      </c>
      <c r="F32" s="2128">
        <f>SUM(F22:F31)</f>
        <v>57431769.57</v>
      </c>
      <c r="G32" s="1664"/>
      <c r="H32" s="1664"/>
      <c r="I32" s="1664"/>
      <c r="J32" s="1664"/>
    </row>
    <row r="33" spans="1:10" ht="18" customHeight="1">
      <c r="A33" s="2842" t="str">
        <f t="shared" si="0"/>
        <v>＝</v>
      </c>
      <c r="B33" s="2844">
        <v>7099</v>
      </c>
      <c r="C33" s="2075" t="str">
        <f t="shared" si="1"/>
        <v>经营活动产生的现金流量净额</v>
      </c>
      <c r="D33" s="2168"/>
      <c r="E33" s="2125">
        <f>SUM(E21,-E32)</f>
        <v>-30666355.469999999</v>
      </c>
      <c r="F33" s="2128">
        <f>SUM(F21,-F32)</f>
        <v>54079648.780000001</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0</v>
      </c>
      <c r="F36" s="2128">
        <f>VLOOKUP($B36,Sheet_Trialbal,10,0)</f>
        <v>0</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0</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0</v>
      </c>
      <c r="F40" s="2128">
        <f>SUM(F35:F39)</f>
        <v>0</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13963177.92</v>
      </c>
      <c r="F41" s="2128">
        <f>VLOOKUP($B41,Sheet_Trialbal,10,0)</f>
        <v>1453325.99</v>
      </c>
      <c r="G41" s="1664"/>
      <c r="H41" s="1664"/>
      <c r="I41" s="1664"/>
      <c r="J41" s="1664"/>
    </row>
    <row r="42" spans="1:10" ht="18" customHeight="1">
      <c r="A42" s="2842">
        <f t="shared" si="6"/>
        <v>0</v>
      </c>
      <c r="B42" s="2843">
        <v>7161</v>
      </c>
      <c r="C42" s="2079" t="str">
        <f t="shared" si="7"/>
        <v>投资支付的现金</v>
      </c>
      <c r="D42" s="2168"/>
      <c r="E42" s="2125">
        <f>VLOOKUP($B42,Sheet_Trialbal,6,0)</f>
        <v>22000000</v>
      </c>
      <c r="F42" s="2128">
        <f>VLOOKUP($B42,Sheet_Trialbal,10,0)</f>
        <v>53000000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10000000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45963177.920000002</v>
      </c>
      <c r="F46" s="2128">
        <f>SUM(F41:F45)</f>
        <v>54453325.990000002</v>
      </c>
      <c r="G46" s="1664"/>
      <c r="H46" s="1664"/>
      <c r="I46" s="1664"/>
      <c r="J46" s="1664"/>
    </row>
    <row r="47" spans="1:10" ht="18" customHeight="1">
      <c r="A47" s="2842" t="str">
        <f t="shared" si="6"/>
        <v>＝</v>
      </c>
      <c r="B47" s="2843">
        <v>7199</v>
      </c>
      <c r="C47" s="2075" t="str">
        <f t="shared" si="7"/>
        <v>投资活动产生的现金流量净额</v>
      </c>
      <c r="D47" s="2168"/>
      <c r="E47" s="2125">
        <f>SUM(E40,-E46)</f>
        <v>-45963177.920000002</v>
      </c>
      <c r="F47" s="2128">
        <f>SUM(F40,-F46)</f>
        <v>-54453325.990000002</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81923075.409999996</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81923075.409999996</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5575000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5575000</v>
      </c>
      <c r="F56" s="2128">
        <f>SUM(F53:F55)</f>
        <v>0</v>
      </c>
      <c r="G56" s="1664"/>
      <c r="H56" s="1664"/>
      <c r="I56" s="1664"/>
      <c r="J56" s="1664"/>
    </row>
    <row r="57" spans="1:16" ht="18" customHeight="1">
      <c r="A57" s="2842" t="str">
        <f t="shared" si="6"/>
        <v>＝</v>
      </c>
      <c r="B57" s="2844">
        <v>7299</v>
      </c>
      <c r="C57" s="2075" t="str">
        <f t="shared" si="7"/>
        <v>筹资活动产生的现金流量净额</v>
      </c>
      <c r="D57" s="2168"/>
      <c r="E57" s="2125">
        <f>SUM(E52,-E56)</f>
        <v>76348075.409999996</v>
      </c>
      <c r="F57" s="2128">
        <f>SUM(F52,-F56)</f>
        <v>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-281457.98</v>
      </c>
      <c r="F59" s="2128">
        <f>SUM(F33,F47,F57,F58)</f>
        <v>-373677.21</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340266.93</v>
      </c>
      <c r="F60" s="2128">
        <f>VLOOKUP($B60,Sheet_Trialbal,10,0)</f>
        <v>713944.14</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58808.95</v>
      </c>
      <c r="F61" s="2164">
        <f>SUM(F59,F60)</f>
        <v>340266.93</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-25297789.149999999</v>
      </c>
      <c r="F68" s="1755">
        <f>VLOOKUP(6799,Sheet_Trialbal,10,0)</f>
        <v>-22510882.850000001</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0</v>
      </c>
      <c r="F69" s="1755">
        <f t="shared" ref="F69:F84" si="11">VLOOKUP($B69,Sheet_Trialbal,10,0)</f>
        <v>29565.119999999999</v>
      </c>
      <c r="G69" s="1751"/>
      <c r="H69" s="1751"/>
      <c r="I69" s="1751"/>
      <c r="J69" s="1664"/>
    </row>
    <row r="70" spans="1:16" ht="18">
      <c r="A70" s="2847"/>
      <c r="B70" s="2844">
        <v>7504</v>
      </c>
      <c r="C70" s="1756" t="str">
        <f t="shared" si="9"/>
        <v>信用减值损失</v>
      </c>
      <c r="D70" s="1753"/>
      <c r="E70" s="1754">
        <f t="shared" si="10"/>
        <v>-3895.59</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63520.08</v>
      </c>
      <c r="F71" s="1755">
        <f t="shared" si="11"/>
        <v>5709.33</v>
      </c>
      <c r="G71" s="1751"/>
      <c r="H71" s="1751"/>
      <c r="I71" s="1751"/>
      <c r="J71" s="1664"/>
    </row>
    <row r="72" spans="1:16" ht="18">
      <c r="A72" s="2847">
        <f t="shared" si="8"/>
        <v>0</v>
      </c>
      <c r="B72" s="2844">
        <v>7506</v>
      </c>
      <c r="C72" s="1756" t="str">
        <f t="shared" si="9"/>
        <v>无形资产摊销</v>
      </c>
      <c r="D72" s="1753"/>
      <c r="E72" s="1754">
        <f t="shared" si="10"/>
        <v>77952.14</v>
      </c>
      <c r="F72" s="1755">
        <f t="shared" si="11"/>
        <v>0</v>
      </c>
      <c r="G72" s="1751"/>
      <c r="H72" s="1751"/>
      <c r="I72" s="1751"/>
      <c r="J72" s="1664"/>
    </row>
    <row r="73" spans="1:16" ht="18">
      <c r="A73" s="2847">
        <f t="shared" si="8"/>
        <v>0</v>
      </c>
      <c r="B73" s="2844">
        <v>7507</v>
      </c>
      <c r="C73" s="1756" t="str">
        <f t="shared" si="9"/>
        <v>长期待摊费用摊销</v>
      </c>
      <c r="D73" s="1753"/>
      <c r="E73" s="1754">
        <f t="shared" si="10"/>
        <v>380521.72</v>
      </c>
      <c r="F73" s="1755">
        <f t="shared" si="11"/>
        <v>110985.51</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0</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0</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0</v>
      </c>
      <c r="F78" s="1755">
        <f t="shared" si="11"/>
        <v>0</v>
      </c>
      <c r="G78" s="1751"/>
      <c r="H78" s="1751"/>
      <c r="I78" s="1751"/>
      <c r="J78" s="1664"/>
    </row>
    <row r="79" spans="1:16" ht="18">
      <c r="A79" s="2847">
        <f t="shared" si="8"/>
        <v>0</v>
      </c>
      <c r="B79" s="2844">
        <v>7515</v>
      </c>
      <c r="C79" s="1756" t="str">
        <f t="shared" si="9"/>
        <v>递延所得税资产减少（增加以“－”号填列）</v>
      </c>
      <c r="D79" s="1753"/>
      <c r="E79" s="1754">
        <f t="shared" si="10"/>
        <v>-6256690.8899999997</v>
      </c>
      <c r="F79" s="1755">
        <f t="shared" si="11"/>
        <v>0</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0</v>
      </c>
      <c r="F81" s="1755">
        <f t="shared" si="11"/>
        <v>0</v>
      </c>
      <c r="G81" s="1751"/>
      <c r="H81" s="1751"/>
      <c r="I81" s="1751"/>
      <c r="J81" s="1664"/>
    </row>
    <row r="82" spans="1:10" ht="18">
      <c r="A82" s="2847">
        <f t="shared" si="8"/>
        <v>0</v>
      </c>
      <c r="B82" s="2844">
        <v>7518</v>
      </c>
      <c r="C82" s="1756" t="str">
        <f t="shared" si="9"/>
        <v>经营性应收项目的减少（增加以“－”号填列）</v>
      </c>
      <c r="D82" s="1753"/>
      <c r="E82" s="1754">
        <f t="shared" si="10"/>
        <v>-111864.86</v>
      </c>
      <c r="F82" s="1755">
        <f t="shared" si="11"/>
        <v>-4716956.07</v>
      </c>
      <c r="G82" s="1751"/>
      <c r="H82" s="1751"/>
      <c r="I82" s="1751"/>
      <c r="J82" s="1664"/>
    </row>
    <row r="83" spans="1:10" ht="18">
      <c r="A83" s="2847">
        <f t="shared" si="8"/>
        <v>0</v>
      </c>
      <c r="B83" s="2844">
        <v>7519</v>
      </c>
      <c r="C83" s="1756" t="str">
        <f t="shared" si="9"/>
        <v>经营性应付项目的增加（减少以“－”号填列）</v>
      </c>
      <c r="D83" s="1753"/>
      <c r="E83" s="1754">
        <f t="shared" si="10"/>
        <v>481891.08</v>
      </c>
      <c r="F83" s="1755">
        <f t="shared" si="11"/>
        <v>81161227.739999995</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-30666355.469999999</v>
      </c>
      <c r="F85" s="1759">
        <f>SUM(F68:F84)</f>
        <v>54079648.780000001</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58808.95</v>
      </c>
      <c r="F91" s="1755">
        <f>VLOOKUP($B91,Sheet_Trialbal,10,0)</f>
        <v>340266.93</v>
      </c>
      <c r="G91" s="1751"/>
      <c r="H91" s="1751"/>
      <c r="I91" s="1751"/>
      <c r="J91" s="1664"/>
    </row>
    <row r="92" spans="1:10" ht="18">
      <c r="A92" s="2847">
        <f t="shared" si="8"/>
        <v>0</v>
      </c>
      <c r="B92" s="2844">
        <v>7536</v>
      </c>
      <c r="C92" s="1756" t="str">
        <f t="shared" si="9"/>
        <v>减：现金的年初余额</v>
      </c>
      <c r="D92" s="1753"/>
      <c r="E92" s="1754">
        <f>VLOOKUP($B92,Sheet_Trialbal,6,0)</f>
        <v>340266.93</v>
      </c>
      <c r="F92" s="1755">
        <f>VLOOKUP($B92,Sheet_Trialbal,10,0)</f>
        <v>713944.14</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-281457.98</v>
      </c>
      <c r="F95" s="1763">
        <f>SUM(F91,-F92,F93,-F94)</f>
        <v>-373677.21</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340266.93</v>
      </c>
      <c r="F100" s="1782"/>
      <c r="G100" s="853"/>
      <c r="H100" s="853"/>
      <c r="I100" s="1751"/>
      <c r="J100" s="1664"/>
    </row>
    <row r="101" spans="1:10" ht="18">
      <c r="A101" s="2847"/>
      <c r="B101" s="2844"/>
      <c r="C101" s="1780" t="str">
        <f>C61&amp;" | "&amp;F98</f>
        <v>六、期末现金及现金等价物余额 | 上期金额</v>
      </c>
      <c r="D101" s="1777" t="s">
        <v>5777</v>
      </c>
      <c r="E101" s="1781">
        <f>F61</f>
        <v>340266.93</v>
      </c>
      <c r="F101" s="1782"/>
      <c r="G101" s="853"/>
      <c r="H101" s="853"/>
      <c r="I101" s="1751"/>
      <c r="J101" s="1664"/>
    </row>
    <row r="102" spans="1:10" ht="18.75" thickBot="1">
      <c r="A102" s="2847"/>
      <c r="B102" s="2844"/>
      <c r="C102" s="1783" t="s">
        <v>5778</v>
      </c>
      <c r="D102" s="1777"/>
      <c r="E102" s="1784">
        <f>ROUND(E100-E101,2)</f>
        <v>0</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-25297789.149999999</v>
      </c>
      <c r="F105" s="1782">
        <f>F68</f>
        <v>-22510882.850000001</v>
      </c>
      <c r="G105" s="853"/>
      <c r="H105" s="853"/>
      <c r="I105" s="1751"/>
      <c r="J105" s="1664"/>
    </row>
    <row r="106" spans="1:10" ht="18">
      <c r="A106" s="2847"/>
      <c r="B106" s="2844">
        <v>6799</v>
      </c>
      <c r="C106" s="1780" t="str">
        <f>VLOOKUP($B106,Sheet_Items,2,0)</f>
        <v>净利润</v>
      </c>
      <c r="D106" s="1777" t="s">
        <v>5781</v>
      </c>
      <c r="E106" s="1781">
        <f>IncomeStatement!E43</f>
        <v>-25297789.149999999</v>
      </c>
      <c r="F106" s="1782">
        <f>IncomeStatement!F43</f>
        <v>-22510882.850000001</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-30666355.469999999</v>
      </c>
      <c r="F110" s="1782">
        <f>F85</f>
        <v>54079648.780000001</v>
      </c>
      <c r="G110" s="853"/>
      <c r="H110" s="853"/>
      <c r="I110" s="1751"/>
      <c r="J110" s="1664"/>
    </row>
    <row r="111" spans="1:10" ht="18">
      <c r="A111" s="2847"/>
      <c r="B111" s="2844">
        <v>7099</v>
      </c>
      <c r="C111" s="1780" t="str">
        <f>C33&amp;"（主表）"</f>
        <v>经营活动产生的现金流量净额（主表）</v>
      </c>
      <c r="D111" s="1777" t="s">
        <v>5777</v>
      </c>
      <c r="E111" s="1781">
        <f>E33</f>
        <v>-30666355.469999999</v>
      </c>
      <c r="F111" s="1782">
        <f>F33</f>
        <v>54079648.780000001</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58808.95</v>
      </c>
      <c r="F114" s="1782">
        <f>SUM(F91,F93)</f>
        <v>340266.93</v>
      </c>
      <c r="G114" s="853"/>
      <c r="H114" s="853"/>
      <c r="I114" s="1751"/>
      <c r="J114" s="1664"/>
    </row>
    <row r="115" spans="1:10" ht="18">
      <c r="A115" s="2847"/>
      <c r="B115" s="2850">
        <v>7399</v>
      </c>
      <c r="C115" s="1780" t="str">
        <f>C61&amp;"（主表）"</f>
        <v>六、期末现金及现金等价物余额（主表）</v>
      </c>
      <c r="D115" s="1777" t="s">
        <v>5777</v>
      </c>
      <c r="E115" s="1781">
        <f>E61</f>
        <v>58808.95</v>
      </c>
      <c r="F115" s="1782">
        <f>F61</f>
        <v>340266.93</v>
      </c>
      <c r="G115" s="853"/>
      <c r="H115" s="853"/>
      <c r="I115" s="1751"/>
      <c r="J115" s="1664"/>
    </row>
    <row r="116" spans="1:10" ht="18.75" thickBot="1">
      <c r="A116" s="2847"/>
      <c r="B116" s="2850"/>
      <c r="C116" s="1783" t="s">
        <v>5778</v>
      </c>
      <c r="D116" s="1777"/>
      <c r="E116" s="1784">
        <f>ROUND(E114-E115,2)</f>
        <v>0</v>
      </c>
      <c r="F116" s="1785">
        <f>ROUND(F114-F115,2)</f>
        <v>0</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340266.93</v>
      </c>
      <c r="F118" s="1782">
        <f>SUM(F92,F94)</f>
        <v>713944.14</v>
      </c>
      <c r="G118" s="853"/>
      <c r="H118" s="853"/>
      <c r="I118" s="1751"/>
      <c r="J118" s="1664"/>
    </row>
    <row r="119" spans="1:10" ht="18">
      <c r="A119" s="2847"/>
      <c r="B119" s="2850">
        <v>7349</v>
      </c>
      <c r="C119" s="1780" t="str">
        <f>C60&amp;"（主表）"</f>
        <v>加：期初现金及现金等价物余额（主表）</v>
      </c>
      <c r="D119" s="1777" t="s">
        <v>5777</v>
      </c>
      <c r="E119" s="1781">
        <f>E60</f>
        <v>340266.93</v>
      </c>
      <c r="F119" s="1782">
        <f>F60</f>
        <v>713944.14</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-281457.98</v>
      </c>
      <c r="F122" s="1782">
        <f>F95</f>
        <v>-373677.21</v>
      </c>
      <c r="G122" s="853"/>
      <c r="H122" s="853"/>
      <c r="I122" s="1751"/>
      <c r="J122" s="1664"/>
    </row>
    <row r="123" spans="1:10" ht="18">
      <c r="A123" s="2847"/>
      <c r="B123" s="2850">
        <v>7348</v>
      </c>
      <c r="C123" s="1780" t="str">
        <f>C59&amp;"（主表）"</f>
        <v>五、现金及现金等价物净增加额（主表）</v>
      </c>
      <c r="D123" s="1777" t="s">
        <v>5782</v>
      </c>
      <c r="E123" s="1781">
        <f>E59</f>
        <v>-281457.98</v>
      </c>
      <c r="F123" s="1782">
        <f>F59</f>
        <v>-373677.21</v>
      </c>
      <c r="G123" s="853"/>
      <c r="H123" s="853"/>
      <c r="I123" s="1751"/>
      <c r="J123" s="1664"/>
    </row>
    <row r="124" spans="1:10" ht="18.75" thickBot="1">
      <c r="A124" s="2847"/>
      <c r="B124" s="2850"/>
      <c r="C124" s="1783" t="s">
        <v>5771</v>
      </c>
      <c r="D124" s="1777"/>
      <c r="E124" s="1784">
        <f>ROUND(E122-E123,2)</f>
        <v>0</v>
      </c>
      <c r="F124" s="1785">
        <f>ROUND(F122-F123,2)</f>
        <v>0</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0</v>
      </c>
      <c r="F126" s="1794">
        <f>SUMIF($C99:$C125,"差       异",F99:F125)</f>
        <v>0</v>
      </c>
      <c r="G126" s="850"/>
      <c r="H126" s="1795" t="str">
        <f>IF(E126+F126=0,"Balanced","Diff "&amp;TEXT(ROUND(E126+F126,2),"#,###.00"))</f>
        <v>Balanced</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3848" priority="6" stopIfTrue="1" operator="notEqual">
      <formula>0</formula>
    </cfRule>
  </conditionalFormatting>
  <conditionalFormatting sqref="C97:D97 D98">
    <cfRule type="expression" dxfId="3847" priority="5" stopIfTrue="1">
      <formula>#REF!=TRUE</formula>
    </cfRule>
  </conditionalFormatting>
  <conditionalFormatting sqref="E126:F126 E112:F112 E107:F107 E116:F116 E120:F120 E124:F124 E102:F102">
    <cfRule type="cellIs" dxfId="3846" priority="4" stopIfTrue="1" operator="notEqual">
      <formula>0</formula>
    </cfRule>
  </conditionalFormatting>
  <conditionalFormatting sqref="E126:F126 E112:F112 E107:F107 E116:F116 E120:F120 E124:F124 E102:F102">
    <cfRule type="cellIs" dxfId="3845" priority="3" stopIfTrue="1" operator="notEqual">
      <formula>0</formula>
    </cfRule>
  </conditionalFormatting>
  <conditionalFormatting sqref="C97:D97 D98">
    <cfRule type="expression" dxfId="3844" priority="2" stopIfTrue="1">
      <formula>#REF!=TRUE</formula>
    </cfRule>
  </conditionalFormatting>
  <conditionalFormatting sqref="E126:F126 E112:F112 E107:F107 E116:F116 E120:F120 E124:F124 E102:F102">
    <cfRule type="cellIs" dxfId="3843"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编制单位：华软金信科技（北京）有限公司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134" t="str">
        <f>Lead!$F$7</f>
        <v>2019年度</v>
      </c>
      <c r="E6" s="3134"/>
      <c r="F6" s="3134"/>
      <c r="G6" s="3134"/>
      <c r="H6" s="3134"/>
      <c r="I6" s="3134"/>
      <c r="J6" s="3134"/>
      <c r="K6" s="3134"/>
      <c r="L6" s="3134"/>
      <c r="M6" s="3134"/>
      <c r="N6" s="3134"/>
      <c r="O6" s="3134"/>
      <c r="P6" s="3135"/>
      <c r="Q6" s="3136" t="str">
        <f>Lead!$F$8</f>
        <v>2018年度</v>
      </c>
      <c r="R6" s="3134"/>
      <c r="S6" s="3134"/>
      <c r="T6" s="3134"/>
      <c r="U6" s="3134"/>
      <c r="V6" s="3134"/>
      <c r="W6" s="3134"/>
      <c r="X6" s="3134"/>
      <c r="Y6" s="3134"/>
      <c r="Z6" s="3134"/>
      <c r="AA6" s="3134"/>
      <c r="AB6" s="3134"/>
      <c r="AC6" s="3135"/>
      <c r="AD6" s="1803"/>
      <c r="AE6" s="1803"/>
      <c r="AF6" s="1803"/>
      <c r="AG6" s="1803"/>
    </row>
    <row r="7" spans="1:33" ht="18" customHeight="1">
      <c r="A7" s="1796" t="s">
        <v>2556</v>
      </c>
      <c r="B7" s="1796" t="s">
        <v>2558</v>
      </c>
      <c r="C7" s="2899" t="s">
        <v>5134</v>
      </c>
      <c r="D7" s="3137" t="s">
        <v>5851</v>
      </c>
      <c r="E7" s="3138" t="s">
        <v>5795</v>
      </c>
      <c r="F7" s="3138"/>
      <c r="G7" s="3138"/>
      <c r="H7" s="3133" t="s">
        <v>592</v>
      </c>
      <c r="I7" s="3133" t="s">
        <v>682</v>
      </c>
      <c r="J7" s="3133" t="s">
        <v>5796</v>
      </c>
      <c r="K7" s="3133" t="s">
        <v>627</v>
      </c>
      <c r="L7" s="3133" t="s">
        <v>602</v>
      </c>
      <c r="M7" s="3133" t="s">
        <v>2613</v>
      </c>
      <c r="N7" s="3133" t="s">
        <v>611</v>
      </c>
      <c r="O7" s="3133" t="s">
        <v>932</v>
      </c>
      <c r="P7" s="3139" t="s">
        <v>5876</v>
      </c>
      <c r="Q7" s="3140" t="s">
        <v>5851</v>
      </c>
      <c r="R7" s="3138" t="s">
        <v>5795</v>
      </c>
      <c r="S7" s="3138"/>
      <c r="T7" s="3138"/>
      <c r="U7" s="3133" t="s">
        <v>592</v>
      </c>
      <c r="V7" s="3133" t="s">
        <v>682</v>
      </c>
      <c r="W7" s="3133" t="s">
        <v>5796</v>
      </c>
      <c r="X7" s="3133" t="s">
        <v>627</v>
      </c>
      <c r="Y7" s="3133" t="s">
        <v>602</v>
      </c>
      <c r="Z7" s="3133" t="s">
        <v>2613</v>
      </c>
      <c r="AA7" s="3133" t="s">
        <v>611</v>
      </c>
      <c r="AB7" s="3133" t="s">
        <v>932</v>
      </c>
      <c r="AC7" s="3139" t="s">
        <v>2614</v>
      </c>
      <c r="AD7" s="1806"/>
      <c r="AE7" s="1803"/>
      <c r="AF7" s="1803"/>
      <c r="AG7" s="1803"/>
    </row>
    <row r="8" spans="1:33" ht="18" customHeight="1">
      <c r="A8" s="1796"/>
      <c r="B8" s="1796"/>
      <c r="C8" s="2176" t="s">
        <v>5761</v>
      </c>
      <c r="D8" s="3137"/>
      <c r="E8" s="2177" t="s">
        <v>2662</v>
      </c>
      <c r="F8" s="2177" t="s">
        <v>2663</v>
      </c>
      <c r="G8" s="2177" t="s">
        <v>932</v>
      </c>
      <c r="H8" s="3133"/>
      <c r="I8" s="3133"/>
      <c r="J8" s="3133"/>
      <c r="K8" s="3133"/>
      <c r="L8" s="3133"/>
      <c r="M8" s="3133"/>
      <c r="N8" s="3133"/>
      <c r="O8" s="3133"/>
      <c r="P8" s="3139"/>
      <c r="Q8" s="3140"/>
      <c r="R8" s="2177" t="s">
        <v>2662</v>
      </c>
      <c r="S8" s="2177" t="s">
        <v>2663</v>
      </c>
      <c r="T8" s="2177" t="s">
        <v>932</v>
      </c>
      <c r="U8" s="3133"/>
      <c r="V8" s="3133"/>
      <c r="W8" s="3133"/>
      <c r="X8" s="3133"/>
      <c r="Y8" s="3133"/>
      <c r="Z8" s="3133"/>
      <c r="AA8" s="3133"/>
      <c r="AB8" s="3133"/>
      <c r="AC8" s="3139"/>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0</v>
      </c>
      <c r="M9" s="2171">
        <f t="shared" si="3"/>
        <v>0</v>
      </c>
      <c r="N9" s="2171">
        <f t="shared" si="3"/>
        <v>0</v>
      </c>
      <c r="O9" s="2171">
        <f t="shared" si="3"/>
        <v>0</v>
      </c>
      <c r="P9" s="2182">
        <f t="shared" ref="P9:P36" si="4">SUM(D9:H9,-I9,J9:O9)</f>
        <v>0</v>
      </c>
      <c r="Q9" s="2180">
        <f>IF(ISERROR(VLOOKUP(VALUE(Q$2&amp;$B9),Sheet_Trialbal,10,0)),0,VLOOKUP(VALUE(Q$2&amp;$B9),Sheet_Trialbal,10,0))</f>
        <v>100000000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0</v>
      </c>
      <c r="Z9" s="2172">
        <f t="shared" si="7"/>
        <v>0</v>
      </c>
      <c r="AA9" s="2172">
        <f t="shared" si="7"/>
        <v>-24720001.289999999</v>
      </c>
      <c r="AB9" s="2172">
        <f t="shared" si="7"/>
        <v>0</v>
      </c>
      <c r="AC9" s="2173">
        <f t="shared" ref="AC9:AC36" ca="1" si="8">SUM(Q9:U9,-V9,W9:AB9)</f>
        <v>75279998.709999993</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0</v>
      </c>
      <c r="O10" s="2171">
        <f t="shared" si="3"/>
        <v>0</v>
      </c>
      <c r="P10" s="2182">
        <f t="shared" si="4"/>
        <v>0</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0</v>
      </c>
      <c r="E13" s="2171">
        <f t="shared" si="9"/>
        <v>0</v>
      </c>
      <c r="F13" s="2171">
        <f t="shared" si="9"/>
        <v>0</v>
      </c>
      <c r="G13" s="2171">
        <f t="shared" si="9"/>
        <v>0</v>
      </c>
      <c r="H13" s="2171">
        <f t="shared" si="9"/>
        <v>0</v>
      </c>
      <c r="I13" s="2171">
        <f t="shared" si="9"/>
        <v>0</v>
      </c>
      <c r="J13" s="2171">
        <f t="shared" si="9"/>
        <v>0</v>
      </c>
      <c r="K13" s="2171">
        <f t="shared" si="9"/>
        <v>0</v>
      </c>
      <c r="L13" s="2171">
        <f t="shared" si="9"/>
        <v>0</v>
      </c>
      <c r="M13" s="2171">
        <f t="shared" si="9"/>
        <v>0</v>
      </c>
      <c r="N13" s="2171">
        <f t="shared" si="9"/>
        <v>0</v>
      </c>
      <c r="O13" s="2171">
        <f t="shared" si="9"/>
        <v>0</v>
      </c>
      <c r="P13" s="2182">
        <f t="shared" si="4"/>
        <v>0</v>
      </c>
      <c r="Q13" s="2180">
        <f t="shared" ref="Q13:AB13" si="10">SUM(Q9:Q12)</f>
        <v>100000000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0</v>
      </c>
      <c r="Z13" s="2172">
        <f t="shared" si="10"/>
        <v>0</v>
      </c>
      <c r="AA13" s="2172">
        <f t="shared" si="10"/>
        <v>-24720001.289999999</v>
      </c>
      <c r="AB13" s="2172">
        <f t="shared" si="10"/>
        <v>0</v>
      </c>
      <c r="AC13" s="2173">
        <f t="shared" ca="1" si="8"/>
        <v>75279998.709999993</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0</v>
      </c>
      <c r="I14" s="2171">
        <f t="shared" si="11"/>
        <v>0</v>
      </c>
      <c r="J14" s="2171">
        <f t="shared" si="11"/>
        <v>0</v>
      </c>
      <c r="K14" s="2171">
        <f t="shared" si="11"/>
        <v>0</v>
      </c>
      <c r="L14" s="2171">
        <f t="shared" si="11"/>
        <v>0</v>
      </c>
      <c r="M14" s="2171">
        <f t="shared" si="11"/>
        <v>0</v>
      </c>
      <c r="N14" s="2171">
        <f t="shared" si="11"/>
        <v>-25297789.149999999</v>
      </c>
      <c r="O14" s="2171">
        <f t="shared" si="11"/>
        <v>0</v>
      </c>
      <c r="P14" s="2182">
        <f t="shared" si="4"/>
        <v>-25297789.149999999</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0</v>
      </c>
      <c r="Z14" s="2172">
        <f t="shared" si="12"/>
        <v>0</v>
      </c>
      <c r="AA14" s="2172">
        <f t="shared" si="12"/>
        <v>-22510882.850000001</v>
      </c>
      <c r="AB14" s="2172">
        <f t="shared" si="12"/>
        <v>0</v>
      </c>
      <c r="AC14" s="2173">
        <f t="shared" ca="1" si="8"/>
        <v>-22510882.850000001</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-25297789.149999999</v>
      </c>
      <c r="O15" s="2171">
        <f>IF(ISERROR(VLOOKUP(VALUE(O$2&amp;$B15),Sheet_Trialbal,6,0)),0,VLOOKUP(VALUE(O$2&amp;$B15),Sheet_Trialbal,6,0))</f>
        <v>0</v>
      </c>
      <c r="P15" s="2182">
        <f t="shared" si="4"/>
        <v>-25297789.149999999</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-22510882.850000001</v>
      </c>
      <c r="AB15" s="2172">
        <f>IF(ISERROR(VLOOKUP(VALUE(AB$2&amp;$B15),Sheet_Trialbal,10,0)),0,VLOOKUP(VALUE(AB$2&amp;$B15),Sheet_Trialbal,10,0))</f>
        <v>0</v>
      </c>
      <c r="AC15" s="2173">
        <f t="shared" ca="1" si="8"/>
        <v>-22510882.850000001</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0</v>
      </c>
      <c r="I16" s="2171">
        <f t="shared" si="13"/>
        <v>0</v>
      </c>
      <c r="J16" s="2171">
        <f t="shared" si="13"/>
        <v>0</v>
      </c>
      <c r="K16" s="2171">
        <f t="shared" si="13"/>
        <v>0</v>
      </c>
      <c r="L16" s="2171">
        <f t="shared" si="13"/>
        <v>0</v>
      </c>
      <c r="M16" s="2171">
        <f t="shared" si="13"/>
        <v>0</v>
      </c>
      <c r="N16" s="2171">
        <f t="shared" si="13"/>
        <v>0</v>
      </c>
      <c r="O16" s="2171">
        <f t="shared" si="13"/>
        <v>0</v>
      </c>
      <c r="P16" s="2182">
        <f t="shared" si="4"/>
        <v>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0</v>
      </c>
      <c r="M21" s="2171">
        <f t="shared" si="21"/>
        <v>0</v>
      </c>
      <c r="N21" s="2171">
        <f t="shared" si="21"/>
        <v>0</v>
      </c>
      <c r="O21" s="2171">
        <f t="shared" si="21"/>
        <v>0</v>
      </c>
      <c r="P21" s="2182">
        <f t="shared" si="4"/>
        <v>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0</v>
      </c>
      <c r="Z21" s="2172">
        <f t="shared" si="22"/>
        <v>0</v>
      </c>
      <c r="AA21" s="2172">
        <f t="shared" si="22"/>
        <v>0</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0</v>
      </c>
      <c r="M22" s="2171">
        <f t="shared" si="25"/>
        <v>0</v>
      </c>
      <c r="N22" s="2171">
        <f t="shared" si="25"/>
        <v>0</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0</v>
      </c>
      <c r="Z22" s="2172">
        <f t="shared" si="28"/>
        <v>0</v>
      </c>
      <c r="AA22" s="2172">
        <f t="shared" si="28"/>
        <v>0</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0</v>
      </c>
      <c r="O24" s="2171">
        <f t="shared" si="25"/>
        <v>0</v>
      </c>
      <c r="P24" s="2182">
        <f t="shared" si="4"/>
        <v>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0</v>
      </c>
      <c r="E37" s="2183">
        <f t="shared" si="49"/>
        <v>0</v>
      </c>
      <c r="F37" s="2183">
        <f t="shared" si="49"/>
        <v>0</v>
      </c>
      <c r="G37" s="2183">
        <f t="shared" si="49"/>
        <v>0</v>
      </c>
      <c r="H37" s="2183">
        <f t="shared" si="49"/>
        <v>0</v>
      </c>
      <c r="I37" s="2183">
        <f t="shared" si="49"/>
        <v>0</v>
      </c>
      <c r="J37" s="2183">
        <f t="shared" si="49"/>
        <v>0</v>
      </c>
      <c r="K37" s="2183">
        <f t="shared" si="49"/>
        <v>0</v>
      </c>
      <c r="L37" s="2183">
        <f t="shared" si="49"/>
        <v>0</v>
      </c>
      <c r="M37" s="2183">
        <f t="shared" si="49"/>
        <v>0</v>
      </c>
      <c r="N37" s="2183">
        <f t="shared" si="49"/>
        <v>-25297789.149999999</v>
      </c>
      <c r="O37" s="2183">
        <f t="shared" si="49"/>
        <v>0</v>
      </c>
      <c r="P37" s="2184">
        <f t="shared" si="49"/>
        <v>-25297789.149999999</v>
      </c>
      <c r="Q37" s="2181">
        <f t="shared" si="49"/>
        <v>100000000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0</v>
      </c>
      <c r="Z37" s="2174">
        <f t="shared" si="49"/>
        <v>0</v>
      </c>
      <c r="AA37" s="2174">
        <f t="shared" si="49"/>
        <v>-47230884.140000001</v>
      </c>
      <c r="AB37" s="2174">
        <f t="shared" si="49"/>
        <v>0</v>
      </c>
      <c r="AC37" s="2175">
        <f t="shared" ca="1" si="49"/>
        <v>52769115.859999999</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-52769115.859999999</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0</v>
      </c>
      <c r="R44" s="1727">
        <f t="shared" si="50"/>
        <v>0</v>
      </c>
      <c r="S44" s="1727">
        <f t="shared" si="50"/>
        <v>0</v>
      </c>
      <c r="T44" s="1727">
        <f t="shared" si="50"/>
        <v>0</v>
      </c>
      <c r="U44" s="1694">
        <f t="shared" si="50"/>
        <v>0</v>
      </c>
      <c r="V44" s="1694">
        <f t="shared" si="50"/>
        <v>0</v>
      </c>
      <c r="W44" s="1694">
        <f t="shared" si="50"/>
        <v>0</v>
      </c>
      <c r="X44" s="1694">
        <f t="shared" si="50"/>
        <v>0</v>
      </c>
      <c r="Y44" s="1694">
        <f t="shared" si="50"/>
        <v>0</v>
      </c>
      <c r="Z44" s="1694">
        <f t="shared" si="50"/>
        <v>0</v>
      </c>
      <c r="AA44" s="1694">
        <f t="shared" si="50"/>
        <v>0</v>
      </c>
      <c r="AB44" s="1694">
        <f t="shared" si="50"/>
        <v>0</v>
      </c>
      <c r="AC44" s="1695">
        <f t="shared" si="50"/>
        <v>0</v>
      </c>
      <c r="AD44" s="1803"/>
      <c r="AE44" s="1803"/>
      <c r="AF44" s="1803"/>
      <c r="AG44" s="1803"/>
    </row>
    <row r="45" spans="1:33" ht="18">
      <c r="A45" s="2836" t="s">
        <v>2565</v>
      </c>
      <c r="B45" s="2837"/>
      <c r="C45" s="1819" t="str">
        <f ca="1">IF(C44=0,"Balanced","Diff "&amp;TEXT(ROUND(C44,2),"#,###.00"))</f>
        <v>Diff -52,769,115.86</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100000000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0</v>
      </c>
      <c r="Z45" s="1821">
        <f t="shared" si="51"/>
        <v>0</v>
      </c>
      <c r="AA45" s="1821">
        <f t="shared" si="51"/>
        <v>-47230884.140000001</v>
      </c>
      <c r="AB45" s="1821">
        <f t="shared" si="51"/>
        <v>0</v>
      </c>
      <c r="AC45" s="1728">
        <f t="shared" ca="1" si="51"/>
        <v>52769115.859999999</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-100000000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47230884.140000001</v>
      </c>
      <c r="AB46" s="1824">
        <f t="shared" si="52"/>
        <v>0</v>
      </c>
      <c r="AC46" s="1731">
        <f t="shared" ca="1" si="52"/>
        <v>-52769115.859999999</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0</v>
      </c>
      <c r="E51" s="1694">
        <f t="shared" si="54"/>
        <v>0</v>
      </c>
      <c r="F51" s="1694">
        <f t="shared" si="54"/>
        <v>0</v>
      </c>
      <c r="G51" s="1694">
        <f t="shared" si="54"/>
        <v>0</v>
      </c>
      <c r="H51" s="1694">
        <f t="shared" si="54"/>
        <v>0</v>
      </c>
      <c r="I51" s="1694">
        <f t="shared" si="54"/>
        <v>0</v>
      </c>
      <c r="J51" s="1694">
        <f t="shared" si="54"/>
        <v>0</v>
      </c>
      <c r="K51" s="1694">
        <f t="shared" si="54"/>
        <v>0</v>
      </c>
      <c r="L51" s="1694">
        <f t="shared" si="54"/>
        <v>0</v>
      </c>
      <c r="M51" s="1694">
        <f t="shared" si="54"/>
        <v>0</v>
      </c>
      <c r="N51" s="1694">
        <f t="shared" si="54"/>
        <v>-25297789.149999999</v>
      </c>
      <c r="O51" s="1694">
        <f t="shared" si="54"/>
        <v>0</v>
      </c>
      <c r="P51" s="1841">
        <f t="shared" si="54"/>
        <v>-25297789.149999999</v>
      </c>
      <c r="Q51" s="1820">
        <f t="shared" si="54"/>
        <v>100000000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0</v>
      </c>
      <c r="Z51" s="1821">
        <f t="shared" si="54"/>
        <v>0</v>
      </c>
      <c r="AA51" s="1821">
        <f t="shared" si="54"/>
        <v>-47230884.140000001</v>
      </c>
      <c r="AB51" s="1821">
        <f t="shared" si="54"/>
        <v>0</v>
      </c>
      <c r="AC51" s="1728">
        <f t="shared" ca="1" si="54"/>
        <v>52769115.859999999</v>
      </c>
      <c r="AD51" s="1803"/>
      <c r="AE51" s="1803"/>
      <c r="AF51" s="1803"/>
      <c r="AG51" s="1803"/>
    </row>
    <row r="52" spans="1:33" ht="18">
      <c r="A52" s="2836" t="s">
        <v>2565</v>
      </c>
      <c r="B52" s="2837"/>
      <c r="C52" s="1842" t="s">
        <v>5806</v>
      </c>
      <c r="D52" s="1694">
        <f>BalanceSheet!K47</f>
        <v>0</v>
      </c>
      <c r="E52" s="1694">
        <f>BalanceSheet!K49</f>
        <v>0</v>
      </c>
      <c r="F52" s="1694">
        <f>BalanceSheet!K50</f>
        <v>0</v>
      </c>
      <c r="G52" s="1694">
        <f>BalanceSheet!K48-BalanceSheet!K49-BalanceSheet!K50</f>
        <v>0</v>
      </c>
      <c r="H52" s="1694">
        <f>BalanceSheet!K51</f>
        <v>0</v>
      </c>
      <c r="I52" s="1694">
        <f>BalanceSheet!K52</f>
        <v>0</v>
      </c>
      <c r="J52" s="1694">
        <f>BalanceSheet!K53</f>
        <v>0</v>
      </c>
      <c r="K52" s="1694">
        <f>BalanceSheet!K54</f>
        <v>0</v>
      </c>
      <c r="L52" s="1694">
        <f>BalanceSheet!K55</f>
        <v>0</v>
      </c>
      <c r="M52" s="1694">
        <f>BalanceSheet!K56</f>
        <v>0</v>
      </c>
      <c r="N52" s="1694">
        <f>BalanceSheet!K57</f>
        <v>-25297789.149999999</v>
      </c>
      <c r="O52" s="1694"/>
      <c r="P52" s="1841">
        <f>BalanceSheet!K58</f>
        <v>-25297789.149999999</v>
      </c>
      <c r="Q52" s="1820">
        <f>BalanceSheet!L47</f>
        <v>100000000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0</v>
      </c>
      <c r="Z52" s="1821">
        <f>BalanceSheet!L56</f>
        <v>0</v>
      </c>
      <c r="AA52" s="1821">
        <f>BalanceSheet!L57</f>
        <v>-47230884.140000001</v>
      </c>
      <c r="AB52" s="1821"/>
      <c r="AC52" s="1728">
        <f>BalanceSheet!L58</f>
        <v>52769115.859999999</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842" priority="9" stopIfTrue="1" operator="notEqual">
      <formula>0</formula>
    </cfRule>
  </conditionalFormatting>
  <conditionalFormatting sqref="C48:C49 C42">
    <cfRule type="expression" dxfId="3841"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55"/>
  <sheetViews>
    <sheetView tabSelected="1" topLeftCell="A3172" workbookViewId="0">
      <selection activeCell="L3180" sqref="L3180"/>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华软金信科技（北京）有限公司</v>
      </c>
      <c r="I2" s="306"/>
      <c r="J2" s="321"/>
      <c r="K2" s="322"/>
      <c r="L2" s="323" t="s">
        <v>2521</v>
      </c>
      <c r="N2" s="324" t="s">
        <v>2501</v>
      </c>
      <c r="O2" s="322"/>
      <c r="P2" s="322"/>
      <c r="Q2" s="2742" t="str">
        <f ca="1">HYPERLINK("#'"&amp;$G$1&amp;"'!"&amp;ADDRESS(ROW(Notes!S12),COLUMN(Notes!S12),4),S12)</f>
        <v>操作提示：</v>
      </c>
      <c r="R2" s="322"/>
      <c r="S2" s="2740" t="s">
        <v>6583</v>
      </c>
      <c r="T2" s="2739" t="s">
        <v>6588</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43861</v>
      </c>
      <c r="O3" s="295" t="s">
        <v>2650</v>
      </c>
      <c r="P3" s="2743" t="s">
        <v>6589</v>
      </c>
      <c r="Q3" s="2742" t="str">
        <f ca="1">HYPERLINK("#'"&amp;$G$1&amp;"'!"&amp;ADDRESS(ROW(Notes!S2),COLUMN(Notes!S2),4),S2)</f>
        <v>自定义标识：</v>
      </c>
      <c r="R3" s="322"/>
      <c r="S3" s="364" t="s">
        <v>6584</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6585</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-17581403.809999999</v>
      </c>
      <c r="I7" s="333">
        <f ca="1">SUMIF($J:$J,"附注列报*",$O:$O)</f>
        <v>1791065012.6400001</v>
      </c>
      <c r="J7" s="334" t="s">
        <v>2729</v>
      </c>
      <c r="K7" s="335">
        <f ca="1">COUNTIF($L:$L,"#Logical!")+COUNTIF($O:$O,"#Logical!")</f>
        <v>1</v>
      </c>
      <c r="L7" s="336" t="s">
        <v>2730</v>
      </c>
      <c r="M7" s="337">
        <f>COUNTIF($D:$D,"&gt;1")</f>
        <v>0</v>
      </c>
      <c r="N7" s="338" t="s">
        <v>2731</v>
      </c>
      <c r="P7" s="337">
        <f ca="1">COUNTIF($K:$K,"请设置公式")+COUNTIF($N:$N,"请设置公式")</f>
        <v>0</v>
      </c>
      <c r="Q7" s="322"/>
      <c r="R7" s="322"/>
      <c r="S7" s="364" t="s">
        <v>6586</v>
      </c>
      <c r="T7" s="2741" t="s">
        <v>6587</v>
      </c>
      <c r="U7" s="2735"/>
      <c r="V7" s="340" t="s">
        <v>6580</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134</v>
      </c>
      <c r="Q8" s="366"/>
      <c r="R8" s="366"/>
      <c r="S8" s="364"/>
      <c r="U8" s="2736"/>
      <c r="V8" s="340" t="s">
        <v>6581</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0</v>
      </c>
      <c r="L9" s="342"/>
      <c r="M9" s="306" t="s">
        <v>2741</v>
      </c>
      <c r="N9" s="341">
        <f>VLOOKUP($A9,Sheet_Trialbal,10,0)</f>
        <v>340266.93</v>
      </c>
      <c r="O9" s="342"/>
      <c r="P9" s="301"/>
      <c r="S9" s="364"/>
      <c r="U9" s="2737"/>
      <c r="V9" s="2713" t="s">
        <v>6582</v>
      </c>
      <c r="Z9" s="609" t="s">
        <v>48</v>
      </c>
      <c r="AA9" s="609" t="s">
        <v>5649</v>
      </c>
    </row>
    <row r="10" spans="1:31" ht="18">
      <c r="A10" s="2714" t="s">
        <v>69</v>
      </c>
      <c r="B10" s="371">
        <v>1</v>
      </c>
      <c r="C10" s="371"/>
      <c r="D10" s="2716" t="str">
        <f>VLOOKUP($A10,Sheet_NoteList,2,0)</f>
        <v>货币资金明细项目</v>
      </c>
      <c r="E10" s="2716" t="s">
        <v>6531</v>
      </c>
      <c r="F10" s="294"/>
      <c r="G10" s="307" t="str">
        <f>"("&amp;B10&amp;")"&amp;D10</f>
        <v>(1)货币资金明细项目</v>
      </c>
      <c r="H10" s="1517" t="str">
        <f>$A10</f>
        <v>1015b</v>
      </c>
      <c r="I10" s="343" t="s">
        <v>5124</v>
      </c>
      <c r="J10" s="301" t="s">
        <v>5122</v>
      </c>
      <c r="K10" s="2210">
        <f>H17</f>
        <v>0</v>
      </c>
      <c r="L10" s="345" t="str">
        <f>IF($I10="适用",IF(ROUND($K$9-K10,2)=0,"F/S",ROUND($K$9-K10,2)),"#N/A")</f>
        <v>F/S</v>
      </c>
      <c r="M10" s="301" t="s">
        <v>5123</v>
      </c>
      <c r="N10" s="2210">
        <f>I17</f>
        <v>0</v>
      </c>
      <c r="O10" s="345">
        <f>IF($I10="适用",IF(ROUND($N$9-N10,2)=0,"F/S",ROUND($N$9-N10,2)),"#N/A")</f>
        <v>340266.93</v>
      </c>
      <c r="P10" s="301"/>
      <c r="Q10" s="290" t="str">
        <f>IF($I10="不适用","",IF(ROUND(SUM($H$13:$I$17),2)=0,"请输入",""))</f>
        <v>请输入</v>
      </c>
      <c r="S10" s="364"/>
      <c r="U10" s="2738"/>
      <c r="V10" s="2713" t="s">
        <v>6579</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c r="I13" s="346"/>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c r="I14" s="346"/>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0</v>
      </c>
      <c r="I17" s="1479">
        <f>SUMPRODUCT($E12:$E16,I12:I16)</f>
        <v>0</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6532</v>
      </c>
      <c r="F20" s="294"/>
      <c r="G20" s="307" t="str">
        <f>"("&amp;B20&amp;")"&amp;D20</f>
        <v>(2)货币资金按币种列示</v>
      </c>
      <c r="H20" s="1517" t="str">
        <f>$A20</f>
        <v>1015a</v>
      </c>
      <c r="I20" s="343" t="s">
        <v>5363</v>
      </c>
      <c r="J20" s="301" t="s">
        <v>5361</v>
      </c>
      <c r="K20" s="2210">
        <f>J57</f>
        <v>0</v>
      </c>
      <c r="L20" s="345" t="str">
        <f>IF($I20="适用",IF(ROUND(K9-K20,2)=0,"F/S",ROUND(K9-K20,2)),"#N/A")</f>
        <v>F/S</v>
      </c>
      <c r="M20" s="301" t="s">
        <v>5362</v>
      </c>
      <c r="N20" s="2210">
        <f>M57</f>
        <v>0</v>
      </c>
      <c r="O20" s="345">
        <f>IF($I20="适用",IF(ROUND(N9-N20,2)=0,"F/S",ROUND(N9-N20,2)),"#N/A")</f>
        <v>340266.93</v>
      </c>
      <c r="P20" s="301"/>
      <c r="Q20" s="290" t="str">
        <f>IF($I20="不适用","",IF(ROUND(SUM($H$25:$M$57),2)=0,"请输入",""))</f>
        <v>请输入</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271" t="s">
        <v>47</v>
      </c>
      <c r="H23" s="3286" t="str">
        <f>$V$2</f>
        <v>2019年12月31日</v>
      </c>
      <c r="I23" s="3287"/>
      <c r="J23" s="3271"/>
      <c r="K23" s="3286" t="str">
        <f>$V$3</f>
        <v>2018年12月31日</v>
      </c>
      <c r="L23" s="3287"/>
      <c r="M23" s="3287"/>
      <c r="N23" s="355" t="s">
        <v>5604</v>
      </c>
      <c r="O23" s="291"/>
      <c r="P23" s="291"/>
      <c r="Q23" s="367"/>
      <c r="R23" s="367"/>
      <c r="S23" s="364"/>
      <c r="Z23" s="609" t="s">
        <v>48</v>
      </c>
      <c r="AA23" s="609" t="s">
        <v>5649</v>
      </c>
    </row>
    <row r="24" spans="1:27" ht="18">
      <c r="A24" s="2714"/>
      <c r="B24" s="371"/>
      <c r="C24" s="371"/>
      <c r="D24" s="371"/>
      <c r="E24" s="2716" t="s">
        <v>2749</v>
      </c>
      <c r="F24" s="294"/>
      <c r="G24" s="3272"/>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c r="K26" s="309"/>
      <c r="L26" s="360"/>
      <c r="M26" s="346"/>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0</v>
      </c>
      <c r="K33" s="320"/>
      <c r="L33" s="360"/>
      <c r="M33" s="1477">
        <f>SUMIF($E$25:$E$57,$G33,M$25:M$57)</f>
        <v>0</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6574</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09"/>
      <c r="K35" s="309"/>
      <c r="L35" s="360"/>
      <c r="M35" s="346"/>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0</v>
      </c>
      <c r="K42" s="320"/>
      <c r="L42" s="360"/>
      <c r="M42" s="1477">
        <f>SUMIF($E$25:$E$57,$G42,M$25:M$57)</f>
        <v>0</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6574</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6574</v>
      </c>
    </row>
    <row r="57" spans="1:29" ht="18.75" thickBot="1">
      <c r="A57" s="2714"/>
      <c r="B57" s="371"/>
      <c r="C57" s="371"/>
      <c r="D57" s="2716">
        <f t="shared" si="2"/>
        <v>1</v>
      </c>
      <c r="E57" s="2721" t="s">
        <v>2751</v>
      </c>
      <c r="F57" s="294"/>
      <c r="G57" s="1529" t="s">
        <v>2752</v>
      </c>
      <c r="H57" s="1525"/>
      <c r="I57" s="1526" t="s">
        <v>2783</v>
      </c>
      <c r="J57" s="1527">
        <f>SUMPRODUCT($E24:$E56,J24:J56)</f>
        <v>0</v>
      </c>
      <c r="K57" s="1525"/>
      <c r="L57" s="1526"/>
      <c r="M57" s="1528">
        <f>SUMPRODUCT($E24:$E56,M24:M56)</f>
        <v>0</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6532</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6533</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6533</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6533</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6575</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227" t="s">
        <v>6001</v>
      </c>
      <c r="H123" s="3288" t="str">
        <f>$V$2</f>
        <v>2019年12月31日</v>
      </c>
      <c r="I123" s="3170"/>
      <c r="J123" s="3170"/>
      <c r="K123" s="3289" t="str">
        <f>$V$3</f>
        <v>2018年12月31日</v>
      </c>
      <c r="L123" s="3172"/>
      <c r="M123" s="3237"/>
      <c r="N123" s="355" t="s">
        <v>5269</v>
      </c>
      <c r="O123" s="349"/>
      <c r="P123" s="301"/>
      <c r="S123" s="364"/>
      <c r="Z123" s="609" t="s">
        <v>161</v>
      </c>
      <c r="AA123" s="609" t="s">
        <v>2880</v>
      </c>
    </row>
    <row r="124" spans="1:29" ht="18">
      <c r="A124" s="2714"/>
      <c r="B124" s="371"/>
      <c r="C124" s="371"/>
      <c r="D124" s="2716"/>
      <c r="E124" s="586" t="s">
        <v>2749</v>
      </c>
      <c r="F124" s="586"/>
      <c r="G124" s="3228"/>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6609</v>
      </c>
      <c r="F130" s="294"/>
      <c r="G130" s="307" t="str">
        <f>"("&amp;B130&amp;")"&amp;D130</f>
        <v>(1)应收票据分类</v>
      </c>
      <c r="H130" s="1517" t="str">
        <f>$A130</f>
        <v>1121a</v>
      </c>
      <c r="I130" s="343" t="s">
        <v>6612</v>
      </c>
      <c r="J130" s="301" t="s">
        <v>6610</v>
      </c>
      <c r="K130" s="344">
        <f>H136</f>
        <v>0</v>
      </c>
      <c r="L130" s="345" t="str">
        <f>IF($I130="适用",IF(ROUND($K$119-K130,2)=0,"F/S",ROUND($K$119-K130,2)),"#N/A")</f>
        <v>#N/A</v>
      </c>
      <c r="M130" s="301" t="s">
        <v>6611</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71"/>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71"/>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71"/>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227" t="s">
        <v>47</v>
      </c>
      <c r="H173" s="3288" t="str">
        <f>$V$2</f>
        <v>2019年12月31日</v>
      </c>
      <c r="I173" s="3288"/>
      <c r="J173" s="3288"/>
      <c r="K173" s="3288"/>
      <c r="L173" s="3173"/>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228"/>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227" t="s">
        <v>5136</v>
      </c>
      <c r="H195" s="3288" t="str">
        <f>$V$2</f>
        <v>2019年12月31日</v>
      </c>
      <c r="I195" s="3170"/>
      <c r="J195" s="3170"/>
      <c r="K195" s="3186"/>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228"/>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227" t="s">
        <v>5136</v>
      </c>
      <c r="H217" s="3288" t="str">
        <f>$V$2</f>
        <v>2019年12月31日</v>
      </c>
      <c r="I217" s="3170"/>
      <c r="J217" s="3186"/>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228"/>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6534</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267" t="s">
        <v>5948</v>
      </c>
      <c r="H239" s="3290" t="str">
        <f>$V$2</f>
        <v>2019年12月31日</v>
      </c>
      <c r="I239" s="3291"/>
      <c r="J239" s="3292"/>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268"/>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227" t="s">
        <v>5135</v>
      </c>
      <c r="H254" s="3288" t="str">
        <f>$V$3</f>
        <v>2018年12月31日</v>
      </c>
      <c r="I254" s="3170" t="s">
        <v>5209</v>
      </c>
      <c r="J254" s="3288" t="str">
        <f>$X$3</f>
        <v>2019年1月1日</v>
      </c>
      <c r="K254" s="3172" t="s">
        <v>2919</v>
      </c>
      <c r="L254" s="3172"/>
      <c r="M254" s="3172"/>
      <c r="N254" s="3176"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228"/>
      <c r="H255" s="3171"/>
      <c r="I255" s="3171"/>
      <c r="J255" s="3171"/>
      <c r="K255" s="2239" t="s">
        <v>5210</v>
      </c>
      <c r="L255" s="2239" t="s">
        <v>5211</v>
      </c>
      <c r="M255" s="2237" t="s">
        <v>5212</v>
      </c>
      <c r="N255" s="3208"/>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6532</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0</v>
      </c>
      <c r="L316" s="342"/>
      <c r="M316" s="306" t="s">
        <v>2741</v>
      </c>
      <c r="N316" s="341">
        <f>VLOOKUP($A316,Sheet_Trialbal,10,0)</f>
        <v>0</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0</v>
      </c>
      <c r="L317" s="349" t="str">
        <f>IF($I317="适用",IF(ROUND(K$316-K317,2)=0,"F/S",ROUND(K$316-K317,2)),"#N/A")</f>
        <v>F/S</v>
      </c>
      <c r="M317" s="301" t="s">
        <v>2745</v>
      </c>
      <c r="N317" s="2210">
        <f>I332</f>
        <v>0</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6535</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c r="I321" s="394"/>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0</v>
      </c>
      <c r="I323" s="1477">
        <f>SUMIF($E$319:$E$331,$G323,I$319:I$331)</f>
        <v>0</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c r="I324" s="394"/>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c r="I325" s="394"/>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c r="I326" s="394"/>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c r="I327" s="394"/>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c r="I328" s="394"/>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0</v>
      </c>
      <c r="I330" s="1477">
        <f>SUMIF($E$319:$E$331,$G330,I$319:I$331)</f>
        <v>0</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c r="I331" s="346"/>
      <c r="J331" s="2256" t="str">
        <f ca="1">HYPERLINK("#'"&amp;$G$1&amp;"'!"&amp;ADDRESS(ROW(Notes!J350),COLUMN(Notes!J350),4),"* 请勿删除此行！点击往勾稽单元格，F5+Enter返回")</f>
        <v>* 请勿删除此行！点击往勾稽单元格，F5+Enter返回</v>
      </c>
      <c r="K331" s="433"/>
      <c r="L331" s="433"/>
      <c r="M331" s="433"/>
      <c r="N331" s="439"/>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0</v>
      </c>
      <c r="I332" s="2236">
        <f>SUMPRODUCT($E319:$E331,I319:I331)</f>
        <v>0</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0</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227" t="s">
        <v>5135</v>
      </c>
      <c r="H337" s="3288" t="str">
        <f>$V$2</f>
        <v>2019年12月31日</v>
      </c>
      <c r="I337" s="3288"/>
      <c r="J337" s="3288"/>
      <c r="K337" s="3288"/>
      <c r="L337" s="3173"/>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228"/>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6574</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0</v>
      </c>
      <c r="I343" s="430"/>
      <c r="J343" s="309">
        <f>SUM(J344:J346)</f>
        <v>0</v>
      </c>
      <c r="K343" s="431"/>
      <c r="L343" s="1477">
        <f t="shared" si="27"/>
        <v>0</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6355</v>
      </c>
      <c r="H344" s="309"/>
      <c r="I344" s="430"/>
      <c r="J344" s="309"/>
      <c r="K344" s="431"/>
      <c r="L344" s="1477">
        <f t="shared" si="27"/>
        <v>0</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6574</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0</v>
      </c>
      <c r="I347" s="2241"/>
      <c r="J347" s="2235">
        <f>SUMPRODUCT($E338:$E346,J338:J346)</f>
        <v>0</v>
      </c>
      <c r="K347" s="2241"/>
      <c r="L347" s="2236">
        <f>SUMPRODUCT($E338:$E346,L338:L346)</f>
        <v>0</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0</v>
      </c>
      <c r="I350" s="351"/>
      <c r="J350" s="2252">
        <f ca="1">HYPERLINK("#'"&amp;$G$1&amp;"'!"&amp;ADDRESS(ROW(Notes!H331),COLUMN(Notes!H331),4),H331)</f>
        <v>0</v>
      </c>
      <c r="K350" s="351"/>
      <c r="L350" s="2252">
        <f ca="1">HYPERLINK("#'"&amp;$G$1&amp;"'!"&amp;ADDRESS(ROW(Notes!H332),COLUMN(Notes!H332),4),H332)</f>
        <v>0</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0</v>
      </c>
      <c r="I351" s="351"/>
      <c r="J351" s="456">
        <f>J347</f>
        <v>0</v>
      </c>
      <c r="K351" s="351"/>
      <c r="L351" s="456">
        <f>L347</f>
        <v>0</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227" t="s">
        <v>5997</v>
      </c>
      <c r="H359" s="3288" t="str">
        <f>$V$2</f>
        <v>2019年12月31日</v>
      </c>
      <c r="I359" s="3170"/>
      <c r="J359" s="3170"/>
      <c r="K359" s="3186"/>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228"/>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0</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227" t="s">
        <v>5137</v>
      </c>
      <c r="H381" s="3288" t="str">
        <f>$V$2</f>
        <v>2019年12月31日</v>
      </c>
      <c r="I381" s="3170"/>
      <c r="J381" s="3186"/>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228"/>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c r="I383" s="422"/>
      <c r="J383" s="388"/>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c r="I384" s="422"/>
      <c r="J384" s="388"/>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c r="I385" s="422"/>
      <c r="J385" s="388"/>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c r="I386" s="422"/>
      <c r="J386" s="388"/>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c r="I387" s="422"/>
      <c r="J387" s="388"/>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c r="I388" s="422"/>
      <c r="J388" s="388"/>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0</v>
      </c>
      <c r="I391" s="2235">
        <f>SUMPRODUCT($E382:$E390,I382:I390)</f>
        <v>0</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注释A:其中：组合1</v>
      </c>
      <c r="H394" s="2252">
        <f ca="1">HYPERLINK("#'"&amp;$G$1&amp;"'!"&amp;ADDRESS(ROW(Notes!H344),COLUMN(Notes!H344),4),H344)</f>
        <v>0</v>
      </c>
      <c r="I394" s="2252">
        <f ca="1">HYPERLINK("#'"&amp;$G$1&amp;"'!"&amp;ADDRESS(ROW(Notes!J344),COLUMN(Notes!J344),4),J344)</f>
        <v>0</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0</v>
      </c>
      <c r="I395" s="456">
        <f>I391</f>
        <v>0</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273" t="s">
        <v>5962</v>
      </c>
      <c r="H403" s="3293" t="str">
        <f>$V$2</f>
        <v>2019年12月31日</v>
      </c>
      <c r="I403" s="3215"/>
      <c r="J403" s="3211"/>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274"/>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0">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0"/>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0"/>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0"/>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0"/>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0"/>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0"/>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0"/>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0"/>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6532</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273" t="s">
        <v>5948</v>
      </c>
      <c r="H418" s="3293" t="str">
        <f>$V$2</f>
        <v>2019年12月31日</v>
      </c>
      <c r="I418" s="3215"/>
      <c r="J418" s="3211"/>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274"/>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1">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1"/>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1"/>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1"/>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1"/>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1"/>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1"/>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1"/>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1"/>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0</v>
      </c>
      <c r="O430" s="349" t="str">
        <f>IF($I430="适用",IF(ROUND(N$316-N430,2)=0,"F/S",ROUND(N$316-N430,2)),"#N/A")</f>
        <v>F/S</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227" t="s">
        <v>5135</v>
      </c>
      <c r="H433" s="3288" t="str">
        <f>$V$3</f>
        <v>2018年12月31日</v>
      </c>
      <c r="I433" s="3288"/>
      <c r="J433" s="3288"/>
      <c r="K433" s="3288"/>
      <c r="L433" s="3173"/>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228"/>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2">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6574</v>
      </c>
    </row>
    <row r="436" spans="1:29" ht="24">
      <c r="A436" s="2714"/>
      <c r="B436" s="371">
        <v>102</v>
      </c>
      <c r="C436" s="371"/>
      <c r="D436" s="2716">
        <f>IF(OR(G436="*",G436="",G436=0),0,COUNTIF($G$435:$G$439,G436))</f>
        <v>1</v>
      </c>
      <c r="E436" s="2721">
        <v>1</v>
      </c>
      <c r="F436" s="293"/>
      <c r="G436" s="1474" t="s">
        <v>2954</v>
      </c>
      <c r="H436" s="309"/>
      <c r="I436" s="430"/>
      <c r="J436" s="309"/>
      <c r="K436" s="431"/>
      <c r="L436" s="1477">
        <f t="shared" si="32"/>
        <v>0</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2"/>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2"/>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0</v>
      </c>
      <c r="I439" s="2241"/>
      <c r="J439" s="2235">
        <f>SUMPRODUCT($E434:$E438,J434:J438)</f>
        <v>0</v>
      </c>
      <c r="K439" s="2241"/>
      <c r="L439" s="2236">
        <f>SUMPRODUCT($E434:$E438,L434:L438)</f>
        <v>0</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0</v>
      </c>
      <c r="I442" s="351"/>
      <c r="J442" s="2252">
        <f ca="1">HYPERLINK("#'"&amp;$G$1&amp;"'!"&amp;ADDRESS(ROW(Notes!I331),COLUMN(Notes!I331),4),I331)</f>
        <v>0</v>
      </c>
      <c r="K442" s="351"/>
      <c r="L442" s="2252">
        <f ca="1">HYPERLINK("#'"&amp;$G$1&amp;"'!"&amp;ADDRESS(ROW(Notes!I332),COLUMN(Notes!I332),4),I332)</f>
        <v>0</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0</v>
      </c>
      <c r="I443" s="351"/>
      <c r="J443" s="456">
        <f>J439</f>
        <v>0</v>
      </c>
      <c r="K443" s="351"/>
      <c r="L443" s="456">
        <f>L439</f>
        <v>0</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6534</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227" t="s">
        <v>3000</v>
      </c>
      <c r="H451" s="3288" t="str">
        <f>$V$3</f>
        <v>2018年12月31日</v>
      </c>
      <c r="I451" s="3170"/>
      <c r="J451" s="3170"/>
      <c r="K451" s="3186"/>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228"/>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3">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3"/>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3"/>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3"/>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3"/>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3"/>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3"/>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6534</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0</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227" t="s">
        <v>5998</v>
      </c>
      <c r="H471" s="3288" t="str">
        <f>$V$3</f>
        <v>2018年12月31日</v>
      </c>
      <c r="I471" s="3170"/>
      <c r="J471" s="3186"/>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228"/>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4">IF(OR(G473="*",G473="",G473=0),0,COUNTIF($G$473:$G$483,G473))</f>
        <v>1</v>
      </c>
      <c r="E473" s="2721" t="s">
        <v>6535</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4"/>
        <v>1</v>
      </c>
      <c r="E474" s="2721" t="s">
        <v>2937</v>
      </c>
      <c r="F474" s="294"/>
      <c r="G474" s="2222" t="s">
        <v>5132</v>
      </c>
      <c r="H474" s="1577"/>
      <c r="I474" s="422"/>
      <c r="J474" s="388"/>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4"/>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4"/>
        <v>1</v>
      </c>
      <c r="E476" s="2721">
        <v>1</v>
      </c>
      <c r="F476" s="294"/>
      <c r="G476" s="1474" t="s">
        <v>2937</v>
      </c>
      <c r="H476" s="1476">
        <f>SUMIF($E$472:$E$482,$G476,H$472:H$482)</f>
        <v>0</v>
      </c>
      <c r="I476" s="1476">
        <f>SUMIF($E$472:$E$482,$G476,I$472:I$482)</f>
        <v>0</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4"/>
        <v>1</v>
      </c>
      <c r="E477" s="2721">
        <v>1</v>
      </c>
      <c r="F477" s="294"/>
      <c r="G477" s="1474" t="s">
        <v>2940</v>
      </c>
      <c r="H477" s="1577"/>
      <c r="I477" s="422"/>
      <c r="J477" s="388"/>
      <c r="K477" s="439"/>
      <c r="L477" s="437"/>
      <c r="M477" s="438"/>
      <c r="N477" s="439"/>
      <c r="O477" s="437"/>
      <c r="P477" s="438"/>
      <c r="Q477" s="442"/>
      <c r="R477" s="443"/>
      <c r="S477" s="364"/>
      <c r="Z477" s="609" t="s">
        <v>273</v>
      </c>
      <c r="AA477" s="609" t="s">
        <v>2935</v>
      </c>
    </row>
    <row r="478" spans="1:27" ht="18">
      <c r="A478" s="2714"/>
      <c r="B478" s="371">
        <v>103</v>
      </c>
      <c r="C478" s="371"/>
      <c r="D478" s="2716">
        <f t="shared" si="34"/>
        <v>1</v>
      </c>
      <c r="E478" s="2721">
        <v>1</v>
      </c>
      <c r="F478" s="294"/>
      <c r="G478" s="1474" t="s">
        <v>2941</v>
      </c>
      <c r="H478" s="1577"/>
      <c r="I478" s="422"/>
      <c r="J478" s="388"/>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4"/>
        <v>1</v>
      </c>
      <c r="E479" s="2721">
        <v>1</v>
      </c>
      <c r="F479" s="294"/>
      <c r="G479" s="2222" t="s">
        <v>2942</v>
      </c>
      <c r="H479" s="1577"/>
      <c r="I479" s="422"/>
      <c r="J479" s="388"/>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4"/>
        <v>1</v>
      </c>
      <c r="E480" s="2721">
        <v>1</v>
      </c>
      <c r="F480" s="294"/>
      <c r="G480" s="2222" t="s">
        <v>2943</v>
      </c>
      <c r="H480" s="1577"/>
      <c r="I480" s="422"/>
      <c r="J480" s="388"/>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4"/>
        <v>1</v>
      </c>
      <c r="E481" s="2721">
        <v>1</v>
      </c>
      <c r="F481" s="294"/>
      <c r="G481" s="2222" t="s">
        <v>2944</v>
      </c>
      <c r="H481" s="1577"/>
      <c r="I481" s="422"/>
      <c r="J481" s="388"/>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4"/>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4"/>
        <v>1</v>
      </c>
      <c r="E483" s="2721" t="s">
        <v>2751</v>
      </c>
      <c r="F483" s="293"/>
      <c r="G483" s="2234" t="s">
        <v>2752</v>
      </c>
      <c r="H483" s="2235">
        <f>SUMPRODUCT($E472:$E482,H472:H482)</f>
        <v>0</v>
      </c>
      <c r="I483" s="2235">
        <f>SUMPRODUCT($E472:$E482,I472:I482)</f>
        <v>0</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6614</v>
      </c>
      <c r="F485" s="294"/>
      <c r="G485" s="307" t="str">
        <f>"("&amp;B485&amp;")"&amp;D485</f>
        <v>(1)应收账款按种类列示</v>
      </c>
      <c r="H485" s="1517" t="str">
        <f>$A485</f>
        <v>1122a</v>
      </c>
      <c r="I485" s="343" t="s">
        <v>6617</v>
      </c>
      <c r="J485" s="301" t="s">
        <v>6615</v>
      </c>
      <c r="K485" s="344">
        <f>L498</f>
        <v>0</v>
      </c>
      <c r="L485" s="345" t="str">
        <f>IF($I485="适用",IF(ROUND($K$316-K485,2)=0,"F/S",ROUND($K$316-K485,2)),"#N/A")</f>
        <v>#N/A</v>
      </c>
      <c r="M485" s="301" t="s">
        <v>6616</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275" t="s">
        <v>2973</v>
      </c>
      <c r="H488" s="3294" t="str">
        <f>$V$2</f>
        <v>2019年12月31日</v>
      </c>
      <c r="I488" s="3217"/>
      <c r="J488" s="3217"/>
      <c r="K488" s="3217"/>
      <c r="L488" s="3218"/>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270"/>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5">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6574</v>
      </c>
      <c r="AE490" s="369" t="s">
        <v>2761</v>
      </c>
    </row>
    <row r="491" spans="1:31" ht="24" hidden="1">
      <c r="A491" s="2714"/>
      <c r="B491" s="371">
        <v>102</v>
      </c>
      <c r="C491" s="371"/>
      <c r="D491" s="2716">
        <f t="shared" si="35"/>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5"/>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6574</v>
      </c>
      <c r="AE492" s="369" t="s">
        <v>2761</v>
      </c>
    </row>
    <row r="493" spans="1:31" ht="18" hidden="1">
      <c r="A493" s="2714"/>
      <c r="B493" s="371">
        <v>102.002</v>
      </c>
      <c r="C493" s="371" t="s">
        <v>2791</v>
      </c>
      <c r="D493" s="2716">
        <f t="shared" si="35"/>
        <v>1</v>
      </c>
      <c r="E493" s="2721" t="s">
        <v>2978</v>
      </c>
      <c r="F493" s="294"/>
      <c r="G493" s="319" t="s">
        <v>2980</v>
      </c>
      <c r="H493" s="309"/>
      <c r="I493" s="360" t="str">
        <f>IF(H$498*H493=0,"",ROUND(H493*100/H$498,2))</f>
        <v/>
      </c>
      <c r="J493" s="309"/>
      <c r="K493" s="360" t="str">
        <f t="shared" ref="K493:K498" si="36">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5"/>
        <v>0</v>
      </c>
      <c r="E494" s="2721" t="s">
        <v>2978</v>
      </c>
      <c r="F494" s="294"/>
      <c r="G494" s="319" t="s">
        <v>2792</v>
      </c>
      <c r="H494" s="309"/>
      <c r="I494" s="360" t="str">
        <f>IF(H$498*H494=0,"",ROUND(H494*100/H$498,2))</f>
        <v/>
      </c>
      <c r="J494" s="309"/>
      <c r="K494" s="360" t="str">
        <f t="shared" si="36"/>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5"/>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5"/>
        <v>1</v>
      </c>
      <c r="E496" s="2721">
        <v>1</v>
      </c>
      <c r="F496" s="294"/>
      <c r="G496" s="308" t="s">
        <v>2982</v>
      </c>
      <c r="H496" s="309"/>
      <c r="I496" s="360" t="str">
        <f>IF(H$498*H496=0,"",ROUND(H496*100/H$498,2))</f>
        <v/>
      </c>
      <c r="J496" s="309"/>
      <c r="K496" s="360" t="str">
        <f t="shared" si="36"/>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5"/>
        <v>0</v>
      </c>
      <c r="E497" s="2721">
        <v>1</v>
      </c>
      <c r="F497" s="294"/>
      <c r="G497" s="319" t="s">
        <v>2792</v>
      </c>
      <c r="H497" s="309"/>
      <c r="I497" s="360" t="str">
        <f>IF(H$498*H497=0,"",ROUND(H497*100/H$498,2))</f>
        <v/>
      </c>
      <c r="J497" s="309"/>
      <c r="K497" s="360" t="str">
        <f t="shared" si="36"/>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5"/>
        <v>1</v>
      </c>
      <c r="E498" s="2721" t="s">
        <v>2751</v>
      </c>
      <c r="F498" s="294"/>
      <c r="G498" s="310" t="s">
        <v>2752</v>
      </c>
      <c r="H498" s="311">
        <f>SUMPRODUCT($E489:$E497,H489:H497)</f>
        <v>0</v>
      </c>
      <c r="I498" s="465"/>
      <c r="J498" s="311">
        <f>SUMPRODUCT($E489:$E497,J489:J497)</f>
        <v>0</v>
      </c>
      <c r="K498" s="466" t="str">
        <f t="shared" si="36"/>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6609</v>
      </c>
      <c r="F500" s="294"/>
      <c r="G500" s="372" t="str">
        <f>"("&amp;B500&amp;")"&amp;D500</f>
        <v>(1)应收账款按种类列示（续）</v>
      </c>
      <c r="H500" s="1517" t="str">
        <f>$A500</f>
        <v>1122b</v>
      </c>
      <c r="I500" s="343" t="s">
        <v>6617</v>
      </c>
      <c r="J500" s="301" t="s">
        <v>6616</v>
      </c>
      <c r="K500" s="423"/>
      <c r="L500" s="315"/>
      <c r="M500" s="301" t="s">
        <v>6619</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269" t="s">
        <v>2973</v>
      </c>
      <c r="H503" s="3294" t="str">
        <f>$V$3</f>
        <v>2018年12月31日</v>
      </c>
      <c r="I503" s="3217"/>
      <c r="J503" s="3217"/>
      <c r="K503" s="3217"/>
      <c r="L503" s="3218"/>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270"/>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37">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37"/>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37"/>
        <v>1</v>
      </c>
      <c r="E507" s="2721" t="s">
        <v>2978</v>
      </c>
      <c r="F507" s="294"/>
      <c r="G507" s="409" t="s">
        <v>2979</v>
      </c>
      <c r="H507" s="383"/>
      <c r="I507" s="469" t="str">
        <f>IF(H$513*H507=0,"",ROUND(H507*100/H$513,2))</f>
        <v/>
      </c>
      <c r="J507" s="383"/>
      <c r="K507" s="469" t="str">
        <f t="shared" ref="K507:K513" si="38">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37"/>
        <v>1</v>
      </c>
      <c r="E508" s="2721" t="s">
        <v>2978</v>
      </c>
      <c r="F508" s="294"/>
      <c r="G508" s="409" t="s">
        <v>2980</v>
      </c>
      <c r="H508" s="383"/>
      <c r="I508" s="469" t="str">
        <f>IF(H$513*H508=0,"",ROUND(H508*100/H$513,2))</f>
        <v/>
      </c>
      <c r="J508" s="383"/>
      <c r="K508" s="469" t="str">
        <f t="shared" si="38"/>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37"/>
        <v>0</v>
      </c>
      <c r="E509" s="2721" t="s">
        <v>2978</v>
      </c>
      <c r="F509" s="294"/>
      <c r="G509" s="409" t="s">
        <v>2792</v>
      </c>
      <c r="H509" s="383"/>
      <c r="I509" s="469" t="str">
        <f>IF(H$513*H509=0,"",ROUND(H509*100/H$513,2))</f>
        <v/>
      </c>
      <c r="J509" s="383"/>
      <c r="K509" s="469" t="str">
        <f t="shared" si="38"/>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37"/>
        <v>1</v>
      </c>
      <c r="E510" s="2721">
        <v>1</v>
      </c>
      <c r="F510" s="294"/>
      <c r="G510" s="380" t="s">
        <v>2978</v>
      </c>
      <c r="H510" s="381">
        <f>SUMIF($E$505:$E$513,$G510,H$505:H$513)</f>
        <v>0</v>
      </c>
      <c r="I510" s="381"/>
      <c r="J510" s="381">
        <f>SUMIF($E$505:$E$513,$G510,J$505:J$513)</f>
        <v>0</v>
      </c>
      <c r="K510" s="469" t="str">
        <f t="shared" si="38"/>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37"/>
        <v>1</v>
      </c>
      <c r="E511" s="2721">
        <v>1</v>
      </c>
      <c r="F511" s="294"/>
      <c r="G511" s="380" t="s">
        <v>2982</v>
      </c>
      <c r="H511" s="383"/>
      <c r="I511" s="469" t="str">
        <f>IF(H$513*H511=0,"",ROUND(H511*100/H$513,2))</f>
        <v/>
      </c>
      <c r="J511" s="383"/>
      <c r="K511" s="469" t="str">
        <f t="shared" si="38"/>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37"/>
        <v>0</v>
      </c>
      <c r="E512" s="2721">
        <v>1</v>
      </c>
      <c r="F512" s="294"/>
      <c r="G512" s="409" t="s">
        <v>2792</v>
      </c>
      <c r="H512" s="383"/>
      <c r="I512" s="469" t="str">
        <f>IF(H$513*H512=0,"",ROUND(H512*100/H$513,2))</f>
        <v/>
      </c>
      <c r="J512" s="383"/>
      <c r="K512" s="469" t="str">
        <f t="shared" si="38"/>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37"/>
        <v>1</v>
      </c>
      <c r="E513" s="2721" t="s">
        <v>2751</v>
      </c>
      <c r="F513" s="294"/>
      <c r="G513" s="452" t="s">
        <v>2752</v>
      </c>
      <c r="H513" s="453">
        <f>SUMPRODUCT($E504:$E512,H504:H512)</f>
        <v>0</v>
      </c>
      <c r="I513" s="453">
        <f>SUMPRODUCT($E504:$E512,I504:I512)</f>
        <v>0</v>
      </c>
      <c r="J513" s="453">
        <f>SUMPRODUCT($E504:$E512,J504:J512)</f>
        <v>0</v>
      </c>
      <c r="K513" s="470" t="str">
        <f t="shared" si="38"/>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6609</v>
      </c>
      <c r="F515" s="294"/>
      <c r="G515" s="372" t="str">
        <f>"("&amp;B515&amp;")"&amp;D515</f>
        <v>(2)期末单项金额重大并单项计提坏账准备的应收账款</v>
      </c>
      <c r="H515" s="1517" t="str">
        <f>$A515</f>
        <v>1122g</v>
      </c>
      <c r="I515" s="343" t="s">
        <v>6617</v>
      </c>
      <c r="J515" s="301" t="s">
        <v>6615</v>
      </c>
      <c r="K515" s="344">
        <f>H526</f>
        <v>0</v>
      </c>
      <c r="L515" s="345"/>
      <c r="M515" s="301" t="s">
        <v>6616</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275" t="s">
        <v>3000</v>
      </c>
      <c r="H518" s="3295" t="str">
        <f>$V$2</f>
        <v>2019年12月31日</v>
      </c>
      <c r="I518" s="3295"/>
      <c r="J518" s="3295"/>
      <c r="K518" s="3296"/>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266"/>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39">IF(OR(G520="*",G520="",G520=0),0,COUNTIF($G$520:$G$526,G520))</f>
        <v>0</v>
      </c>
      <c r="E520" s="2721">
        <v>1</v>
      </c>
      <c r="F520" s="294"/>
      <c r="G520" s="319" t="s">
        <v>2792</v>
      </c>
      <c r="H520" s="309"/>
      <c r="I520" s="309"/>
      <c r="J520" s="360" t="str">
        <f t="shared" ref="J520:J526" si="40">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39"/>
        <v>0</v>
      </c>
      <c r="E521" s="2721">
        <v>1</v>
      </c>
      <c r="F521" s="294"/>
      <c r="G521" s="319" t="s">
        <v>2792</v>
      </c>
      <c r="H521" s="309"/>
      <c r="I521" s="309"/>
      <c r="J521" s="360" t="str">
        <f t="shared" si="40"/>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39"/>
        <v>0</v>
      </c>
      <c r="E522" s="2721">
        <v>1</v>
      </c>
      <c r="F522" s="294"/>
      <c r="G522" s="319" t="s">
        <v>2792</v>
      </c>
      <c r="H522" s="309"/>
      <c r="I522" s="309"/>
      <c r="J522" s="360" t="str">
        <f t="shared" si="40"/>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39"/>
        <v>0</v>
      </c>
      <c r="E523" s="2721">
        <v>1</v>
      </c>
      <c r="F523" s="294"/>
      <c r="G523" s="319" t="s">
        <v>2792</v>
      </c>
      <c r="H523" s="309"/>
      <c r="I523" s="309"/>
      <c r="J523" s="360" t="str">
        <f t="shared" si="40"/>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39"/>
        <v>0</v>
      </c>
      <c r="E524" s="2721">
        <v>1</v>
      </c>
      <c r="F524" s="294"/>
      <c r="G524" s="319" t="s">
        <v>2792</v>
      </c>
      <c r="H524" s="309"/>
      <c r="I524" s="309"/>
      <c r="J524" s="360" t="str">
        <f t="shared" si="40"/>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39"/>
        <v>0</v>
      </c>
      <c r="E525" s="2721">
        <v>1</v>
      </c>
      <c r="F525" s="294"/>
      <c r="G525" s="319" t="s">
        <v>2792</v>
      </c>
      <c r="H525" s="309"/>
      <c r="I525" s="309"/>
      <c r="J525" s="360" t="str">
        <f t="shared" ref="J525" si="41">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39"/>
        <v>1</v>
      </c>
      <c r="E526" s="2721" t="s">
        <v>2751</v>
      </c>
      <c r="F526" s="294"/>
      <c r="G526" s="310" t="s">
        <v>2752</v>
      </c>
      <c r="H526" s="311">
        <f>SUMPRODUCT($E519:$E525,H519:H525)</f>
        <v>0</v>
      </c>
      <c r="I526" s="311">
        <f>SUMPRODUCT($E519:$E525,I519:I525)</f>
        <v>0</v>
      </c>
      <c r="J526" s="466" t="str">
        <f t="shared" si="40"/>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6609</v>
      </c>
      <c r="F535" s="294"/>
      <c r="G535" s="372" t="str">
        <f>"("&amp;B535&amp;")"&amp;D535</f>
        <v>(3)组合中按账龄分析法计提坏账准备的应收账款</v>
      </c>
      <c r="H535" s="1517" t="str">
        <f>$A535</f>
        <v>1122d</v>
      </c>
      <c r="I535" s="343" t="s">
        <v>6617</v>
      </c>
      <c r="J535" s="301" t="s">
        <v>6616</v>
      </c>
      <c r="K535" s="344"/>
      <c r="L535" s="345"/>
      <c r="M535" s="301" t="s">
        <v>6619</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275" t="s">
        <v>3005</v>
      </c>
      <c r="H538" s="3298" t="str">
        <f>$V$2</f>
        <v>2019年12月31日</v>
      </c>
      <c r="I538" s="3294"/>
      <c r="J538" s="3299"/>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270"/>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2">IF(OR(G540="*",G540="",G540=0),0,COUNTIF($G$540:$G$550,G540))</f>
        <v>1</v>
      </c>
      <c r="E540" s="2721" t="s">
        <v>6535</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2"/>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2"/>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2"/>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2"/>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2"/>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2"/>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2"/>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2"/>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2"/>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2"/>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6623</v>
      </c>
      <c r="F559" s="294"/>
      <c r="G559" s="372" t="str">
        <f>"("&amp;B559&amp;")"&amp;D559</f>
        <v>(4)组合中采用余额百分比法计提坏账准备的应收账款</v>
      </c>
      <c r="H559" s="1517" t="str">
        <f>$A559</f>
        <v>1122e</v>
      </c>
      <c r="I559" s="343" t="s">
        <v>6617</v>
      </c>
      <c r="J559" s="301" t="s">
        <v>6615</v>
      </c>
      <c r="K559" s="344">
        <f>H567-I567</f>
        <v>0</v>
      </c>
      <c r="L559" s="345" t="str">
        <f>IF($I559="适用",IF(ROUND(K316-K559,2)&gt;=0,"","#Logical!"),"#N/A")</f>
        <v>#N/A</v>
      </c>
      <c r="M559" s="301" t="s">
        <v>6616</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3">IF(OR(G562="*",G562="",G562=0),0,COUNTIF($G$562:$G$567,G562))</f>
        <v>1</v>
      </c>
      <c r="E562" s="2721">
        <v>1</v>
      </c>
      <c r="F562" s="294"/>
      <c r="G562" s="2222" t="s">
        <v>3009</v>
      </c>
      <c r="H562" s="309"/>
      <c r="I562" s="309"/>
      <c r="J562" s="2265" t="str">
        <f t="shared" ref="J562:J567" si="44">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3"/>
        <v>1</v>
      </c>
      <c r="E563" s="2721">
        <v>1</v>
      </c>
      <c r="F563" s="294"/>
      <c r="G563" s="2222" t="s">
        <v>3010</v>
      </c>
      <c r="H563" s="309"/>
      <c r="I563" s="309"/>
      <c r="J563" s="2265" t="str">
        <f t="shared" si="44"/>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3"/>
        <v>1</v>
      </c>
      <c r="E564" s="2721">
        <v>1</v>
      </c>
      <c r="F564" s="294"/>
      <c r="G564" s="2222" t="s">
        <v>3011</v>
      </c>
      <c r="H564" s="309"/>
      <c r="I564" s="309"/>
      <c r="J564" s="2265" t="str">
        <f t="shared" si="44"/>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3"/>
        <v>1</v>
      </c>
      <c r="E565" s="2721">
        <v>1</v>
      </c>
      <c r="F565" s="294"/>
      <c r="G565" s="2222" t="s">
        <v>3012</v>
      </c>
      <c r="H565" s="309"/>
      <c r="I565" s="309"/>
      <c r="J565" s="2265" t="str">
        <f t="shared" si="44"/>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3"/>
        <v>1</v>
      </c>
      <c r="E566" s="2721">
        <v>1</v>
      </c>
      <c r="F566" s="294"/>
      <c r="G566" s="2222" t="s">
        <v>3013</v>
      </c>
      <c r="H566" s="309"/>
      <c r="I566" s="309"/>
      <c r="J566" s="2265" t="str">
        <f t="shared" si="44"/>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3"/>
        <v>1</v>
      </c>
      <c r="E567" s="2721" t="s">
        <v>2751</v>
      </c>
      <c r="F567" s="294"/>
      <c r="G567" s="1529" t="s">
        <v>2752</v>
      </c>
      <c r="H567" s="1527">
        <f>SUMPRODUCT($E561:$E566,H561:H566)</f>
        <v>0</v>
      </c>
      <c r="I567" s="1527">
        <f>SUMPRODUCT($E561:$E566,I561:I566)</f>
        <v>0</v>
      </c>
      <c r="J567" s="1567" t="str">
        <f t="shared" si="44"/>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6614</v>
      </c>
      <c r="F569" s="294"/>
      <c r="G569" s="372" t="str">
        <f>"("&amp;B569&amp;")"&amp;D569</f>
        <v>(5)组合中采用其他方法计提坏账准备的应收账款</v>
      </c>
      <c r="H569" s="1517" t="str">
        <f>$A569</f>
        <v>1122f</v>
      </c>
      <c r="I569" s="343" t="s">
        <v>6617</v>
      </c>
      <c r="J569" s="301" t="s">
        <v>6615</v>
      </c>
      <c r="K569" s="344">
        <f>H577-I577</f>
        <v>0</v>
      </c>
      <c r="L569" s="345" t="str">
        <f>IF($I569="适用",IF(ROUND(K$316-K569,2)&gt;=0,"","#Logical!"),"#N/A")</f>
        <v>#N/A</v>
      </c>
      <c r="M569" s="301" t="s">
        <v>6616</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5">IF(OR(G572="*",G572="",G572=0),0,COUNTIF($G$572:$G$577,G572))</f>
        <v>1</v>
      </c>
      <c r="E572" s="2721">
        <v>1</v>
      </c>
      <c r="F572" s="294"/>
      <c r="G572" s="2222" t="s">
        <v>3009</v>
      </c>
      <c r="H572" s="309"/>
      <c r="I572" s="309"/>
      <c r="J572" s="1476">
        <f>H572-I572</f>
        <v>0</v>
      </c>
      <c r="K572" s="2265" t="str">
        <f t="shared" ref="K572:K577" si="46">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5"/>
        <v>1</v>
      </c>
      <c r="E573" s="2721">
        <v>1</v>
      </c>
      <c r="F573" s="294"/>
      <c r="G573" s="2222" t="s">
        <v>3010</v>
      </c>
      <c r="H573" s="309"/>
      <c r="I573" s="309"/>
      <c r="J573" s="1476">
        <f>H573-I573</f>
        <v>0</v>
      </c>
      <c r="K573" s="2265" t="str">
        <f t="shared" si="46"/>
        <v/>
      </c>
      <c r="L573" s="388"/>
      <c r="M573" s="355" t="s">
        <v>3018</v>
      </c>
      <c r="N573" s="291"/>
      <c r="S573" s="364"/>
      <c r="Z573" s="609" t="s">
        <v>273</v>
      </c>
      <c r="AA573" s="609" t="s">
        <v>2935</v>
      </c>
      <c r="AE573" s="369" t="s">
        <v>2761</v>
      </c>
    </row>
    <row r="574" spans="1:31" ht="18" hidden="1">
      <c r="A574" s="2714"/>
      <c r="B574" s="371">
        <v>103</v>
      </c>
      <c r="C574" s="371" t="s">
        <v>2791</v>
      </c>
      <c r="D574" s="2716">
        <f t="shared" si="45"/>
        <v>1</v>
      </c>
      <c r="E574" s="2721">
        <v>1</v>
      </c>
      <c r="F574" s="294"/>
      <c r="G574" s="2222" t="s">
        <v>3011</v>
      </c>
      <c r="H574" s="309"/>
      <c r="I574" s="309"/>
      <c r="J574" s="1476">
        <f>H574-I574</f>
        <v>0</v>
      </c>
      <c r="K574" s="2265" t="str">
        <f t="shared" si="46"/>
        <v/>
      </c>
      <c r="L574" s="388"/>
      <c r="M574" s="291"/>
      <c r="N574" s="291"/>
      <c r="S574" s="364"/>
      <c r="Z574" s="609" t="s">
        <v>273</v>
      </c>
      <c r="AA574" s="609" t="s">
        <v>2935</v>
      </c>
      <c r="AE574" s="369" t="s">
        <v>2761</v>
      </c>
    </row>
    <row r="575" spans="1:31" ht="18" hidden="1">
      <c r="A575" s="2714"/>
      <c r="B575" s="371">
        <v>104</v>
      </c>
      <c r="C575" s="371" t="s">
        <v>2791</v>
      </c>
      <c r="D575" s="2716">
        <f t="shared" si="45"/>
        <v>1</v>
      </c>
      <c r="E575" s="2721">
        <v>1</v>
      </c>
      <c r="F575" s="294"/>
      <c r="G575" s="2222" t="s">
        <v>3012</v>
      </c>
      <c r="H575" s="309"/>
      <c r="I575" s="309"/>
      <c r="J575" s="1476">
        <f>H575-I575</f>
        <v>0</v>
      </c>
      <c r="K575" s="2265" t="str">
        <f t="shared" si="46"/>
        <v/>
      </c>
      <c r="L575" s="388"/>
      <c r="M575" s="291"/>
      <c r="N575" s="291"/>
      <c r="S575" s="364"/>
      <c r="Z575" s="609" t="s">
        <v>273</v>
      </c>
      <c r="AA575" s="609" t="s">
        <v>2935</v>
      </c>
      <c r="AE575" s="369" t="s">
        <v>2761</v>
      </c>
    </row>
    <row r="576" spans="1:31" ht="18" hidden="1">
      <c r="A576" s="2714"/>
      <c r="B576" s="371">
        <v>105</v>
      </c>
      <c r="C576" s="371" t="s">
        <v>2791</v>
      </c>
      <c r="D576" s="2716">
        <f t="shared" si="45"/>
        <v>1</v>
      </c>
      <c r="E576" s="2721">
        <v>1</v>
      </c>
      <c r="F576" s="294"/>
      <c r="G576" s="2222" t="s">
        <v>3013</v>
      </c>
      <c r="H576" s="309"/>
      <c r="I576" s="309"/>
      <c r="J576" s="1476">
        <f>H576-I576</f>
        <v>0</v>
      </c>
      <c r="K576" s="2265" t="str">
        <f t="shared" si="46"/>
        <v/>
      </c>
      <c r="L576" s="388"/>
      <c r="M576" s="291"/>
      <c r="N576" s="291"/>
      <c r="S576" s="364"/>
      <c r="Z576" s="609" t="s">
        <v>273</v>
      </c>
      <c r="AA576" s="609" t="s">
        <v>2935</v>
      </c>
      <c r="AE576" s="369" t="s">
        <v>2761</v>
      </c>
    </row>
    <row r="577" spans="1:31" ht="18.75" hidden="1" thickBot="1">
      <c r="A577" s="2714"/>
      <c r="B577" s="371"/>
      <c r="C577" s="371"/>
      <c r="D577" s="2716">
        <f t="shared" si="45"/>
        <v>1</v>
      </c>
      <c r="E577" s="2721" t="s">
        <v>2751</v>
      </c>
      <c r="F577" s="294"/>
      <c r="G577" s="1529" t="s">
        <v>2752</v>
      </c>
      <c r="H577" s="1527">
        <f>SUMPRODUCT($E571:$E576,H571:H576)</f>
        <v>0</v>
      </c>
      <c r="I577" s="1527">
        <f>SUMPRODUCT($E571:$E576,I571:I576)</f>
        <v>0</v>
      </c>
      <c r="J577" s="1527">
        <f>SUMPRODUCT($E571:$E576,J571:J576)</f>
        <v>0</v>
      </c>
      <c r="K577" s="1567" t="str">
        <f t="shared" si="46"/>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0</v>
      </c>
      <c r="L579" s="349"/>
      <c r="M579" s="301" t="s">
        <v>2745</v>
      </c>
      <c r="N579" s="2210">
        <f>H592</f>
        <v>0</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227" t="s">
        <v>5135</v>
      </c>
      <c r="H582" s="3288" t="str">
        <f>$V$3</f>
        <v>2018年12月31日</v>
      </c>
      <c r="I582" s="3170" t="s">
        <v>5209</v>
      </c>
      <c r="J582" s="3288" t="str">
        <f>$X$3</f>
        <v>2019年1月1日</v>
      </c>
      <c r="K582" s="3172" t="s">
        <v>2919</v>
      </c>
      <c r="L582" s="3172"/>
      <c r="M582" s="3172"/>
      <c r="N582" s="3176"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228"/>
      <c r="H583" s="3171"/>
      <c r="I583" s="3171"/>
      <c r="J583" s="3171"/>
      <c r="K583" s="2239" t="s">
        <v>5210</v>
      </c>
      <c r="L583" s="2239" t="s">
        <v>5211</v>
      </c>
      <c r="M583" s="2237" t="s">
        <v>5212</v>
      </c>
      <c r="N583" s="3208"/>
      <c r="O583" s="434"/>
      <c r="P583" s="435"/>
      <c r="Q583" s="442"/>
      <c r="R583" s="443"/>
      <c r="S583" s="364"/>
      <c r="Z583" s="609" t="s">
        <v>273</v>
      </c>
      <c r="AA583" s="609" t="s">
        <v>2935</v>
      </c>
    </row>
    <row r="584" spans="1:31" ht="18">
      <c r="A584" s="2714"/>
      <c r="B584" s="371">
        <v>101</v>
      </c>
      <c r="C584" s="371" t="s">
        <v>2791</v>
      </c>
      <c r="D584" s="2716">
        <f t="shared" ref="D584:D592" si="47">IF(OR(G584="*",G584="",G584=0),0,COUNTIF($G$584:$G$592,G584))</f>
        <v>0</v>
      </c>
      <c r="E584" s="2721">
        <v>1</v>
      </c>
      <c r="F584" s="293"/>
      <c r="G584" s="2222" t="s">
        <v>2792</v>
      </c>
      <c r="H584" s="309"/>
      <c r="I584" s="422"/>
      <c r="J584" s="1476">
        <f>SUM(H584:I584)</f>
        <v>0</v>
      </c>
      <c r="K584" s="320"/>
      <c r="L584" s="309"/>
      <c r="M584" s="309"/>
      <c r="N584" s="1477">
        <f>SUM(J584:K584,-L584,-M584)</f>
        <v>0</v>
      </c>
      <c r="O584" s="437"/>
      <c r="P584" s="438"/>
      <c r="Q584" s="442"/>
      <c r="R584" s="443"/>
      <c r="S584" s="364"/>
      <c r="Z584" s="609" t="s">
        <v>273</v>
      </c>
      <c r="AA584" s="609" t="s">
        <v>2935</v>
      </c>
    </row>
    <row r="585" spans="1:31" ht="18">
      <c r="A585" s="2714"/>
      <c r="B585" s="371">
        <v>102</v>
      </c>
      <c r="C585" s="371" t="s">
        <v>2791</v>
      </c>
      <c r="D585" s="2716">
        <f t="shared" si="47"/>
        <v>0</v>
      </c>
      <c r="E585" s="2721">
        <v>1</v>
      </c>
      <c r="F585" s="293"/>
      <c r="G585" s="2222" t="s">
        <v>2792</v>
      </c>
      <c r="H585" s="309"/>
      <c r="I585" s="422"/>
      <c r="J585" s="1476">
        <f t="shared" ref="J585:J591" si="48">SUM(H585:I585)</f>
        <v>0</v>
      </c>
      <c r="K585" s="320"/>
      <c r="L585" s="309"/>
      <c r="M585" s="309"/>
      <c r="N585" s="1477">
        <f t="shared" ref="N585:N591" si="49">SUM(J585:K585,-L585,-M585)</f>
        <v>0</v>
      </c>
      <c r="O585" s="437"/>
      <c r="P585" s="438"/>
      <c r="Q585" s="442"/>
      <c r="R585" s="443"/>
      <c r="S585" s="364"/>
      <c r="Z585" s="609" t="s">
        <v>273</v>
      </c>
      <c r="AA585" s="609" t="s">
        <v>2935</v>
      </c>
    </row>
    <row r="586" spans="1:31" ht="18">
      <c r="A586" s="2714"/>
      <c r="B586" s="371">
        <v>103</v>
      </c>
      <c r="C586" s="371" t="s">
        <v>2791</v>
      </c>
      <c r="D586" s="2716">
        <f t="shared" si="47"/>
        <v>0</v>
      </c>
      <c r="E586" s="2721">
        <v>1</v>
      </c>
      <c r="F586" s="293"/>
      <c r="G586" s="2222" t="s">
        <v>2792</v>
      </c>
      <c r="H586" s="309"/>
      <c r="I586" s="422"/>
      <c r="J586" s="1476">
        <f t="shared" si="48"/>
        <v>0</v>
      </c>
      <c r="K586" s="320"/>
      <c r="L586" s="309"/>
      <c r="M586" s="309"/>
      <c r="N586" s="1477">
        <f t="shared" si="49"/>
        <v>0</v>
      </c>
      <c r="O586" s="437"/>
      <c r="P586" s="438"/>
      <c r="Q586" s="442"/>
      <c r="R586" s="443"/>
      <c r="S586" s="364"/>
      <c r="Z586" s="609" t="s">
        <v>273</v>
      </c>
      <c r="AA586" s="609" t="s">
        <v>2935</v>
      </c>
    </row>
    <row r="587" spans="1:31" ht="18">
      <c r="A587" s="2714"/>
      <c r="B587" s="371">
        <v>104</v>
      </c>
      <c r="C587" s="371" t="s">
        <v>2791</v>
      </c>
      <c r="D587" s="2716">
        <f t="shared" si="47"/>
        <v>0</v>
      </c>
      <c r="E587" s="2721">
        <v>1</v>
      </c>
      <c r="F587" s="293"/>
      <c r="G587" s="2222" t="s">
        <v>2792</v>
      </c>
      <c r="H587" s="309"/>
      <c r="I587" s="422"/>
      <c r="J587" s="1476">
        <f t="shared" si="48"/>
        <v>0</v>
      </c>
      <c r="K587" s="320"/>
      <c r="L587" s="309"/>
      <c r="M587" s="309"/>
      <c r="N587" s="1477">
        <f t="shared" si="49"/>
        <v>0</v>
      </c>
      <c r="O587" s="437"/>
      <c r="P587" s="438"/>
      <c r="Q587" s="442"/>
      <c r="R587" s="443"/>
      <c r="S587" s="364"/>
      <c r="Z587" s="609" t="s">
        <v>273</v>
      </c>
      <c r="AA587" s="609" t="s">
        <v>2935</v>
      </c>
    </row>
    <row r="588" spans="1:31" ht="18">
      <c r="A588" s="2714"/>
      <c r="B588" s="371">
        <v>105</v>
      </c>
      <c r="C588" s="371" t="s">
        <v>2791</v>
      </c>
      <c r="D588" s="2716">
        <f t="shared" si="47"/>
        <v>0</v>
      </c>
      <c r="E588" s="2721">
        <v>1</v>
      </c>
      <c r="F588" s="293"/>
      <c r="G588" s="2222" t="s">
        <v>2792</v>
      </c>
      <c r="H588" s="309"/>
      <c r="I588" s="422"/>
      <c r="J588" s="1476">
        <f t="shared" si="48"/>
        <v>0</v>
      </c>
      <c r="K588" s="320"/>
      <c r="L588" s="309"/>
      <c r="M588" s="309"/>
      <c r="N588" s="1477">
        <f t="shared" si="49"/>
        <v>0</v>
      </c>
      <c r="O588" s="437"/>
      <c r="P588" s="438"/>
      <c r="Q588" s="442"/>
      <c r="R588" s="443"/>
      <c r="S588" s="364"/>
      <c r="Z588" s="609" t="s">
        <v>273</v>
      </c>
      <c r="AA588" s="609" t="s">
        <v>2935</v>
      </c>
    </row>
    <row r="589" spans="1:31" ht="18">
      <c r="A589" s="2714"/>
      <c r="B589" s="371">
        <v>106</v>
      </c>
      <c r="C589" s="371" t="s">
        <v>2791</v>
      </c>
      <c r="D589" s="2716">
        <f t="shared" si="47"/>
        <v>0</v>
      </c>
      <c r="E589" s="2721">
        <v>1</v>
      </c>
      <c r="F589" s="293"/>
      <c r="G589" s="2222" t="s">
        <v>2792</v>
      </c>
      <c r="H589" s="309"/>
      <c r="I589" s="422"/>
      <c r="J589" s="1476">
        <f t="shared" si="48"/>
        <v>0</v>
      </c>
      <c r="K589" s="320"/>
      <c r="L589" s="309"/>
      <c r="M589" s="309"/>
      <c r="N589" s="1477">
        <f t="shared" si="49"/>
        <v>0</v>
      </c>
      <c r="O589" s="437"/>
      <c r="P589" s="438"/>
      <c r="Q589" s="442"/>
      <c r="R589" s="443"/>
      <c r="S589" s="364"/>
      <c r="Z589" s="609" t="s">
        <v>273</v>
      </c>
      <c r="AA589" s="609" t="s">
        <v>2935</v>
      </c>
    </row>
    <row r="590" spans="1:31" ht="18">
      <c r="A590" s="2714"/>
      <c r="B590" s="371">
        <v>107</v>
      </c>
      <c r="C590" s="371" t="s">
        <v>2791</v>
      </c>
      <c r="D590" s="2716">
        <f t="shared" si="47"/>
        <v>0</v>
      </c>
      <c r="E590" s="2721">
        <v>1</v>
      </c>
      <c r="F590" s="293"/>
      <c r="G590" s="2222" t="s">
        <v>2792</v>
      </c>
      <c r="H590" s="309"/>
      <c r="I590" s="422"/>
      <c r="J590" s="1476">
        <f t="shared" si="48"/>
        <v>0</v>
      </c>
      <c r="K590" s="320"/>
      <c r="L590" s="309"/>
      <c r="M590" s="309"/>
      <c r="N590" s="1477">
        <f t="shared" si="49"/>
        <v>0</v>
      </c>
      <c r="O590" s="437"/>
      <c r="P590" s="438"/>
      <c r="Q590" s="442"/>
      <c r="R590" s="443"/>
      <c r="S590" s="364"/>
      <c r="Z590" s="609" t="s">
        <v>273</v>
      </c>
      <c r="AA590" s="609" t="s">
        <v>2935</v>
      </c>
    </row>
    <row r="591" spans="1:31" ht="18">
      <c r="A591" s="2714"/>
      <c r="B591" s="371">
        <v>108</v>
      </c>
      <c r="C591" s="371" t="s">
        <v>2791</v>
      </c>
      <c r="D591" s="2716">
        <f t="shared" si="47"/>
        <v>0</v>
      </c>
      <c r="E591" s="2721">
        <v>1</v>
      </c>
      <c r="F591" s="293"/>
      <c r="G591" s="2222" t="s">
        <v>2792</v>
      </c>
      <c r="H591" s="309"/>
      <c r="I591" s="422"/>
      <c r="J591" s="1476">
        <f t="shared" si="48"/>
        <v>0</v>
      </c>
      <c r="K591" s="320"/>
      <c r="L591" s="309"/>
      <c r="M591" s="309"/>
      <c r="N591" s="1477">
        <f t="shared" si="49"/>
        <v>0</v>
      </c>
      <c r="O591" s="437"/>
      <c r="P591" s="438"/>
      <c r="Q591" s="442"/>
      <c r="R591" s="443"/>
      <c r="S591" s="364"/>
      <c r="Z591" s="609" t="s">
        <v>273</v>
      </c>
      <c r="AA591" s="609" t="s">
        <v>2935</v>
      </c>
    </row>
    <row r="592" spans="1:31" ht="18.75" thickBot="1">
      <c r="A592" s="2714"/>
      <c r="B592" s="371"/>
      <c r="C592" s="371"/>
      <c r="D592" s="2716">
        <f t="shared" si="47"/>
        <v>1</v>
      </c>
      <c r="E592" s="2721" t="s">
        <v>2751</v>
      </c>
      <c r="F592" s="293"/>
      <c r="G592" s="2234" t="s">
        <v>5141</v>
      </c>
      <c r="H592" s="2235">
        <f t="shared" ref="H592:N592" si="50">SUMPRODUCT($E583:$E591,H583:H591)</f>
        <v>0</v>
      </c>
      <c r="I592" s="2235">
        <f t="shared" si="50"/>
        <v>0</v>
      </c>
      <c r="J592" s="2235">
        <f t="shared" si="50"/>
        <v>0</v>
      </c>
      <c r="K592" s="2235">
        <f t="shared" si="50"/>
        <v>0</v>
      </c>
      <c r="L592" s="2235">
        <f t="shared" si="50"/>
        <v>0</v>
      </c>
      <c r="M592" s="2235">
        <f t="shared" si="50"/>
        <v>0</v>
      </c>
      <c r="N592" s="2236">
        <f t="shared" si="50"/>
        <v>0</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0</v>
      </c>
      <c r="I595" s="351"/>
      <c r="J595" s="351"/>
      <c r="K595" s="351"/>
      <c r="L595" s="351"/>
      <c r="M595" s="351"/>
      <c r="N595" s="2252">
        <f ca="1">HYPERLINK("#'"&amp;$G$1&amp;"'!"&amp;ADDRESS(ROW(Notes!H331),COLUMN(Notes!H331),4),H331)</f>
        <v>0</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0</v>
      </c>
      <c r="I596" s="351"/>
      <c r="J596" s="351"/>
      <c r="K596" s="351"/>
      <c r="L596" s="351"/>
      <c r="M596" s="351"/>
      <c r="N596" s="456">
        <f>N592</f>
        <v>0</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71"/>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1">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1"/>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1"/>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1"/>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1"/>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1"/>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6416</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2">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6536</v>
      </c>
      <c r="D615" s="2716">
        <f t="shared" si="52"/>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2"/>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71"/>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3">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3"/>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3"/>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3"/>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3"/>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3"/>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71"/>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4">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4"/>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4"/>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4"/>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4"/>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4"/>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4"/>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4"/>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4"/>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4"/>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4"/>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4"/>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4"/>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4"/>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4"/>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71"/>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5">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5"/>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5"/>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5"/>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5"/>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5"/>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71"/>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6">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6"/>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6"/>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6"/>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6"/>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6"/>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6532</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57">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57"/>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57"/>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57"/>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57"/>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57"/>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6532</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58">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58"/>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58"/>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58"/>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58"/>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58"/>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6532</v>
      </c>
      <c r="F688" s="294"/>
      <c r="G688" s="483" t="str">
        <f>"("&amp;B688&amp;")"&amp;D688</f>
        <v>(10)应收账款补充资料</v>
      </c>
      <c r="H688" s="1517" t="str">
        <f>$A688</f>
        <v>1122x</v>
      </c>
      <c r="I688" s="343" t="s">
        <v>5965</v>
      </c>
      <c r="J688" s="301" t="s">
        <v>5963</v>
      </c>
      <c r="K688" s="2210">
        <f>N695</f>
        <v>0</v>
      </c>
      <c r="L688" s="345"/>
      <c r="M688" s="301" t="s">
        <v>5964</v>
      </c>
      <c r="N688" s="2210">
        <f>H695</f>
        <v>0</v>
      </c>
      <c r="O688" s="345"/>
      <c r="P688" s="301"/>
      <c r="Q688" s="290" t="str">
        <f>IF($I688="不适用","",IF(ROUND(SUM($H$693:$N$695),2)=0,"请输入",""))</f>
        <v>请输入</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267" t="s">
        <v>47</v>
      </c>
      <c r="H691" s="3300" t="str">
        <f>$V$3</f>
        <v>2018年12月31日</v>
      </c>
      <c r="I691" s="3215" t="s">
        <v>3027</v>
      </c>
      <c r="J691" s="3215"/>
      <c r="K691" s="3215" t="s">
        <v>3028</v>
      </c>
      <c r="L691" s="3215"/>
      <c r="M691" s="3215"/>
      <c r="N691" s="3209" t="str">
        <f>$V$2</f>
        <v>2019年12月31日</v>
      </c>
      <c r="O691" s="355" t="s">
        <v>6176</v>
      </c>
      <c r="P691" s="291"/>
      <c r="S691" s="364"/>
      <c r="Z691" s="609" t="s">
        <v>273</v>
      </c>
      <c r="AA691" s="609" t="s">
        <v>2935</v>
      </c>
    </row>
    <row r="692" spans="1:27" ht="18">
      <c r="A692" s="2714"/>
      <c r="B692" s="371"/>
      <c r="C692" s="371"/>
      <c r="D692" s="371"/>
      <c r="E692" s="586" t="s">
        <v>2749</v>
      </c>
      <c r="F692" s="363"/>
      <c r="G692" s="3268"/>
      <c r="H692" s="3301"/>
      <c r="I692" s="2207" t="s">
        <v>2920</v>
      </c>
      <c r="J692" s="2207" t="s">
        <v>932</v>
      </c>
      <c r="K692" s="2207" t="s">
        <v>3029</v>
      </c>
      <c r="L692" s="2207" t="s">
        <v>3030</v>
      </c>
      <c r="M692" s="2207" t="s">
        <v>932</v>
      </c>
      <c r="N692" s="3210"/>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c r="I693" s="309"/>
      <c r="J693" s="309"/>
      <c r="K693" s="309"/>
      <c r="L693" s="309"/>
      <c r="M693" s="309"/>
      <c r="N693" s="1477">
        <f>SUM(H693:J693)-SUM(K693:M693)</f>
        <v>0</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59">SUMPRODUCT($E692:$E694,H692:H694)</f>
        <v>0</v>
      </c>
      <c r="I695" s="1527">
        <f t="shared" si="59"/>
        <v>0</v>
      </c>
      <c r="J695" s="1527">
        <f t="shared" si="59"/>
        <v>0</v>
      </c>
      <c r="K695" s="1527">
        <f t="shared" si="59"/>
        <v>0</v>
      </c>
      <c r="L695" s="1527">
        <f t="shared" si="59"/>
        <v>0</v>
      </c>
      <c r="M695" s="1527">
        <f t="shared" si="59"/>
        <v>0</v>
      </c>
      <c r="N695" s="1528">
        <f t="shared" si="59"/>
        <v>0</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0</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0</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0</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6460</v>
      </c>
      <c r="I707" s="371" t="s">
        <v>6461</v>
      </c>
      <c r="J707" s="371" t="s">
        <v>6462</v>
      </c>
      <c r="K707" s="547" t="s">
        <v>6463</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6464</v>
      </c>
      <c r="I708" s="371" t="s">
        <v>6465</v>
      </c>
      <c r="J708" s="371" t="s">
        <v>6466</v>
      </c>
      <c r="K708" s="547" t="s">
        <v>6467</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227" t="s">
        <v>5135</v>
      </c>
      <c r="H709" s="3297" t="str">
        <f>$V$2</f>
        <v>2019年12月31日</v>
      </c>
      <c r="I709" s="3297"/>
      <c r="J709" s="3297"/>
      <c r="K709" s="3278"/>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228"/>
      <c r="H710" s="2688" t="s">
        <v>6396</v>
      </c>
      <c r="I710" s="2688" t="s">
        <v>6394</v>
      </c>
      <c r="J710" s="2688" t="s">
        <v>5145</v>
      </c>
      <c r="K710" s="2690" t="s">
        <v>6395</v>
      </c>
      <c r="L710" s="1604"/>
      <c r="M710" s="1604"/>
      <c r="N710" s="1604"/>
      <c r="O710" s="1604"/>
      <c r="P710" s="1604"/>
      <c r="Q710" s="1604"/>
      <c r="R710" s="1604"/>
      <c r="S710" s="364"/>
      <c r="Z710" s="609" t="s">
        <v>448</v>
      </c>
      <c r="AA710" s="609" t="s">
        <v>3090</v>
      </c>
    </row>
    <row r="711" spans="1:29" ht="18">
      <c r="A711" s="2714"/>
      <c r="B711" s="371">
        <v>101</v>
      </c>
      <c r="C711" s="371"/>
      <c r="D711" s="2716">
        <f t="shared" ref="D711:D719" si="60">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6574</v>
      </c>
    </row>
    <row r="712" spans="1:29" ht="18">
      <c r="A712" s="2714"/>
      <c r="B712" s="371">
        <v>102</v>
      </c>
      <c r="C712" s="371" t="s">
        <v>2791</v>
      </c>
      <c r="D712" s="2716">
        <f t="shared" si="60"/>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0"/>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0"/>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0"/>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0"/>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6574</v>
      </c>
    </row>
    <row r="717" spans="1:29" ht="18">
      <c r="A717" s="2714"/>
      <c r="B717" s="371">
        <v>107</v>
      </c>
      <c r="C717" s="371" t="s">
        <v>2791</v>
      </c>
      <c r="D717" s="2716">
        <f t="shared" si="60"/>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0"/>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0"/>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6574</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6468</v>
      </c>
      <c r="I722" s="371" t="s">
        <v>6469</v>
      </c>
      <c r="J722" s="371" t="s">
        <v>6470</v>
      </c>
      <c r="K722" s="547" t="s">
        <v>6471</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6472</v>
      </c>
      <c r="I723" s="371" t="s">
        <v>6473</v>
      </c>
      <c r="J723" s="371" t="s">
        <v>6474</v>
      </c>
      <c r="K723" s="547" t="s">
        <v>6475</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227" t="s">
        <v>6397</v>
      </c>
      <c r="H724" s="3297" t="str">
        <f>$V$2</f>
        <v>2019年12月31日</v>
      </c>
      <c r="I724" s="3297"/>
      <c r="J724" s="3297"/>
      <c r="K724" s="3278"/>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228"/>
      <c r="H725" s="2688" t="s">
        <v>6398</v>
      </c>
      <c r="I725" s="2688" t="s">
        <v>6399</v>
      </c>
      <c r="J725" s="2688" t="s">
        <v>6400</v>
      </c>
      <c r="K725" s="2690" t="s">
        <v>6401</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1">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1"/>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1"/>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1"/>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1"/>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1"/>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6476</v>
      </c>
      <c r="I741" s="371" t="s">
        <v>6477</v>
      </c>
      <c r="J741" s="371" t="s">
        <v>6478</v>
      </c>
      <c r="K741" s="547" t="s">
        <v>6479</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6480</v>
      </c>
      <c r="I742" s="371" t="s">
        <v>6481</v>
      </c>
      <c r="J742" s="371" t="s">
        <v>6482</v>
      </c>
      <c r="K742" s="547" t="s">
        <v>6483</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227" t="s">
        <v>5136</v>
      </c>
      <c r="H743" s="3297" t="str">
        <f>$V$2</f>
        <v>2019年12月31日</v>
      </c>
      <c r="I743" s="3297"/>
      <c r="J743" s="3297"/>
      <c r="K743" s="3278"/>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228"/>
      <c r="H744" s="2688" t="s">
        <v>6396</v>
      </c>
      <c r="I744" s="2688" t="s">
        <v>6394</v>
      </c>
      <c r="J744" s="2688" t="s">
        <v>5145</v>
      </c>
      <c r="K744" s="2690" t="s">
        <v>6395</v>
      </c>
      <c r="L744" s="355" t="s">
        <v>6392</v>
      </c>
      <c r="M744" s="435"/>
      <c r="N744" s="434"/>
      <c r="O744" s="434"/>
      <c r="P744" s="435"/>
      <c r="Q744" s="442"/>
      <c r="R744" s="443"/>
      <c r="S744" s="364"/>
      <c r="Z744" s="609" t="s">
        <v>448</v>
      </c>
      <c r="AA744" s="609" t="s">
        <v>3090</v>
      </c>
    </row>
    <row r="745" spans="1:27" ht="18">
      <c r="A745" s="2714"/>
      <c r="B745" s="371">
        <v>101</v>
      </c>
      <c r="C745" s="371" t="s">
        <v>2791</v>
      </c>
      <c r="D745" s="2716">
        <f t="shared" ref="D745:D753" si="62">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2"/>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2"/>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2"/>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2"/>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2"/>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2"/>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2"/>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2"/>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6534</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6484</v>
      </c>
      <c r="I763" s="371" t="s">
        <v>6485</v>
      </c>
      <c r="J763" s="371" t="s">
        <v>6486</v>
      </c>
      <c r="K763" s="547" t="s">
        <v>6487</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6488</v>
      </c>
      <c r="I764" s="371" t="s">
        <v>6489</v>
      </c>
      <c r="J764" s="371" t="s">
        <v>6490</v>
      </c>
      <c r="K764" s="547" t="s">
        <v>6491</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267" t="s">
        <v>5948</v>
      </c>
      <c r="H765" s="3290" t="str">
        <f>$V$2</f>
        <v>2019年12月31日</v>
      </c>
      <c r="I765" s="3290"/>
      <c r="J765" s="3290"/>
      <c r="K765" s="3311"/>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268"/>
      <c r="H766" s="2693" t="s">
        <v>6396</v>
      </c>
      <c r="I766" s="2693" t="s">
        <v>6394</v>
      </c>
      <c r="J766" s="2693" t="s">
        <v>5145</v>
      </c>
      <c r="K766" s="2697" t="s">
        <v>6395</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3">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3"/>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3"/>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3"/>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3"/>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3"/>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3"/>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3"/>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3"/>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6371</v>
      </c>
      <c r="B777" s="371">
        <v>3</v>
      </c>
      <c r="C777" s="371"/>
      <c r="D777" s="2716" t="str">
        <f>VLOOKUP($A777,Sheet_NoteList,2,0)</f>
        <v>应收款项融资——应收账款按减值计提方法分类</v>
      </c>
      <c r="E777" s="2716" t="s">
        <v>6532</v>
      </c>
      <c r="F777" s="293"/>
      <c r="G777" s="372" t="str">
        <f>"("&amp;B777&amp;")"&amp;D777</f>
        <v>(3)应收款项融资——应收账款按减值计提方法分类</v>
      </c>
      <c r="H777" s="1517" t="str">
        <f>$A777</f>
        <v>1124g</v>
      </c>
      <c r="I777" s="343" t="s">
        <v>6384</v>
      </c>
      <c r="J777" s="301" t="s">
        <v>6385</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6386</v>
      </c>
      <c r="H778" s="371" t="s">
        <v>6492</v>
      </c>
      <c r="I778" s="371" t="s">
        <v>6493</v>
      </c>
      <c r="J778" s="371" t="s">
        <v>6494</v>
      </c>
      <c r="K778" s="547" t="s">
        <v>6495</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6496</v>
      </c>
      <c r="I779" s="371" t="s">
        <v>6497</v>
      </c>
      <c r="J779" s="371" t="s">
        <v>6498</v>
      </c>
      <c r="K779" s="547" t="s">
        <v>6499</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227" t="s">
        <v>5135</v>
      </c>
      <c r="H780" s="3297" t="str">
        <f>$V$2</f>
        <v>2019年12月31日</v>
      </c>
      <c r="I780" s="3297"/>
      <c r="J780" s="3297"/>
      <c r="K780" s="3278"/>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228"/>
      <c r="H781" s="2688" t="s">
        <v>6396</v>
      </c>
      <c r="I781" s="2688" t="s">
        <v>6394</v>
      </c>
      <c r="J781" s="2688" t="s">
        <v>5145</v>
      </c>
      <c r="K781" s="2690" t="s">
        <v>6395</v>
      </c>
      <c r="L781" s="1604"/>
      <c r="M781" s="1604"/>
      <c r="N781" s="1604"/>
      <c r="O781" s="1604"/>
      <c r="P781" s="1604"/>
      <c r="Q781" s="1604"/>
      <c r="R781" s="1604"/>
      <c r="S781" s="364"/>
      <c r="Z781" s="609" t="s">
        <v>448</v>
      </c>
      <c r="AA781" s="609" t="s">
        <v>3090</v>
      </c>
    </row>
    <row r="782" spans="1:29" ht="18">
      <c r="A782" s="2714"/>
      <c r="B782" s="371">
        <v>101</v>
      </c>
      <c r="C782" s="371"/>
      <c r="D782" s="2716">
        <f t="shared" ref="D782:D790" si="64">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6574</v>
      </c>
    </row>
    <row r="783" spans="1:29" ht="18">
      <c r="A783" s="2714"/>
      <c r="B783" s="371">
        <v>102</v>
      </c>
      <c r="C783" s="371" t="s">
        <v>2791</v>
      </c>
      <c r="D783" s="2716">
        <f t="shared" si="64"/>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4"/>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4"/>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4"/>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4"/>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6574</v>
      </c>
    </row>
    <row r="788" spans="1:29" ht="18">
      <c r="A788" s="2714"/>
      <c r="B788" s="371">
        <v>107</v>
      </c>
      <c r="C788" s="371" t="s">
        <v>2791</v>
      </c>
      <c r="D788" s="2716">
        <f t="shared" si="64"/>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4"/>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4"/>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6372</v>
      </c>
      <c r="B792" s="371">
        <v>3.1</v>
      </c>
      <c r="C792" s="371"/>
      <c r="D792" s="2716" t="str">
        <f>VLOOKUP($A792,Sheet_NoteList,2,0)</f>
        <v>期末按单项计提减值准备的应收款项融资——应收账款</v>
      </c>
      <c r="E792" s="2716" t="s">
        <v>6532</v>
      </c>
      <c r="F792" s="293"/>
      <c r="G792" s="372" t="str">
        <f>"("&amp;B792&amp;")"&amp;D792</f>
        <v>(3.1)期末按单项计提减值准备的应收款项融资——应收账款</v>
      </c>
      <c r="H792" s="1517" t="str">
        <f>$A792</f>
        <v>1124h</v>
      </c>
      <c r="I792" s="343" t="s">
        <v>6384</v>
      </c>
      <c r="J792" s="301" t="s">
        <v>6385</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6387</v>
      </c>
      <c r="H793" s="371" t="s">
        <v>6500</v>
      </c>
      <c r="I793" s="371" t="s">
        <v>6501</v>
      </c>
      <c r="J793" s="371" t="s">
        <v>6502</v>
      </c>
      <c r="K793" s="547" t="s">
        <v>6503</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6504</v>
      </c>
      <c r="I794" s="371" t="s">
        <v>6505</v>
      </c>
      <c r="J794" s="371" t="s">
        <v>6506</v>
      </c>
      <c r="K794" s="547" t="s">
        <v>6507</v>
      </c>
      <c r="L794" s="349"/>
      <c r="M794" s="301"/>
      <c r="N794" s="391"/>
      <c r="O794" s="349"/>
      <c r="P794" s="301"/>
      <c r="S794" s="364"/>
      <c r="Z794" s="609" t="s">
        <v>448</v>
      </c>
      <c r="AA794" s="609" t="s">
        <v>3090</v>
      </c>
    </row>
    <row r="795" spans="1:29" ht="18" customHeight="1">
      <c r="A795" s="2714"/>
      <c r="B795" s="371"/>
      <c r="C795" s="371"/>
      <c r="D795" s="2716"/>
      <c r="E795" s="586" t="s">
        <v>2749</v>
      </c>
      <c r="F795" s="414"/>
      <c r="G795" s="3227" t="s">
        <v>5136</v>
      </c>
      <c r="H795" s="3297" t="str">
        <f>$V$2</f>
        <v>2019年12月31日</v>
      </c>
      <c r="I795" s="3297"/>
      <c r="J795" s="3297"/>
      <c r="K795" s="3278"/>
      <c r="L795" s="355" t="s">
        <v>5271</v>
      </c>
      <c r="M795" s="301"/>
      <c r="N795" s="391"/>
      <c r="O795" s="349"/>
      <c r="P795" s="301"/>
      <c r="S795" s="364"/>
      <c r="Z795" s="609" t="s">
        <v>448</v>
      </c>
      <c r="AA795" s="609" t="s">
        <v>3090</v>
      </c>
    </row>
    <row r="796" spans="1:29" ht="36">
      <c r="A796" s="2714"/>
      <c r="B796" s="371"/>
      <c r="C796" s="371"/>
      <c r="D796" s="2716"/>
      <c r="E796" s="586" t="s">
        <v>2749</v>
      </c>
      <c r="F796" s="414"/>
      <c r="G796" s="3228"/>
      <c r="H796" s="2688" t="s">
        <v>6396</v>
      </c>
      <c r="I796" s="2688" t="s">
        <v>6394</v>
      </c>
      <c r="J796" s="2688" t="s">
        <v>5145</v>
      </c>
      <c r="K796" s="2690" t="s">
        <v>6395</v>
      </c>
      <c r="L796" s="349"/>
      <c r="M796" s="301"/>
      <c r="N796" s="391"/>
      <c r="O796" s="349"/>
      <c r="P796" s="301"/>
      <c r="S796" s="364"/>
      <c r="Z796" s="609" t="s">
        <v>448</v>
      </c>
      <c r="AA796" s="609" t="s">
        <v>3090</v>
      </c>
    </row>
    <row r="797" spans="1:29" ht="18">
      <c r="A797" s="2714"/>
      <c r="B797" s="371">
        <v>101</v>
      </c>
      <c r="C797" s="371" t="s">
        <v>2791</v>
      </c>
      <c r="D797" s="2716">
        <f t="shared" ref="D797:D802" si="65">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5"/>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5"/>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5"/>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5"/>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5"/>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6372</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6373</v>
      </c>
      <c r="B811" s="371">
        <v>3.2</v>
      </c>
      <c r="C811" s="371"/>
      <c r="D811" s="2716" t="str">
        <f>VLOOKUP($A811,Sheet_NoteList,2,0)</f>
        <v>期末按按组合1计提减值准备的应收款项融资——应收账款</v>
      </c>
      <c r="E811" s="2716" t="s">
        <v>6534</v>
      </c>
      <c r="F811" s="293"/>
      <c r="G811" s="372" t="str">
        <f>"("&amp;B811&amp;")"&amp;D811</f>
        <v>(3.2)期末按按组合1计提减值准备的应收款项融资——应收账款</v>
      </c>
      <c r="H811" s="1517" t="str">
        <f>$A811</f>
        <v>1124i</v>
      </c>
      <c r="I811" s="343" t="s">
        <v>6388</v>
      </c>
      <c r="J811" s="301" t="s">
        <v>6389</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6390</v>
      </c>
      <c r="H812" s="371" t="s">
        <v>6508</v>
      </c>
      <c r="I812" s="371" t="s">
        <v>6509</v>
      </c>
      <c r="J812" s="371" t="s">
        <v>6510</v>
      </c>
      <c r="K812" s="547" t="s">
        <v>6511</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6512</v>
      </c>
      <c r="I813" s="371" t="s">
        <v>6513</v>
      </c>
      <c r="J813" s="371" t="s">
        <v>6514</v>
      </c>
      <c r="K813" s="547" t="s">
        <v>6515</v>
      </c>
      <c r="L813" s="349"/>
      <c r="M813" s="301"/>
      <c r="N813" s="391"/>
      <c r="O813" s="349"/>
      <c r="P813" s="301"/>
      <c r="S813" s="364"/>
      <c r="Z813" s="609" t="s">
        <v>448</v>
      </c>
      <c r="AA813" s="609" t="s">
        <v>3090</v>
      </c>
    </row>
    <row r="814" spans="1:27" ht="18" customHeight="1">
      <c r="A814" s="2714"/>
      <c r="B814" s="371"/>
      <c r="C814" s="371"/>
      <c r="D814" s="2716"/>
      <c r="E814" s="586" t="s">
        <v>2749</v>
      </c>
      <c r="F814" s="414"/>
      <c r="G814" s="3227" t="s">
        <v>5136</v>
      </c>
      <c r="H814" s="3297" t="str">
        <f>$V$2</f>
        <v>2019年12月31日</v>
      </c>
      <c r="I814" s="3297"/>
      <c r="J814" s="3297"/>
      <c r="K814" s="3278"/>
      <c r="L814" s="355" t="s">
        <v>5271</v>
      </c>
      <c r="M814" s="301"/>
      <c r="N814" s="391"/>
      <c r="O814" s="349"/>
      <c r="P814" s="301"/>
      <c r="S814" s="364"/>
      <c r="Z814" s="609" t="s">
        <v>448</v>
      </c>
      <c r="AA814" s="609" t="s">
        <v>3090</v>
      </c>
    </row>
    <row r="815" spans="1:27" ht="36">
      <c r="A815" s="2714"/>
      <c r="B815" s="371"/>
      <c r="C815" s="371"/>
      <c r="D815" s="2716"/>
      <c r="E815" s="586" t="s">
        <v>2749</v>
      </c>
      <c r="F815" s="414"/>
      <c r="G815" s="3228"/>
      <c r="H815" s="2688" t="s">
        <v>6396</v>
      </c>
      <c r="I815" s="2688" t="s">
        <v>6394</v>
      </c>
      <c r="J815" s="2688" t="s">
        <v>5145</v>
      </c>
      <c r="K815" s="2690" t="s">
        <v>6395</v>
      </c>
      <c r="L815" s="355" t="s">
        <v>6392</v>
      </c>
      <c r="M815" s="301"/>
      <c r="N815" s="391"/>
      <c r="O815" s="349"/>
      <c r="P815" s="301"/>
      <c r="S815" s="364"/>
      <c r="Z815" s="609" t="s">
        <v>448</v>
      </c>
      <c r="AA815" s="609" t="s">
        <v>3090</v>
      </c>
    </row>
    <row r="816" spans="1:27" ht="18">
      <c r="A816" s="2714"/>
      <c r="B816" s="371">
        <v>101</v>
      </c>
      <c r="C816" s="371" t="s">
        <v>2791</v>
      </c>
      <c r="D816" s="2716">
        <f t="shared" ref="D816:D824" si="66">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6"/>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6"/>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6"/>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6"/>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6"/>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6"/>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6"/>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6"/>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6373</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6374</v>
      </c>
      <c r="B833" s="371">
        <v>3.3</v>
      </c>
      <c r="C833" s="371"/>
      <c r="D833" s="2716" t="str">
        <f>VLOOKUP($A833,Sheet_NoteList,2,0)</f>
        <v>期末按按组合2计提减值准备的应收款项融资——应收账款</v>
      </c>
      <c r="E833" s="2716" t="s">
        <v>6534</v>
      </c>
      <c r="F833" s="293"/>
      <c r="G833" s="372" t="str">
        <f>"("&amp;B833&amp;")"&amp;D833</f>
        <v>(3.3)期末按按组合2计提减值准备的应收款项融资——应收账款</v>
      </c>
      <c r="H833" s="1517" t="str">
        <f>$A833</f>
        <v>1124j</v>
      </c>
      <c r="I833" s="343" t="s">
        <v>6384</v>
      </c>
      <c r="J833" s="301" t="s">
        <v>6385</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6391</v>
      </c>
      <c r="H834" s="371" t="s">
        <v>6516</v>
      </c>
      <c r="I834" s="371" t="s">
        <v>6517</v>
      </c>
      <c r="J834" s="371" t="s">
        <v>6518</v>
      </c>
      <c r="K834" s="547" t="s">
        <v>6519</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6520</v>
      </c>
      <c r="I835" s="371" t="s">
        <v>6521</v>
      </c>
      <c r="J835" s="371" t="s">
        <v>6522</v>
      </c>
      <c r="K835" s="547" t="s">
        <v>6523</v>
      </c>
      <c r="L835" s="349"/>
      <c r="M835" s="301"/>
      <c r="N835" s="391"/>
      <c r="O835" s="349"/>
      <c r="P835" s="301"/>
      <c r="S835" s="364"/>
      <c r="Z835" s="609" t="s">
        <v>448</v>
      </c>
      <c r="AA835" s="609" t="s">
        <v>3090</v>
      </c>
    </row>
    <row r="836" spans="1:27" ht="18" customHeight="1">
      <c r="A836" s="2714"/>
      <c r="B836" s="371"/>
      <c r="C836" s="371"/>
      <c r="D836" s="2716"/>
      <c r="E836" s="586" t="s">
        <v>2749</v>
      </c>
      <c r="F836" s="414"/>
      <c r="G836" s="3267" t="s">
        <v>5948</v>
      </c>
      <c r="H836" s="3290" t="str">
        <f>$V$2</f>
        <v>2019年12月31日</v>
      </c>
      <c r="I836" s="3290"/>
      <c r="J836" s="3290"/>
      <c r="K836" s="3311"/>
      <c r="L836" s="355" t="s">
        <v>5949</v>
      </c>
      <c r="M836" s="301"/>
      <c r="N836" s="391"/>
      <c r="O836" s="349"/>
      <c r="P836" s="301"/>
      <c r="S836" s="364"/>
      <c r="Z836" s="609" t="s">
        <v>448</v>
      </c>
      <c r="AA836" s="609" t="s">
        <v>3090</v>
      </c>
    </row>
    <row r="837" spans="1:27" ht="36">
      <c r="A837" s="2714"/>
      <c r="B837" s="371"/>
      <c r="C837" s="371"/>
      <c r="D837" s="2716"/>
      <c r="E837" s="586" t="s">
        <v>2749</v>
      </c>
      <c r="F837" s="414"/>
      <c r="G837" s="3268"/>
      <c r="H837" s="2693" t="s">
        <v>6396</v>
      </c>
      <c r="I837" s="2693" t="s">
        <v>6394</v>
      </c>
      <c r="J837" s="2693" t="s">
        <v>5145</v>
      </c>
      <c r="K837" s="2697" t="s">
        <v>6395</v>
      </c>
      <c r="L837" s="355" t="s">
        <v>6176</v>
      </c>
      <c r="M837" s="301"/>
      <c r="N837" s="391"/>
      <c r="O837" s="349"/>
      <c r="P837" s="301"/>
      <c r="S837" s="364"/>
      <c r="Z837" s="609" t="s">
        <v>448</v>
      </c>
      <c r="AA837" s="609" t="s">
        <v>3090</v>
      </c>
    </row>
    <row r="838" spans="1:27" ht="18">
      <c r="A838" s="2714"/>
      <c r="B838" s="371">
        <v>101</v>
      </c>
      <c r="C838" s="371" t="s">
        <v>2791</v>
      </c>
      <c r="D838" s="2716">
        <f t="shared" ref="D838:D846" si="67">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67"/>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67"/>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67"/>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67"/>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67"/>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67"/>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67"/>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67"/>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t="str">
        <f>IF($I848="适用",IF(ROUND(K$697-K848,2)=0,"F/S",ROUND(K$697-K848,2)),"#N/A")</f>
        <v>F/S</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227" t="s">
        <v>5135</v>
      </c>
      <c r="H851" s="3168" t="str">
        <f>$V$3</f>
        <v>2018年12月31日</v>
      </c>
      <c r="I851" s="3170" t="s">
        <v>5209</v>
      </c>
      <c r="J851" s="3168" t="str">
        <f>$X$3</f>
        <v>2019年1月1日</v>
      </c>
      <c r="K851" s="3172" t="s">
        <v>2919</v>
      </c>
      <c r="L851" s="3172"/>
      <c r="M851" s="3172"/>
      <c r="N851" s="3151"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228"/>
      <c r="H852" s="3169"/>
      <c r="I852" s="3171"/>
      <c r="J852" s="3169"/>
      <c r="K852" s="2239" t="s">
        <v>5210</v>
      </c>
      <c r="L852" s="2239" t="s">
        <v>5211</v>
      </c>
      <c r="M852" s="2271" t="s">
        <v>5212</v>
      </c>
      <c r="N852" s="3152"/>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68">SUM(H854:I854)</f>
        <v>0</v>
      </c>
      <c r="K854" s="2275"/>
      <c r="L854" s="2275"/>
      <c r="M854" s="2275"/>
      <c r="N854" s="1477">
        <f t="shared" ref="N854:N855" si="69">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68"/>
        <v>0</v>
      </c>
      <c r="K855" s="2275"/>
      <c r="L855" s="2275"/>
      <c r="M855" s="2275"/>
      <c r="N855" s="1477">
        <f t="shared" si="69"/>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0">SUMPRODUCT($E852:$E855,H852:H855)</f>
        <v>0</v>
      </c>
      <c r="I856" s="2235">
        <f t="shared" si="70"/>
        <v>0</v>
      </c>
      <c r="J856" s="2235">
        <f t="shared" si="70"/>
        <v>0</v>
      </c>
      <c r="K856" s="2235">
        <f t="shared" si="70"/>
        <v>0</v>
      </c>
      <c r="L856" s="2235">
        <f t="shared" si="70"/>
        <v>0</v>
      </c>
      <c r="M856" s="2235">
        <f t="shared" si="70"/>
        <v>0</v>
      </c>
      <c r="N856" s="2236">
        <f t="shared" si="70"/>
        <v>0</v>
      </c>
      <c r="O856" s="437"/>
      <c r="P856" s="1557">
        <f t="shared" ref="P856:Q856" ca="1" si="71">SUM(P853:P855)</f>
        <v>0</v>
      </c>
      <c r="Q856" s="1557">
        <f t="shared" si="71"/>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0</v>
      </c>
      <c r="L858" s="342"/>
      <c r="M858" s="306" t="s">
        <v>2741</v>
      </c>
      <c r="N858" s="341">
        <f>VLOOKUP($A858,Sheet_Trialbal,10,0)</f>
        <v>496233.65</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0</v>
      </c>
      <c r="L859" s="345" t="str">
        <f>IF($I859="适用",IF(ROUND(K$858-K859,2)=0,"F/S",ROUND(K$858-K859,2)),"#N/A")</f>
        <v>F/S</v>
      </c>
      <c r="M859" s="301" t="s">
        <v>2745</v>
      </c>
      <c r="N859" s="2210">
        <f>J869</f>
        <v>0</v>
      </c>
      <c r="O859" s="345">
        <f>IF($I859="适用",IF(ROUND(N$858-N859,2)=0,"F/S",ROUND(N$858-N859,2)),"#N/A")</f>
        <v>496233.65</v>
      </c>
      <c r="P859" s="301"/>
      <c r="Q859" s="290" t="str">
        <f>IF($I859="不适用","",IF(ROUND(SUM($H$864:$M$869),2)=0,"请输入",""))</f>
        <v>请输入</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261" t="s">
        <v>1439</v>
      </c>
      <c r="H862" s="3155" t="str">
        <f>$V$2</f>
        <v>2019年12月31日</v>
      </c>
      <c r="I862" s="3157"/>
      <c r="J862" s="3155" t="str">
        <f>$V$3</f>
        <v>2018年12月31日</v>
      </c>
      <c r="K862" s="3156"/>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262"/>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2">IF(OR(G864="*",G864="",G864=0),0,COUNTIF($G$864:$G$869,G864))</f>
        <v>1</v>
      </c>
      <c r="E864" s="2721">
        <v>1</v>
      </c>
      <c r="F864" s="294"/>
      <c r="G864" s="2548" t="s">
        <v>2938</v>
      </c>
      <c r="H864" s="309"/>
      <c r="I864" s="360" t="str">
        <f>IF(H$869*H864=0,"",ROUND(H864*100/H$869,2))</f>
        <v/>
      </c>
      <c r="J864" s="309"/>
      <c r="K864" s="388" t="str">
        <f>IF(J$869*J864=0,"",ROUND(J864*100/J$869,2))</f>
        <v/>
      </c>
      <c r="L864" s="442"/>
      <c r="M864" s="438"/>
      <c r="N864" s="472"/>
      <c r="O864" s="472"/>
      <c r="P864" s="442"/>
      <c r="Q864" s="442"/>
      <c r="R864" s="443"/>
      <c r="S864" s="364"/>
      <c r="Z864" s="609" t="s">
        <v>475</v>
      </c>
      <c r="AA864" s="609" t="s">
        <v>5652</v>
      </c>
    </row>
    <row r="865" spans="1:27" ht="18">
      <c r="A865" s="2714"/>
      <c r="B865" s="371">
        <v>102</v>
      </c>
      <c r="C865" s="371" t="s">
        <v>2791</v>
      </c>
      <c r="D865" s="2716">
        <f t="shared" si="72"/>
        <v>1</v>
      </c>
      <c r="E865" s="2721">
        <v>1</v>
      </c>
      <c r="F865" s="294"/>
      <c r="G865" s="2548" t="s">
        <v>2940</v>
      </c>
      <c r="H865" s="309"/>
      <c r="I865" s="360" t="str">
        <f>IF(H$869*H865=0,"",ROUND(H865*100/H$869,2))</f>
        <v/>
      </c>
      <c r="J865" s="309"/>
      <c r="K865" s="388" t="str">
        <f>IF(J$869*J865=0,"",ROUND(J865*100/J$869,2))</f>
        <v/>
      </c>
      <c r="L865" s="442"/>
      <c r="M865" s="438"/>
      <c r="N865" s="472"/>
      <c r="O865" s="472"/>
      <c r="P865" s="442"/>
      <c r="Q865" s="442"/>
      <c r="R865" s="443"/>
      <c r="S865" s="364"/>
      <c r="Z865" s="609" t="s">
        <v>475</v>
      </c>
      <c r="AA865" s="609" t="s">
        <v>5652</v>
      </c>
    </row>
    <row r="866" spans="1:27" ht="18">
      <c r="A866" s="2714"/>
      <c r="B866" s="371">
        <v>103</v>
      </c>
      <c r="C866" s="371" t="s">
        <v>2791</v>
      </c>
      <c r="D866" s="2716">
        <f t="shared" si="72"/>
        <v>1</v>
      </c>
      <c r="E866" s="2721">
        <v>1</v>
      </c>
      <c r="F866" s="294"/>
      <c r="G866" s="1506" t="s">
        <v>2941</v>
      </c>
      <c r="H866" s="309"/>
      <c r="I866" s="360" t="str">
        <f>IF(H$869*H866=0,"",ROUND(H866*100/H$869,2))</f>
        <v/>
      </c>
      <c r="J866" s="309"/>
      <c r="K866" s="388" t="str">
        <f>IF(J$869*J866=0,"",ROUND(J866*100/J$869,2))</f>
        <v/>
      </c>
      <c r="L866" s="442"/>
      <c r="M866" s="438"/>
      <c r="N866" s="472"/>
      <c r="O866" s="472"/>
      <c r="P866" s="442"/>
      <c r="Q866" s="442"/>
      <c r="R866" s="443"/>
      <c r="S866" s="364"/>
      <c r="Z866" s="609" t="s">
        <v>475</v>
      </c>
      <c r="AA866" s="609" t="s">
        <v>5652</v>
      </c>
    </row>
    <row r="867" spans="1:27" ht="18">
      <c r="A867" s="2714"/>
      <c r="B867" s="371">
        <v>104</v>
      </c>
      <c r="C867" s="371" t="s">
        <v>2791</v>
      </c>
      <c r="D867" s="2716">
        <f t="shared" si="72"/>
        <v>1</v>
      </c>
      <c r="E867" s="2721">
        <v>1</v>
      </c>
      <c r="F867" s="294"/>
      <c r="G867" s="1506" t="s">
        <v>3108</v>
      </c>
      <c r="H867" s="309"/>
      <c r="I867" s="360" t="str">
        <f>IF(H$869*H867=0,"",ROUND(H867*100/H$869,2))</f>
        <v/>
      </c>
      <c r="J867" s="309"/>
      <c r="K867" s="388" t="str">
        <f>IF(J$869*J867=0,"",ROUND(J867*100/J$869,2))</f>
        <v/>
      </c>
      <c r="L867" s="442"/>
      <c r="M867" s="438"/>
      <c r="N867" s="472"/>
      <c r="O867" s="472"/>
      <c r="P867" s="442"/>
      <c r="Q867" s="442"/>
      <c r="R867" s="443"/>
      <c r="S867" s="364"/>
      <c r="Z867" s="609" t="s">
        <v>475</v>
      </c>
      <c r="AA867" s="609" t="s">
        <v>5652</v>
      </c>
    </row>
    <row r="868" spans="1:27" ht="18">
      <c r="A868" s="2714"/>
      <c r="B868" s="371">
        <v>105</v>
      </c>
      <c r="C868" s="371" t="s">
        <v>2791</v>
      </c>
      <c r="D868" s="2716">
        <f t="shared" si="72"/>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2"/>
        <v>1</v>
      </c>
      <c r="E869" s="2721" t="s">
        <v>2751</v>
      </c>
      <c r="F869" s="294"/>
      <c r="G869" s="374" t="s">
        <v>2752</v>
      </c>
      <c r="H869" s="375">
        <f>SUMPRODUCT($E863:$E868,H863:H868)</f>
        <v>0</v>
      </c>
      <c r="I869" s="509">
        <f t="shared" ref="I869:K869" si="73">SUMPRODUCT($E863:$E868,I863:I868)</f>
        <v>0</v>
      </c>
      <c r="J869" s="375">
        <f t="shared" si="73"/>
        <v>0</v>
      </c>
      <c r="K869" s="510">
        <f t="shared" si="73"/>
        <v>0</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71"/>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4">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4"/>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4"/>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4"/>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4"/>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4"/>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4"/>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4"/>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4"/>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4"/>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4"/>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4"/>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4"/>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4"/>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4"/>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6532</v>
      </c>
      <c r="F890" s="294"/>
      <c r="G890" s="372" t="str">
        <f>"("&amp;B890&amp;")"&amp;D890</f>
        <v>(3)账龄超过1年的金额重要的预付账款</v>
      </c>
      <c r="H890" s="1517" t="str">
        <f>$A890</f>
        <v>1125d</v>
      </c>
      <c r="I890" s="343" t="s">
        <v>5545</v>
      </c>
      <c r="J890" s="301" t="s">
        <v>5544</v>
      </c>
      <c r="K890" s="2210">
        <f>H898</f>
        <v>0</v>
      </c>
      <c r="L890" s="1535" t="str">
        <f>IF($I890="适用",IF(ROUND(K858-K890,2)&gt;=0,IF(K858&lt;&gt;0,K890/K858,""),"#Logical!"),"#N/A")</f>
        <v/>
      </c>
      <c r="M890" s="301"/>
      <c r="N890" s="3071"/>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5">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5"/>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5"/>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5"/>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5"/>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5"/>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6532</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6">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6"/>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6"/>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6"/>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6"/>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6"/>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6532</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77">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77"/>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77"/>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77"/>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77"/>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77"/>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6532</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78">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78"/>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78"/>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78"/>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78"/>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78"/>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78"/>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78"/>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78"/>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0</v>
      </c>
      <c r="L933" s="342"/>
      <c r="M933" s="306" t="s">
        <v>2741</v>
      </c>
      <c r="N933" s="341">
        <f>VLOOKUP($A933,Sheet_Trialbal,10,0)</f>
        <v>4191637.3</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0</v>
      </c>
      <c r="L934" s="349"/>
      <c r="M934" s="301" t="s">
        <v>2745</v>
      </c>
      <c r="N934" s="2210">
        <f>I941</f>
        <v>0</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79">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79"/>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79"/>
        <v>1</v>
      </c>
      <c r="E939" s="2721">
        <v>1</v>
      </c>
      <c r="F939" s="371"/>
      <c r="G939" s="308" t="s">
        <v>201</v>
      </c>
      <c r="H939" s="309"/>
      <c r="I939" s="394"/>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79"/>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79"/>
        <v>1</v>
      </c>
      <c r="E941" s="2721" t="s">
        <v>2751</v>
      </c>
      <c r="F941" s="371"/>
      <c r="G941" s="407" t="s">
        <v>2752</v>
      </c>
      <c r="H941" s="1478">
        <f>SUMPRODUCT($E936:$E940,H936:H940)</f>
        <v>0</v>
      </c>
      <c r="I941" s="1479">
        <f>SUMPRODUCT($E936:$E940,I936:I940)</f>
        <v>0</v>
      </c>
      <c r="J941" s="301"/>
      <c r="K941" s="1531">
        <f t="shared" ref="K941:L941" ca="1" si="80">SUM(K937:K940)</f>
        <v>0</v>
      </c>
      <c r="L941" s="1531">
        <f t="shared" ca="1" si="80"/>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1">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1"/>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1"/>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1"/>
        <v>0</v>
      </c>
      <c r="E950" s="2721" t="s">
        <v>2939</v>
      </c>
      <c r="F950" s="294"/>
      <c r="G950" s="2284" t="s">
        <v>2792</v>
      </c>
      <c r="H950" s="2275"/>
      <c r="I950" s="2296"/>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1"/>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1"/>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1"/>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1"/>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71"/>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2">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2"/>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2"/>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2"/>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2"/>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2"/>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3">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3"/>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3"/>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3"/>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3"/>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3"/>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4">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4"/>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4"/>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4"/>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4"/>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4"/>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0</v>
      </c>
      <c r="L987" s="342"/>
      <c r="M987" s="306" t="s">
        <v>2741</v>
      </c>
      <c r="N987" s="341">
        <f>VLOOKUP($A987,Sheet_Trialbal,10,0)</f>
        <v>4191637.3</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0</v>
      </c>
      <c r="L988" s="349" t="str">
        <f>IF($I988="适用",IF(ROUND(K$987-K988,2)=0,"F/S",ROUND(K$987-K988,2)),"#N/A")</f>
        <v>F/S</v>
      </c>
      <c r="M988" s="301" t="s">
        <v>2745</v>
      </c>
      <c r="N988" s="2210">
        <f>I1004</f>
        <v>0</v>
      </c>
      <c r="O988" s="349">
        <f>IF($I988="适用",IF(ROUND(N$987-N988,2)=0,"F/S",ROUND(N$987-N988,2)),"#N/A")</f>
        <v>4191637.3</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5">IF(OR(G991="*",G991="",G991=0),0,COUNTIF($G$991:$G$1004,G991))</f>
        <v>1</v>
      </c>
      <c r="E991" s="2721" t="s">
        <v>6535</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5"/>
        <v>1</v>
      </c>
      <c r="E992" s="2721" t="s">
        <v>2937</v>
      </c>
      <c r="F992" s="293"/>
      <c r="G992" s="2284" t="s">
        <v>5132</v>
      </c>
      <c r="H992" s="2275"/>
      <c r="I992" s="2296"/>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5"/>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5"/>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5"/>
        <v>1</v>
      </c>
      <c r="E995" s="2721" t="s">
        <v>2939</v>
      </c>
      <c r="F995" s="293"/>
      <c r="G995" s="1474" t="s">
        <v>2937</v>
      </c>
      <c r="H995" s="1476">
        <f>SUMIF($E$990:$E$1003,$G995,H$990:H$1003)</f>
        <v>0</v>
      </c>
      <c r="I995" s="1477">
        <f>SUMIF($E$990:$E$1003,$G995,I$990:I$1003)</f>
        <v>0</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5"/>
        <v>1</v>
      </c>
      <c r="E996" s="2721" t="s">
        <v>2939</v>
      </c>
      <c r="F996" s="293"/>
      <c r="G996" s="1474" t="s">
        <v>2940</v>
      </c>
      <c r="H996" s="2275"/>
      <c r="I996" s="2296"/>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5"/>
        <v>1</v>
      </c>
      <c r="E997" s="2721" t="s">
        <v>2939</v>
      </c>
      <c r="F997" s="293"/>
      <c r="G997" s="1474" t="s">
        <v>2941</v>
      </c>
      <c r="H997" s="2275"/>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5"/>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5"/>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5"/>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6533</v>
      </c>
      <c r="D1001" s="2716">
        <f t="shared" si="85"/>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5"/>
        <v>1</v>
      </c>
      <c r="E1002" s="2721">
        <v>1</v>
      </c>
      <c r="F1002" s="293"/>
      <c r="G1002" s="1474" t="s">
        <v>2939</v>
      </c>
      <c r="H1002" s="1476">
        <f>SUMIF($E$990:$E$1003,$G1002,H$990:H$1003)</f>
        <v>0</v>
      </c>
      <c r="I1002" s="1477">
        <f>SUMIF($E$990:$E$1003,$G1002,I$990:I$1003)</f>
        <v>0</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5"/>
        <v>1</v>
      </c>
      <c r="E1003" s="2721">
        <v>-1</v>
      </c>
      <c r="F1003" s="293"/>
      <c r="G1003" s="1474" t="s">
        <v>2945</v>
      </c>
      <c r="H1003" s="2275"/>
      <c r="I1003" s="2296"/>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5"/>
        <v>1</v>
      </c>
      <c r="E1004" s="2721" t="s">
        <v>2751</v>
      </c>
      <c r="F1004" s="293"/>
      <c r="G1004" s="2234" t="s">
        <v>5141</v>
      </c>
      <c r="H1004" s="2235">
        <f>SUMPRODUCT($E990:$E1003,H990:H1003)</f>
        <v>0</v>
      </c>
      <c r="I1004" s="2236">
        <f>SUMPRODUCT($E990:$E1003,I990:I1003)</f>
        <v>0</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0</v>
      </c>
      <c r="I1007" s="2252">
        <f ca="1">HYPERLINK("#'"&amp;$G$1&amp;"'!"&amp;ADDRESS(ROW(Notes!I1025),COLUMN(Notes!I1025),4),I1025)</f>
        <v>0</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0</v>
      </c>
      <c r="I1008" s="456">
        <f>I1004</f>
        <v>0</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0</v>
      </c>
      <c r="L1013" s="345" t="str">
        <f>IF($I1013="适用",IF(ROUND($H1378-K1013,2)=0,"F/S",ROUND($H1378-K1013,2)),"#N/A")</f>
        <v>F/S</v>
      </c>
      <c r="M1013" s="301" t="s">
        <v>2745</v>
      </c>
      <c r="N1013" s="2210">
        <f>I1025</f>
        <v>0</v>
      </c>
      <c r="O1013" s="345" t="str">
        <f>IF($I1013="适用",IF(ROUND(H1400-N1013,2)=0,"F/S",ROUND(H1400-N1013,2)),"#N/A")</f>
        <v>F/S</v>
      </c>
      <c r="P1013" s="301"/>
      <c r="Q1013" s="290" t="str">
        <f>IF($I1013="不适用","",IF(ROUND(SUM($H$1016:$I$1025),2)=0,"请输入",""))</f>
        <v>请输入</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6">IF(OR(G1016="*",G1016="",G1016=0),0,COUNTIF($G$1016:$G$1025,G1016))</f>
        <v>0</v>
      </c>
      <c r="E1016" s="2721" t="s">
        <v>2939</v>
      </c>
      <c r="F1016" s="294"/>
      <c r="G1016" s="2538" t="s">
        <v>2792</v>
      </c>
      <c r="H1016" s="2275"/>
      <c r="I1016" s="2296"/>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6"/>
        <v>0</v>
      </c>
      <c r="E1017" s="2721" t="s">
        <v>2939</v>
      </c>
      <c r="F1017" s="294"/>
      <c r="G1017" s="2538" t="s">
        <v>2792</v>
      </c>
      <c r="H1017" s="2275"/>
      <c r="I1017" s="2296"/>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6"/>
        <v>0</v>
      </c>
      <c r="E1018" s="2721" t="s">
        <v>2939</v>
      </c>
      <c r="F1018" s="294"/>
      <c r="G1018" s="2538" t="s">
        <v>2792</v>
      </c>
      <c r="H1018" s="2275"/>
      <c r="I1018" s="2296"/>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6"/>
        <v>0</v>
      </c>
      <c r="E1019" s="2721" t="s">
        <v>2939</v>
      </c>
      <c r="F1019" s="294"/>
      <c r="G1019" s="2538" t="s">
        <v>2792</v>
      </c>
      <c r="H1019" s="2275"/>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6"/>
        <v>0</v>
      </c>
      <c r="E1020" s="2721" t="s">
        <v>2939</v>
      </c>
      <c r="F1020" s="294"/>
      <c r="G1020" s="2538" t="s">
        <v>2792</v>
      </c>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6533</v>
      </c>
      <c r="D1021" s="2716">
        <f t="shared" si="86"/>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6"/>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6"/>
        <v>1</v>
      </c>
      <c r="E1023" s="2721">
        <v>1</v>
      </c>
      <c r="F1023" s="294"/>
      <c r="G1023" s="1474" t="s">
        <v>2939</v>
      </c>
      <c r="H1023" s="1476">
        <f>SUMIF($E$1015:$E$1024,$G1023,H$1015:H$1024)</f>
        <v>0</v>
      </c>
      <c r="I1023" s="1477">
        <f>SUMIF($E$1015:$E$1024,$G1023,I$1015:I$1024)</f>
        <v>0</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6"/>
        <v>1</v>
      </c>
      <c r="E1024" s="2721">
        <v>-1</v>
      </c>
      <c r="F1024" s="294"/>
      <c r="G1024" s="1474" t="s">
        <v>2945</v>
      </c>
      <c r="H1024" s="2275"/>
      <c r="I1024" s="2296"/>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6"/>
        <v>1</v>
      </c>
      <c r="E1025" s="2721" t="s">
        <v>3032</v>
      </c>
      <c r="F1025" s="294"/>
      <c r="G1025" s="374" t="s">
        <v>2752</v>
      </c>
      <c r="H1025" s="1478">
        <f>SUMPRODUCT($E1015:$E1024,H1015:H1024)</f>
        <v>0</v>
      </c>
      <c r="I1025" s="1479">
        <f>SUMPRODUCT($E1015:$E1024,I1015:I1024)</f>
        <v>0</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6537</v>
      </c>
      <c r="C1027" s="371"/>
      <c r="D1027" s="2716" t="str">
        <f>VLOOKUP($A1027,Sheet_NoteList,2,0)</f>
        <v>其他应收款按坏账计提方法分类披露（三阶段模型）</v>
      </c>
      <c r="E1027" s="2716" t="s">
        <v>6532</v>
      </c>
      <c r="F1027" s="293"/>
      <c r="G1027" s="372" t="str">
        <f>"("&amp;B1027&amp;")"&amp;D1027</f>
        <v>(3A)其他应收款按坏账计提方法分类披露（三阶段模型）</v>
      </c>
      <c r="H1027" s="2315">
        <f>$A1027</f>
        <v>122100</v>
      </c>
      <c r="I1027" s="343" t="s">
        <v>5923</v>
      </c>
      <c r="J1027" s="301" t="s">
        <v>5924</v>
      </c>
      <c r="K1027" s="2210">
        <f>J1034</f>
        <v>0</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87">IF(OR(G1030="*",G1030="",G1030=0),0,COUNTIF($G$1030:$G$1034,G1030))</f>
        <v>1</v>
      </c>
      <c r="E1030" s="2721">
        <v>1</v>
      </c>
      <c r="F1030" s="293"/>
      <c r="G1030" s="1474" t="s">
        <v>5927</v>
      </c>
      <c r="H1030" s="2275"/>
      <c r="I1030" s="2275"/>
      <c r="J1030" s="2296"/>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87"/>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87"/>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87"/>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87"/>
        <v>1</v>
      </c>
      <c r="E1034" s="2721" t="s">
        <v>2751</v>
      </c>
      <c r="F1034" s="293"/>
      <c r="G1034" s="2234" t="s">
        <v>5141</v>
      </c>
      <c r="H1034" s="2235">
        <f>SUMPRODUCT($E1029:$E1033,H1029:H1033)</f>
        <v>0</v>
      </c>
      <c r="I1034" s="2235">
        <f>SUMPRODUCT($E1029:$E1033,I1029:I1033)</f>
        <v>0</v>
      </c>
      <c r="J1034" s="2236">
        <f>SUMPRODUCT($E1029:$E1033,J1029:J1033)</f>
        <v>0</v>
      </c>
      <c r="K1034" s="391"/>
      <c r="L1034" s="1531">
        <f t="shared" ref="L1034:N1034" ca="1" si="88">SUM(L1030:L1033)</f>
        <v>0</v>
      </c>
      <c r="M1034" s="1531">
        <f t="shared" ca="1" si="88"/>
        <v>0</v>
      </c>
      <c r="N1034" s="1531">
        <f t="shared" ca="1" si="88"/>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6356</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0</v>
      </c>
      <c r="I1037" s="2252">
        <f ca="1">HYPERLINK("#'"&amp;$G$1&amp;"'!"&amp;ADDRESS(ROW(Notes!H1003),COLUMN(Notes!H1003),4),H1003)</f>
        <v>0</v>
      </c>
      <c r="J1037" s="2252">
        <f ca="1">HYPERLINK("#'"&amp;$G$1&amp;"'!"&amp;ADDRESS(ROW(Notes!H1004),COLUMN(Notes!H1004),4),H1004)</f>
        <v>0</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0</v>
      </c>
      <c r="I1038" s="456">
        <f t="shared" ref="I1038:J1038" si="89">I1034</f>
        <v>0</v>
      </c>
      <c r="J1038" s="456">
        <f t="shared" si="89"/>
        <v>0</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6538</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0</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0">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6574</v>
      </c>
    </row>
    <row r="1047" spans="1:29" ht="18">
      <c r="A1047" s="2714"/>
      <c r="B1047" s="371">
        <v>102</v>
      </c>
      <c r="C1047" s="371" t="s">
        <v>2791</v>
      </c>
      <c r="D1047" s="2716">
        <f t="shared" si="90"/>
        <v>0</v>
      </c>
      <c r="E1047" s="2721">
        <v>0</v>
      </c>
      <c r="F1047" s="293"/>
      <c r="G1047" s="2284" t="s">
        <v>2792</v>
      </c>
      <c r="H1047" s="2275"/>
      <c r="I1047" s="2298"/>
      <c r="J1047" s="2275"/>
      <c r="K1047" s="1476">
        <f t="shared" ref="K1047:K1054" si="91">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0"/>
        <v>0</v>
      </c>
      <c r="E1048" s="2721">
        <v>0</v>
      </c>
      <c r="F1048" s="293"/>
      <c r="G1048" s="2284" t="s">
        <v>2792</v>
      </c>
      <c r="H1048" s="2275"/>
      <c r="I1048" s="2298"/>
      <c r="J1048" s="2275"/>
      <c r="K1048" s="1476">
        <f t="shared" si="91"/>
        <v>0</v>
      </c>
      <c r="L1048" s="2276"/>
      <c r="M1048" s="438"/>
      <c r="O1048" s="437"/>
      <c r="P1048" s="438"/>
      <c r="Q1048" s="442"/>
      <c r="R1048" s="443"/>
      <c r="S1048" s="364"/>
      <c r="Z1048" s="609" t="s">
        <v>540</v>
      </c>
      <c r="AA1048" s="609" t="s">
        <v>3137</v>
      </c>
    </row>
    <row r="1049" spans="1:29" ht="18">
      <c r="A1049" s="2714"/>
      <c r="B1049" s="371">
        <v>104</v>
      </c>
      <c r="C1049" s="371" t="s">
        <v>2791</v>
      </c>
      <c r="D1049" s="2716">
        <f t="shared" si="90"/>
        <v>0</v>
      </c>
      <c r="E1049" s="2721">
        <v>0</v>
      </c>
      <c r="F1049" s="293"/>
      <c r="G1049" s="2284" t="s">
        <v>2792</v>
      </c>
      <c r="H1049" s="2275"/>
      <c r="I1049" s="2298"/>
      <c r="J1049" s="2275"/>
      <c r="K1049" s="1476">
        <f t="shared" si="91"/>
        <v>0</v>
      </c>
      <c r="L1049" s="2276"/>
      <c r="M1049" s="438"/>
      <c r="O1049" s="437"/>
      <c r="P1049" s="438"/>
      <c r="Q1049" s="442"/>
      <c r="R1049" s="443"/>
      <c r="S1049" s="364"/>
      <c r="Z1049" s="609" t="s">
        <v>540</v>
      </c>
      <c r="AA1049" s="609" t="s">
        <v>3137</v>
      </c>
    </row>
    <row r="1050" spans="1:29" ht="18">
      <c r="A1050" s="2714"/>
      <c r="B1050" s="371">
        <v>105</v>
      </c>
      <c r="C1050" s="371"/>
      <c r="D1050" s="2716">
        <f t="shared" si="90"/>
        <v>1</v>
      </c>
      <c r="E1050" s="2721">
        <v>1</v>
      </c>
      <c r="F1050" s="293"/>
      <c r="G1050" s="1474" t="s">
        <v>2892</v>
      </c>
      <c r="H1050" s="1476">
        <f>SUM(H1051:H1054)</f>
        <v>0</v>
      </c>
      <c r="I1050" s="2298"/>
      <c r="J1050" s="1476">
        <f>SUM(J1051:J1054)</f>
        <v>0</v>
      </c>
      <c r="K1050" s="1476">
        <f t="shared" si="91"/>
        <v>0</v>
      </c>
      <c r="L1050" s="2276"/>
      <c r="M1050" s="438"/>
      <c r="O1050" s="437"/>
      <c r="P1050" s="438"/>
      <c r="Q1050" s="442"/>
      <c r="R1050" s="443"/>
      <c r="S1050" s="364"/>
      <c r="Z1050" s="609" t="s">
        <v>540</v>
      </c>
      <c r="AA1050" s="609" t="s">
        <v>3137</v>
      </c>
    </row>
    <row r="1051" spans="1:29" ht="18">
      <c r="A1051" s="2714"/>
      <c r="B1051" s="371">
        <v>106</v>
      </c>
      <c r="C1051" s="371" t="s">
        <v>2791</v>
      </c>
      <c r="D1051" s="2716">
        <f t="shared" si="90"/>
        <v>1</v>
      </c>
      <c r="E1051" s="2721">
        <v>0</v>
      </c>
      <c r="F1051" s="293"/>
      <c r="G1051" s="2284" t="s">
        <v>5945</v>
      </c>
      <c r="H1051" s="2275"/>
      <c r="I1051" s="2298"/>
      <c r="J1051" s="2275"/>
      <c r="K1051" s="1476">
        <f t="shared" si="91"/>
        <v>0</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6574</v>
      </c>
    </row>
    <row r="1052" spans="1:29" ht="18">
      <c r="A1052" s="2714"/>
      <c r="B1052" s="371">
        <v>107</v>
      </c>
      <c r="C1052" s="371" t="s">
        <v>2791</v>
      </c>
      <c r="D1052" s="2716">
        <f t="shared" si="90"/>
        <v>1</v>
      </c>
      <c r="E1052" s="2721">
        <v>0</v>
      </c>
      <c r="F1052" s="293"/>
      <c r="G1052" s="2284" t="s">
        <v>2894</v>
      </c>
      <c r="H1052" s="2275"/>
      <c r="I1052" s="2298"/>
      <c r="J1052" s="2275"/>
      <c r="K1052" s="1476">
        <f t="shared" si="91"/>
        <v>0</v>
      </c>
      <c r="L1052" s="2276"/>
      <c r="M1052" s="438"/>
      <c r="N1052" s="439"/>
      <c r="O1052" s="437"/>
      <c r="P1052" s="438"/>
      <c r="Q1052" s="442"/>
      <c r="R1052" s="443"/>
      <c r="S1052" s="364"/>
      <c r="Z1052" s="609" t="s">
        <v>540</v>
      </c>
      <c r="AA1052" s="609" t="s">
        <v>3137</v>
      </c>
    </row>
    <row r="1053" spans="1:29" ht="18">
      <c r="A1053" s="2714"/>
      <c r="B1053" s="371">
        <v>108</v>
      </c>
      <c r="C1053" s="371" t="s">
        <v>6533</v>
      </c>
      <c r="D1053" s="2716">
        <f t="shared" si="90"/>
        <v>1</v>
      </c>
      <c r="E1053" s="2721">
        <v>0</v>
      </c>
      <c r="F1053" s="293"/>
      <c r="G1053" s="2284" t="s">
        <v>5946</v>
      </c>
      <c r="H1053" s="2275"/>
      <c r="I1053" s="2298"/>
      <c r="J1053" s="2275"/>
      <c r="K1053" s="1476">
        <f t="shared" ref="K1053" si="92">H1053-J1053</f>
        <v>0</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0"/>
        <v>0</v>
      </c>
      <c r="E1054" s="2721">
        <v>0</v>
      </c>
      <c r="F1054" s="293"/>
      <c r="G1054" s="2284" t="s">
        <v>2792</v>
      </c>
      <c r="H1054" s="2275"/>
      <c r="I1054" s="2298"/>
      <c r="J1054" s="2275"/>
      <c r="K1054" s="1476">
        <f t="shared" si="91"/>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0"/>
        <v>1</v>
      </c>
      <c r="E1055" s="2721" t="s">
        <v>2751</v>
      </c>
      <c r="F1055" s="293"/>
      <c r="G1055" s="2234" t="s">
        <v>5141</v>
      </c>
      <c r="H1055" s="2235">
        <f>SUMPRODUCT($E1045:$E1054,H1045:H1054)</f>
        <v>0</v>
      </c>
      <c r="I1055" s="2242"/>
      <c r="J1055" s="2235">
        <f>SUMPRODUCT($E1045:$E1054,J1045:J1054)</f>
        <v>0</v>
      </c>
      <c r="K1055" s="2235">
        <f>SUMPRODUCT($E1045:$E1054,K1045:K1054)</f>
        <v>0</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6574</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6539</v>
      </c>
      <c r="C1057" s="371"/>
      <c r="D1057" s="2716" t="str">
        <f>VLOOKUP($A1057,Sheet_NoteList,2,0)</f>
        <v>期末按单项计提坏账准备的其他应收款（第一阶段）</v>
      </c>
      <c r="E1057" s="2716" t="s">
        <v>6532</v>
      </c>
      <c r="F1057" s="293"/>
      <c r="G1057" s="372" t="str">
        <f>"("&amp;B1057&amp;")"&amp;D1057</f>
        <v>(3A1.1)期末按单项计提坏账准备的其他应收款（第一阶段）</v>
      </c>
      <c r="H1057" s="2315">
        <f>$A1057</f>
        <v>122111</v>
      </c>
      <c r="I1057" s="343" t="s">
        <v>5469</v>
      </c>
      <c r="J1057" s="301" t="s">
        <v>5470</v>
      </c>
      <c r="K1057" s="2210">
        <f>H1070</f>
        <v>0</v>
      </c>
      <c r="L1057" s="349" t="str">
        <f>IF($I1057="适用",IF(ROUND(K$987-K1057,2)=0,"F/S",ROUND(K$987-K1057,2)),"#N/A")</f>
        <v>F/S</v>
      </c>
      <c r="M1057" s="301" t="s">
        <v>5471</v>
      </c>
      <c r="N1057" s="2210">
        <f>I1070</f>
        <v>0</v>
      </c>
      <c r="O1057" s="349">
        <f>IF($I1057="适用",IF(ROUND(N$987-N1057,2)=0,"F/S",ROUND(N$987-N1057,2)),"#N/A")</f>
        <v>4191637.3</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227" t="s">
        <v>5136</v>
      </c>
      <c r="H1060" s="3173" t="str">
        <f>$V$2</f>
        <v>2019年12月31日</v>
      </c>
      <c r="I1060" s="3174"/>
      <c r="J1060" s="3174"/>
      <c r="K1060" s="3174"/>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228"/>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3">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3"/>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3"/>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3"/>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3"/>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3"/>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3"/>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3"/>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3"/>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6540</v>
      </c>
      <c r="C1079" s="371"/>
      <c r="D1079" s="2716" t="str">
        <f>VLOOKUP($A1079,Sheet_NoteList,2,0)</f>
        <v>期末按组合1计提坏账准备的其他应收款（第一阶段）</v>
      </c>
      <c r="E1079" s="2716" t="s">
        <v>6534</v>
      </c>
      <c r="F1079" s="293"/>
      <c r="G1079" s="372" t="str">
        <f>"("&amp;B1079&amp;")"&amp;D1079</f>
        <v>(3A1.2)期末按组合1计提坏账准备的其他应收款（第一阶段）</v>
      </c>
      <c r="H1079" s="2315">
        <f>$A1079</f>
        <v>122112</v>
      </c>
      <c r="I1079" s="343" t="s">
        <v>5124</v>
      </c>
      <c r="J1079" s="301" t="s">
        <v>5546</v>
      </c>
      <c r="K1079" s="2210">
        <f>H1092</f>
        <v>0</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227" t="s">
        <v>5137</v>
      </c>
      <c r="H1082" s="3173" t="str">
        <f>$V$2</f>
        <v>2019年12月31日</v>
      </c>
      <c r="I1082" s="3174"/>
      <c r="J1082" s="3174"/>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228"/>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4">IF(OR(G1084="*",G1084="",G1084=0),0,COUNTIF($G$1084:$G$1092,G1084))</f>
        <v>1</v>
      </c>
      <c r="E1084" s="2721">
        <v>1</v>
      </c>
      <c r="F1084" s="293"/>
      <c r="G1084" s="1474" t="s">
        <v>2938</v>
      </c>
      <c r="H1084" s="2275"/>
      <c r="I1084" s="2275"/>
      <c r="J1084" s="2276"/>
      <c r="K1084" s="391"/>
      <c r="L1084" s="349"/>
      <c r="M1084" s="301"/>
      <c r="N1084" s="391"/>
      <c r="O1084" s="349"/>
      <c r="P1084" s="301"/>
      <c r="S1084" s="364"/>
      <c r="Z1084" s="609" t="s">
        <v>540</v>
      </c>
      <c r="AA1084" s="609" t="s">
        <v>3137</v>
      </c>
    </row>
    <row r="1085" spans="1:27" ht="18">
      <c r="A1085" s="2714"/>
      <c r="B1085" s="371">
        <v>102</v>
      </c>
      <c r="C1085" s="371"/>
      <c r="D1085" s="2716">
        <f t="shared" si="94"/>
        <v>1</v>
      </c>
      <c r="E1085" s="2721">
        <v>1</v>
      </c>
      <c r="F1085" s="293"/>
      <c r="G1085" s="1474" t="s">
        <v>2962</v>
      </c>
      <c r="H1085" s="2275"/>
      <c r="I1085" s="2275"/>
      <c r="J1085" s="2276"/>
      <c r="K1085" s="391"/>
      <c r="L1085" s="349"/>
      <c r="M1085" s="301"/>
      <c r="N1085" s="391"/>
      <c r="O1085" s="349"/>
      <c r="P1085" s="301"/>
      <c r="S1085" s="364"/>
      <c r="Z1085" s="609" t="s">
        <v>540</v>
      </c>
      <c r="AA1085" s="609" t="s">
        <v>3137</v>
      </c>
    </row>
    <row r="1086" spans="1:27" ht="18">
      <c r="A1086" s="2714"/>
      <c r="B1086" s="371">
        <v>103</v>
      </c>
      <c r="C1086" s="371"/>
      <c r="D1086" s="2716">
        <f t="shared" si="94"/>
        <v>1</v>
      </c>
      <c r="E1086" s="2721">
        <v>1</v>
      </c>
      <c r="F1086" s="293"/>
      <c r="G1086" s="1474" t="s">
        <v>2963</v>
      </c>
      <c r="H1086" s="2275"/>
      <c r="I1086" s="2275"/>
      <c r="J1086" s="2276"/>
      <c r="K1086" s="391"/>
      <c r="L1086" s="349"/>
      <c r="M1086" s="301"/>
      <c r="N1086" s="391"/>
      <c r="O1086" s="349"/>
      <c r="P1086" s="301"/>
      <c r="S1086" s="364"/>
      <c r="Z1086" s="609" t="s">
        <v>540</v>
      </c>
      <c r="AA1086" s="609" t="s">
        <v>3137</v>
      </c>
    </row>
    <row r="1087" spans="1:27" ht="18">
      <c r="A1087" s="2714"/>
      <c r="B1087" s="371">
        <v>104</v>
      </c>
      <c r="C1087" s="371" t="s">
        <v>2791</v>
      </c>
      <c r="D1087" s="2716">
        <f t="shared" si="94"/>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4"/>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4"/>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4"/>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4"/>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4"/>
        <v>1</v>
      </c>
      <c r="E1092" s="2721" t="s">
        <v>2751</v>
      </c>
      <c r="F1092" s="293"/>
      <c r="G1092" s="2234" t="s">
        <v>2752</v>
      </c>
      <c r="H1092" s="2235">
        <f>SUMPRODUCT($E1083:$E1091,H1083:H1091)</f>
        <v>0</v>
      </c>
      <c r="I1092" s="2235">
        <f>SUMPRODUCT($E1083:$E1091,I1083:I1091)</f>
        <v>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v>
      </c>
      <c r="H1095" s="2252">
        <f ca="1">HYPERLINK("#'"&amp;$G$1&amp;"'!"&amp;ADDRESS(ROW(Notes!H1051),COLUMN(Notes!H1051),4),H1051)</f>
        <v>0</v>
      </c>
      <c r="I1095" s="2252">
        <f ca="1">HYPERLINK("#'"&amp;$G$1&amp;"'!"&amp;ADDRESS(ROW(Notes!J1051),COLUMN(Notes!J1051),4),J1051)</f>
        <v>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0</v>
      </c>
      <c r="I1096" s="456">
        <f>I1092</f>
        <v>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6541</v>
      </c>
      <c r="C1101" s="371"/>
      <c r="D1101" s="2716" t="str">
        <f>VLOOKUP($A1101,Sheet_NoteList,2,0)</f>
        <v>期末按组合2计提坏账准备的其他应收款（第一阶段）</v>
      </c>
      <c r="E1101" s="2716" t="s">
        <v>6534</v>
      </c>
      <c r="F1101" s="293"/>
      <c r="G1101" s="372" t="str">
        <f>"("&amp;B1101&amp;")"&amp;D1101</f>
        <v>(3A1.3)期末按组合2计提坏账准备的其他应收款（第一阶段）</v>
      </c>
      <c r="H1101" s="2315">
        <f>$A1101</f>
        <v>122113</v>
      </c>
      <c r="I1101" s="343" t="s">
        <v>5547</v>
      </c>
      <c r="J1101" s="301" t="s">
        <v>5548</v>
      </c>
      <c r="K1101" s="2210">
        <f>H1114</f>
        <v>0</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267" t="s">
        <v>5948</v>
      </c>
      <c r="H1104" s="3146" t="str">
        <f>$V$2</f>
        <v>2019年12月31日</v>
      </c>
      <c r="I1104" s="3147"/>
      <c r="J1104" s="3147"/>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268"/>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5">IF(OR(G1106="*",G1106="",G1106=0),0,COUNTIF($G$1106:$G$1114,G1106))</f>
        <v>0</v>
      </c>
      <c r="E1106" s="2721">
        <v>1</v>
      </c>
      <c r="F1106" s="293"/>
      <c r="G1106" s="2213" t="s">
        <v>2792</v>
      </c>
      <c r="H1106" s="1577"/>
      <c r="I1106" s="422"/>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5"/>
        <v>0</v>
      </c>
      <c r="E1107" s="2721">
        <v>1</v>
      </c>
      <c r="F1107" s="293"/>
      <c r="G1107" s="2213" t="s">
        <v>2792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5"/>
        <v>0</v>
      </c>
      <c r="E1108" s="2721">
        <v>1</v>
      </c>
      <c r="F1108" s="293"/>
      <c r="G1108" s="2213" t="s">
        <v>2792</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5"/>
        <v>0</v>
      </c>
      <c r="E1109" s="2721">
        <v>1</v>
      </c>
      <c r="F1109" s="293"/>
      <c r="G1109" s="2213" t="s">
        <v>2792</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5"/>
        <v>0</v>
      </c>
      <c r="E1110" s="2721">
        <v>1</v>
      </c>
      <c r="F1110" s="293"/>
      <c r="G1110" s="2213" t="s">
        <v>2792</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5"/>
        <v>0</v>
      </c>
      <c r="E1111" s="2721">
        <v>1</v>
      </c>
      <c r="F1111" s="293"/>
      <c r="G1111" s="2213" t="s">
        <v>2792</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5"/>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5"/>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5"/>
        <v>1</v>
      </c>
      <c r="E1114" s="2721" t="s">
        <v>2751</v>
      </c>
      <c r="F1114" s="293"/>
      <c r="G1114" s="1529" t="s">
        <v>2752</v>
      </c>
      <c r="H1114" s="1527">
        <f>SUMPRODUCT($E1105:$E1113,H1105:H1113)</f>
        <v>0</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6542</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0</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267" t="s">
        <v>5948</v>
      </c>
      <c r="H1119" s="3146" t="str">
        <f>$V$2</f>
        <v>2019年12月31日</v>
      </c>
      <c r="I1119" s="3147"/>
      <c r="J1119" s="3147"/>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268"/>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96">IF(OR(G1121="*",G1121="",G1121=0),0,COUNTIF($G$1121:$G$1129,G1121))</f>
        <v>0</v>
      </c>
      <c r="E1121" s="2721">
        <v>1</v>
      </c>
      <c r="F1121" s="293"/>
      <c r="G1121" s="2213" t="s">
        <v>2792</v>
      </c>
      <c r="H1121" s="309"/>
      <c r="I1121" s="422"/>
      <c r="J1121" s="388"/>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96"/>
        <v>0</v>
      </c>
      <c r="E1122" s="2721">
        <v>1</v>
      </c>
      <c r="F1122" s="293"/>
      <c r="G1122" s="2213" t="s">
        <v>2792</v>
      </c>
      <c r="H1122" s="309"/>
      <c r="I1122" s="422"/>
      <c r="J1122" s="388"/>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96"/>
        <v>0</v>
      </c>
      <c r="E1123" s="2721">
        <v>1</v>
      </c>
      <c r="F1123" s="293"/>
      <c r="G1123" s="2213" t="s">
        <v>2792</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96"/>
        <v>0</v>
      </c>
      <c r="E1124" s="2721">
        <v>1</v>
      </c>
      <c r="F1124" s="293"/>
      <c r="G1124" s="2213" t="s">
        <v>2792</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96"/>
        <v>0</v>
      </c>
      <c r="E1125" s="2721">
        <v>1</v>
      </c>
      <c r="F1125" s="293"/>
      <c r="G1125" s="2213" t="s">
        <v>2792</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96"/>
        <v>0</v>
      </c>
      <c r="E1126" s="2721">
        <v>1</v>
      </c>
      <c r="F1126" s="293"/>
      <c r="G1126" s="2213" t="s">
        <v>2792</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96"/>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6533</v>
      </c>
      <c r="D1128" s="2716">
        <f t="shared" si="96"/>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96"/>
        <v>1</v>
      </c>
      <c r="E1129" s="2721" t="s">
        <v>2751</v>
      </c>
      <c r="F1129" s="293"/>
      <c r="G1129" s="1529" t="s">
        <v>5947</v>
      </c>
      <c r="H1129" s="1527">
        <f>SUMPRODUCT($E1120:$E1128,H1120:H1128)</f>
        <v>0</v>
      </c>
      <c r="I1129" s="1527">
        <f>SUMPRODUCT($E1120:$E1128,I1120:I1128)</f>
        <v>0</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6543</v>
      </c>
      <c r="C1131" s="371"/>
      <c r="D1131" s="2716" t="str">
        <f>VLOOKUP($A1131,Sheet_NoteList,2,0)</f>
        <v>期末处于第二阶段的其他应收款坏账准备（三阶段模型）</v>
      </c>
      <c r="E1131" s="2716" t="s">
        <v>6532</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97">IF(OR(G1134="*",G1134="",G1134=0),0,COUNTIF($G$1134:$G$1143,G1134))</f>
        <v>1</v>
      </c>
      <c r="E1134" s="2721">
        <v>1</v>
      </c>
      <c r="F1134" s="293"/>
      <c r="G1134" s="1474" t="s">
        <v>2890</v>
      </c>
      <c r="H1134" s="2275">
        <f>SUM(H1135:H1137)</f>
        <v>0</v>
      </c>
      <c r="I1134" s="2298"/>
      <c r="J1134" s="2275">
        <f>SUM(J1135:J1137)</f>
        <v>0</v>
      </c>
      <c r="K1134" s="1476">
        <f t="shared" ref="K1134:K1142" si="98">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6574</v>
      </c>
    </row>
    <row r="1135" spans="1:29" ht="18">
      <c r="A1135" s="2714"/>
      <c r="B1135" s="371">
        <v>102</v>
      </c>
      <c r="C1135" s="371" t="s">
        <v>2791</v>
      </c>
      <c r="D1135" s="2716">
        <f t="shared" si="97"/>
        <v>0</v>
      </c>
      <c r="E1135" s="2721">
        <v>0</v>
      </c>
      <c r="F1135" s="293"/>
      <c r="G1135" s="2284" t="s">
        <v>2792</v>
      </c>
      <c r="H1135" s="2275"/>
      <c r="I1135" s="2298"/>
      <c r="J1135" s="2275"/>
      <c r="K1135" s="1476">
        <f t="shared" si="98"/>
        <v>0</v>
      </c>
      <c r="L1135" s="2276"/>
      <c r="M1135" s="355" t="s">
        <v>6136</v>
      </c>
      <c r="N1135" s="391"/>
      <c r="O1135" s="349"/>
      <c r="P1135" s="301"/>
      <c r="S1135" s="364"/>
      <c r="Z1135" s="609" t="s">
        <v>540</v>
      </c>
      <c r="AA1135" s="609" t="s">
        <v>3137</v>
      </c>
    </row>
    <row r="1136" spans="1:29" ht="18">
      <c r="A1136" s="2714"/>
      <c r="B1136" s="371">
        <v>103</v>
      </c>
      <c r="C1136" s="371" t="s">
        <v>2791</v>
      </c>
      <c r="D1136" s="2716">
        <f t="shared" si="97"/>
        <v>0</v>
      </c>
      <c r="E1136" s="2721">
        <v>0</v>
      </c>
      <c r="F1136" s="293"/>
      <c r="G1136" s="2284" t="s">
        <v>2792</v>
      </c>
      <c r="H1136" s="2275"/>
      <c r="I1136" s="2298"/>
      <c r="J1136" s="2275"/>
      <c r="K1136" s="1476">
        <f t="shared" si="98"/>
        <v>0</v>
      </c>
      <c r="L1136" s="2276"/>
      <c r="M1136" s="301"/>
      <c r="N1136" s="391"/>
      <c r="O1136" s="349"/>
      <c r="P1136" s="301"/>
      <c r="S1136" s="364"/>
      <c r="Z1136" s="609" t="s">
        <v>540</v>
      </c>
      <c r="AA1136" s="609" t="s">
        <v>3137</v>
      </c>
    </row>
    <row r="1137" spans="1:29" ht="18">
      <c r="A1137" s="2714"/>
      <c r="B1137" s="371">
        <v>104</v>
      </c>
      <c r="C1137" s="371" t="s">
        <v>2791</v>
      </c>
      <c r="D1137" s="2716">
        <f t="shared" si="97"/>
        <v>0</v>
      </c>
      <c r="E1137" s="2721">
        <v>0</v>
      </c>
      <c r="F1137" s="293"/>
      <c r="G1137" s="2284" t="s">
        <v>2792</v>
      </c>
      <c r="H1137" s="2275"/>
      <c r="I1137" s="2298"/>
      <c r="J1137" s="2275"/>
      <c r="K1137" s="1476">
        <f t="shared" si="98"/>
        <v>0</v>
      </c>
      <c r="L1137" s="2276"/>
      <c r="M1137" s="301"/>
      <c r="N1137" s="391"/>
      <c r="O1137" s="349"/>
      <c r="P1137" s="301"/>
      <c r="S1137" s="364"/>
      <c r="Z1137" s="609" t="s">
        <v>540</v>
      </c>
      <c r="AA1137" s="609" t="s">
        <v>3137</v>
      </c>
    </row>
    <row r="1138" spans="1:29" ht="18">
      <c r="A1138" s="2714"/>
      <c r="B1138" s="371">
        <v>105</v>
      </c>
      <c r="C1138" s="371"/>
      <c r="D1138" s="2716">
        <f t="shared" si="97"/>
        <v>1</v>
      </c>
      <c r="E1138" s="2721">
        <v>1</v>
      </c>
      <c r="F1138" s="293"/>
      <c r="G1138" s="1474" t="s">
        <v>2892</v>
      </c>
      <c r="H1138" s="2275">
        <f>SUM(H1139:H1141)</f>
        <v>0</v>
      </c>
      <c r="I1138" s="2298"/>
      <c r="J1138" s="2275">
        <f>SUM(J1139:J1141)</f>
        <v>0</v>
      </c>
      <c r="K1138" s="1476">
        <f t="shared" si="98"/>
        <v>0</v>
      </c>
      <c r="L1138" s="2276"/>
      <c r="M1138" s="301"/>
      <c r="N1138" s="391"/>
      <c r="O1138" s="349"/>
      <c r="P1138" s="301"/>
      <c r="S1138" s="364"/>
      <c r="Z1138" s="609" t="s">
        <v>540</v>
      </c>
      <c r="AA1138" s="609" t="s">
        <v>3137</v>
      </c>
    </row>
    <row r="1139" spans="1:29" ht="18">
      <c r="A1139" s="2714"/>
      <c r="B1139" s="371">
        <v>106</v>
      </c>
      <c r="C1139" s="371" t="s">
        <v>2791</v>
      </c>
      <c r="D1139" s="2716">
        <f t="shared" si="97"/>
        <v>1</v>
      </c>
      <c r="E1139" s="2721">
        <v>0</v>
      </c>
      <c r="F1139" s="293"/>
      <c r="G1139" s="2284" t="s">
        <v>5945</v>
      </c>
      <c r="H1139" s="2275"/>
      <c r="I1139" s="2298"/>
      <c r="J1139" s="2275"/>
      <c r="K1139" s="1476">
        <f t="shared" si="98"/>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6574</v>
      </c>
    </row>
    <row r="1140" spans="1:29" ht="18">
      <c r="A1140" s="2714"/>
      <c r="B1140" s="371">
        <v>107</v>
      </c>
      <c r="C1140" s="371" t="s">
        <v>2791</v>
      </c>
      <c r="D1140" s="2716">
        <f t="shared" si="97"/>
        <v>1</v>
      </c>
      <c r="E1140" s="2721">
        <v>0</v>
      </c>
      <c r="F1140" s="293"/>
      <c r="G1140" s="2284" t="s">
        <v>2894</v>
      </c>
      <c r="H1140" s="2275"/>
      <c r="I1140" s="2298"/>
      <c r="J1140" s="2275"/>
      <c r="K1140" s="1476">
        <f t="shared" si="98"/>
        <v>0</v>
      </c>
      <c r="L1140" s="2276"/>
      <c r="M1140" s="301"/>
      <c r="N1140" s="391"/>
      <c r="O1140" s="349"/>
      <c r="P1140" s="301"/>
      <c r="S1140" s="364"/>
      <c r="Z1140" s="609" t="s">
        <v>540</v>
      </c>
      <c r="AA1140" s="609" t="s">
        <v>3137</v>
      </c>
    </row>
    <row r="1141" spans="1:29" ht="18">
      <c r="A1141" s="2714"/>
      <c r="B1141" s="371">
        <v>108</v>
      </c>
      <c r="C1141" s="371" t="s">
        <v>6533</v>
      </c>
      <c r="D1141" s="2716">
        <f t="shared" si="97"/>
        <v>1</v>
      </c>
      <c r="E1141" s="2721">
        <v>0</v>
      </c>
      <c r="F1141" s="293"/>
      <c r="G1141" s="2284" t="s">
        <v>5946</v>
      </c>
      <c r="H1141" s="2275"/>
      <c r="I1141" s="2298"/>
      <c r="J1141" s="2275"/>
      <c r="K1141" s="1476">
        <f t="shared" ref="K1141" si="99">H1141-J1141</f>
        <v>0</v>
      </c>
      <c r="L1141" s="2276"/>
      <c r="M1141" s="301"/>
      <c r="N1141" s="391"/>
      <c r="O1141" s="349"/>
      <c r="P1141" s="301"/>
      <c r="S1141" s="364"/>
      <c r="Z1141" s="609" t="s">
        <v>540</v>
      </c>
      <c r="AA1141" s="609" t="s">
        <v>3137</v>
      </c>
    </row>
    <row r="1142" spans="1:29" ht="18">
      <c r="A1142" s="2714"/>
      <c r="B1142" s="371">
        <v>109</v>
      </c>
      <c r="C1142" s="371" t="s">
        <v>2791</v>
      </c>
      <c r="D1142" s="2716">
        <f t="shared" si="97"/>
        <v>0</v>
      </c>
      <c r="E1142" s="2721">
        <v>0</v>
      </c>
      <c r="F1142" s="293"/>
      <c r="G1142" s="2284" t="s">
        <v>2792</v>
      </c>
      <c r="H1142" s="2275"/>
      <c r="I1142" s="2298"/>
      <c r="J1142" s="2275"/>
      <c r="K1142" s="1476">
        <f t="shared" si="98"/>
        <v>0</v>
      </c>
      <c r="L1142" s="2276"/>
      <c r="M1142" s="301"/>
      <c r="N1142" s="391"/>
      <c r="O1142" s="349"/>
      <c r="P1142" s="301"/>
      <c r="S1142" s="364"/>
      <c r="Z1142" s="609" t="s">
        <v>540</v>
      </c>
      <c r="AA1142" s="609" t="s">
        <v>3137</v>
      </c>
    </row>
    <row r="1143" spans="1:29" ht="18.75" thickBot="1">
      <c r="A1143" s="2714"/>
      <c r="B1143" s="371"/>
      <c r="C1143" s="371"/>
      <c r="D1143" s="2716">
        <f t="shared" si="97"/>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6574</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6544</v>
      </c>
      <c r="C1145" s="371"/>
      <c r="D1145" s="2716" t="str">
        <f>VLOOKUP($A1145,Sheet_NoteList,2,0)</f>
        <v>期末按单项计提坏账准备的其他应收款（第二阶段）</v>
      </c>
      <c r="E1145" s="2716" t="s">
        <v>6532</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227" t="s">
        <v>5136</v>
      </c>
      <c r="H1148" s="3173" t="str">
        <f>$V$2</f>
        <v>2019年12月31日</v>
      </c>
      <c r="I1148" s="3174"/>
      <c r="J1148" s="3174"/>
      <c r="K1148" s="3174"/>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228"/>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0">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0"/>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0"/>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0"/>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0"/>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0"/>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0"/>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0"/>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0"/>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6545</v>
      </c>
      <c r="C1167" s="371"/>
      <c r="D1167" s="2716" t="str">
        <f>VLOOKUP($A1167,Sheet_NoteList,2,0)</f>
        <v>期末按组合1计提坏账准备的其他应收款（第二阶段）</v>
      </c>
      <c r="E1167" s="2716" t="s">
        <v>6534</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227" t="s">
        <v>5137</v>
      </c>
      <c r="H1170" s="3173" t="str">
        <f>$V$2</f>
        <v>2019年12月31日</v>
      </c>
      <c r="I1170" s="3174"/>
      <c r="J1170" s="3174"/>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228"/>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1">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1"/>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1"/>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1"/>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1"/>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1"/>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1"/>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1"/>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1"/>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6546</v>
      </c>
      <c r="C1189" s="371"/>
      <c r="D1189" s="2716" t="str">
        <f>VLOOKUP($A1189,Sheet_NoteList,2,0)</f>
        <v>期末按组合2计提坏账准备的其他应收款（第二阶段）</v>
      </c>
      <c r="E1189" s="2716" t="s">
        <v>6534</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267" t="s">
        <v>5948</v>
      </c>
      <c r="H1192" s="3146" t="str">
        <f>$V$2</f>
        <v>2019年12月31日</v>
      </c>
      <c r="I1192" s="3147"/>
      <c r="J1192" s="3147"/>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268"/>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2">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2"/>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2"/>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2"/>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2"/>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2"/>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2"/>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2"/>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2"/>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6547</v>
      </c>
      <c r="C1204" s="371"/>
      <c r="D1204" s="2716" t="str">
        <f>VLOOKUP($A1204,Sheet_NoteList,2,0)</f>
        <v>期末按组合3计提坏账准备的其他应收款（第二阶段）</v>
      </c>
      <c r="E1204" s="2716" t="s">
        <v>6532</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267" t="s">
        <v>5948</v>
      </c>
      <c r="H1207" s="3146" t="str">
        <f>$V$2</f>
        <v>2019年12月31日</v>
      </c>
      <c r="I1207" s="3147"/>
      <c r="J1207" s="3147"/>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268"/>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3">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3"/>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3"/>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3"/>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3"/>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3"/>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3"/>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3"/>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3"/>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6548</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4">IF(OR(G1222="*",G1222="",G1222=0),0,COUNTIF($G$1222:$G$1231,G1222))</f>
        <v>1</v>
      </c>
      <c r="E1222" s="2721">
        <v>1</v>
      </c>
      <c r="F1222" s="293"/>
      <c r="G1222" s="1474" t="s">
        <v>2890</v>
      </c>
      <c r="H1222" s="2275">
        <f>SUM(H1223:H1225)</f>
        <v>0</v>
      </c>
      <c r="I1222" s="2298"/>
      <c r="J1222" s="2275">
        <f>SUM(J1223:J1225)</f>
        <v>0</v>
      </c>
      <c r="K1222" s="1476">
        <f t="shared" ref="K1222:K1230" si="105">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6574</v>
      </c>
    </row>
    <row r="1223" spans="1:29" ht="18">
      <c r="A1223" s="2714"/>
      <c r="B1223" s="371">
        <v>102</v>
      </c>
      <c r="C1223" s="371" t="s">
        <v>2791</v>
      </c>
      <c r="D1223" s="2716">
        <f t="shared" si="104"/>
        <v>0</v>
      </c>
      <c r="E1223" s="2721">
        <v>0</v>
      </c>
      <c r="F1223" s="293"/>
      <c r="G1223" s="2284" t="s">
        <v>2792</v>
      </c>
      <c r="H1223" s="2275"/>
      <c r="I1223" s="2298"/>
      <c r="J1223" s="2275"/>
      <c r="K1223" s="1476">
        <f t="shared" si="105"/>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4"/>
        <v>0</v>
      </c>
      <c r="E1224" s="2721">
        <v>0</v>
      </c>
      <c r="F1224" s="293"/>
      <c r="G1224" s="2284" t="s">
        <v>2792</v>
      </c>
      <c r="H1224" s="2275"/>
      <c r="I1224" s="2298"/>
      <c r="J1224" s="2275"/>
      <c r="K1224" s="1476">
        <f t="shared" si="105"/>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4"/>
        <v>0</v>
      </c>
      <c r="E1225" s="2721">
        <v>0</v>
      </c>
      <c r="F1225" s="293"/>
      <c r="G1225" s="2284" t="s">
        <v>2792</v>
      </c>
      <c r="H1225" s="2275"/>
      <c r="I1225" s="2298"/>
      <c r="J1225" s="2275"/>
      <c r="K1225" s="1476">
        <f t="shared" si="105"/>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4"/>
        <v>1</v>
      </c>
      <c r="E1226" s="2721">
        <v>1</v>
      </c>
      <c r="F1226" s="293"/>
      <c r="G1226" s="1474" t="s">
        <v>2892</v>
      </c>
      <c r="H1226" s="2275">
        <f>SUM(H1227:H1229)</f>
        <v>0</v>
      </c>
      <c r="I1226" s="2298"/>
      <c r="J1226" s="2275">
        <f>SUM(J1227:J1229)</f>
        <v>0</v>
      </c>
      <c r="K1226" s="1476">
        <f t="shared" si="105"/>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4"/>
        <v>1</v>
      </c>
      <c r="E1227" s="2721">
        <v>0</v>
      </c>
      <c r="F1227" s="293"/>
      <c r="G1227" s="2284" t="s">
        <v>5945</v>
      </c>
      <c r="H1227" s="2275"/>
      <c r="I1227" s="2298"/>
      <c r="J1227" s="2275"/>
      <c r="K1227" s="1476">
        <f t="shared" si="105"/>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6574</v>
      </c>
    </row>
    <row r="1228" spans="1:29" ht="18">
      <c r="A1228" s="2714"/>
      <c r="B1228" s="371">
        <v>107</v>
      </c>
      <c r="C1228" s="371" t="s">
        <v>2791</v>
      </c>
      <c r="D1228" s="2716">
        <f t="shared" si="104"/>
        <v>1</v>
      </c>
      <c r="E1228" s="2721">
        <v>0</v>
      </c>
      <c r="F1228" s="293"/>
      <c r="G1228" s="2284" t="s">
        <v>2894</v>
      </c>
      <c r="H1228" s="2275"/>
      <c r="I1228" s="2298"/>
      <c r="J1228" s="2275"/>
      <c r="K1228" s="1476">
        <f t="shared" si="105"/>
        <v>0</v>
      </c>
      <c r="L1228" s="2276"/>
      <c r="M1228" s="438"/>
      <c r="N1228" s="439"/>
      <c r="O1228" s="437"/>
      <c r="P1228" s="438"/>
      <c r="Q1228" s="442"/>
      <c r="R1228" s="443"/>
      <c r="S1228" s="364"/>
      <c r="Z1228" s="609" t="s">
        <v>540</v>
      </c>
      <c r="AA1228" s="609" t="s">
        <v>3137</v>
      </c>
    </row>
    <row r="1229" spans="1:29" ht="18">
      <c r="A1229" s="2714"/>
      <c r="B1229" s="371">
        <v>108</v>
      </c>
      <c r="C1229" s="371" t="s">
        <v>6533</v>
      </c>
      <c r="D1229" s="2716">
        <f t="shared" si="104"/>
        <v>1</v>
      </c>
      <c r="E1229" s="2721">
        <v>0</v>
      </c>
      <c r="F1229" s="293"/>
      <c r="G1229" s="2284" t="s">
        <v>5946</v>
      </c>
      <c r="H1229" s="2275"/>
      <c r="I1229" s="2298"/>
      <c r="J1229" s="2275"/>
      <c r="K1229" s="1476">
        <f t="shared" ref="K1229" si="106">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4"/>
        <v>0</v>
      </c>
      <c r="E1230" s="2721">
        <v>0</v>
      </c>
      <c r="F1230" s="293"/>
      <c r="G1230" s="2284" t="s">
        <v>2792</v>
      </c>
      <c r="H1230" s="2275"/>
      <c r="I1230" s="2298"/>
      <c r="J1230" s="2275"/>
      <c r="K1230" s="1476">
        <f t="shared" si="105"/>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4"/>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6574</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6549</v>
      </c>
      <c r="C1233" s="371"/>
      <c r="D1233" s="2716" t="str">
        <f>VLOOKUP($A1233,Sheet_NoteList,2,0)</f>
        <v>期末按单项计提坏账准备的其他应收款（第三阶段）</v>
      </c>
      <c r="E1233" s="2716" t="s">
        <v>6532</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227" t="s">
        <v>6003</v>
      </c>
      <c r="H1236" s="3173" t="str">
        <f>$V$2</f>
        <v>2019年12月31日</v>
      </c>
      <c r="I1236" s="3174"/>
      <c r="J1236" s="3174"/>
      <c r="K1236" s="3174"/>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228"/>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07">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07"/>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07"/>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07"/>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07"/>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07"/>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07"/>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07"/>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07"/>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6550</v>
      </c>
      <c r="C1255" s="371"/>
      <c r="D1255" s="2716" t="str">
        <f>VLOOKUP($A1255,Sheet_NoteList,2,0)</f>
        <v>期末按组合1计提坏账准备的其他应收款（第三阶段）</v>
      </c>
      <c r="E1255" s="2716" t="s">
        <v>6534</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227" t="s">
        <v>5137</v>
      </c>
      <c r="H1258" s="3173" t="str">
        <f>$V$2</f>
        <v>2019年12月31日</v>
      </c>
      <c r="I1258" s="3174"/>
      <c r="J1258" s="3174"/>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228"/>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08">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08"/>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08"/>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08"/>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08"/>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08"/>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08"/>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08"/>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08"/>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6551</v>
      </c>
      <c r="C1277" s="371"/>
      <c r="D1277" s="2716" t="str">
        <f>VLOOKUP($A1277,Sheet_NoteList,2,0)</f>
        <v>期末按组合2计提坏账准备的其他应收款（第三阶段）</v>
      </c>
      <c r="E1277" s="2716" t="s">
        <v>6534</v>
      </c>
      <c r="F1277" s="293"/>
      <c r="G1277" s="372" t="str">
        <f>"("&amp;B1277&amp;")"&amp;D1277</f>
        <v>(3A3.3)期末按组合2计提坏账准备的其他应收款（第三阶段）</v>
      </c>
      <c r="H1277" s="2315">
        <f>$A1277</f>
        <v>122133</v>
      </c>
      <c r="I1277" s="343" t="s">
        <v>5934</v>
      </c>
      <c r="J1277" s="301" t="s">
        <v>5935</v>
      </c>
      <c r="K1277" s="2210">
        <f>H1290</f>
        <v>0</v>
      </c>
      <c r="L1277" s="349" t="str">
        <f>IF($I1277="适用",IF(ROUND(K$987-K1277,2)=0,"F/S",ROUND(K$987-K1277,2)),"#N/A")</f>
        <v>F/S</v>
      </c>
      <c r="M1277" s="301" t="s">
        <v>5936</v>
      </c>
      <c r="N1277" s="2210">
        <f>I1290</f>
        <v>0</v>
      </c>
      <c r="O1277" s="349">
        <f>IF($I1277="适用",IF(ROUND(N$987-N1277,2)=0,"F/S",ROUND(N$987-N1277,2)),"#N/A")</f>
        <v>4191637.3</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267" t="s">
        <v>5948</v>
      </c>
      <c r="H1280" s="3146" t="str">
        <f>$V$2</f>
        <v>2019年12月31日</v>
      </c>
      <c r="I1280" s="3147"/>
      <c r="J1280" s="3147"/>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268"/>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09">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09"/>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09"/>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09"/>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09"/>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09"/>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09"/>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09"/>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09"/>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6552</v>
      </c>
      <c r="C1292" s="371"/>
      <c r="D1292" s="2716" t="str">
        <f>VLOOKUP($A1292,Sheet_NoteList,2,0)</f>
        <v>期末按组合3计提坏账准备的其他应收款（第三阶段）</v>
      </c>
      <c r="E1292" s="2716" t="s">
        <v>6532</v>
      </c>
      <c r="F1292" s="293"/>
      <c r="G1292" s="372" t="str">
        <f>"("&amp;B1292&amp;")"&amp;D1292</f>
        <v>(3A3.4)期末按组合3计提坏账准备的其他应收款（第三阶段）</v>
      </c>
      <c r="H1292" s="2315">
        <f>$A1292</f>
        <v>122134</v>
      </c>
      <c r="I1292" s="343" t="s">
        <v>5934</v>
      </c>
      <c r="J1292" s="301" t="s">
        <v>5935</v>
      </c>
      <c r="K1292" s="2210">
        <f>H1305</f>
        <v>0</v>
      </c>
      <c r="L1292" s="349" t="str">
        <f>IF($I1292="适用",IF(ROUND(K$987-K1292,2)=0,"F/S",ROUND(K$987-K1292,2)),"#N/A")</f>
        <v>F/S</v>
      </c>
      <c r="M1292" s="301" t="s">
        <v>5936</v>
      </c>
      <c r="N1292" s="2210">
        <f>I1305</f>
        <v>0</v>
      </c>
      <c r="O1292" s="349">
        <f>IF($I1292="适用",IF(ROUND(N$987-N1292,2)=0,"F/S",ROUND(N$987-N1292,2)),"#N/A")</f>
        <v>4191637.3</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267" t="s">
        <v>5948</v>
      </c>
      <c r="H1295" s="3146" t="str">
        <f>$V$2</f>
        <v>2019年12月31日</v>
      </c>
      <c r="I1295" s="3147"/>
      <c r="J1295" s="3147"/>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268"/>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0">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0"/>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0"/>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0"/>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0"/>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0"/>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0"/>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0"/>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0"/>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6553</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4191637.3</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227" t="s">
        <v>6004</v>
      </c>
      <c r="H1310" s="3173" t="str">
        <f>$V$3</f>
        <v>2018年12月31日</v>
      </c>
      <c r="I1310" s="3174"/>
      <c r="J1310" s="3174"/>
      <c r="K1310" s="3174"/>
      <c r="L1310" s="3174"/>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228"/>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1">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6574</v>
      </c>
    </row>
    <row r="1313" spans="1:27" ht="28.5" customHeight="1">
      <c r="A1313" s="2714"/>
      <c r="B1313" s="371">
        <v>102</v>
      </c>
      <c r="C1313" s="371"/>
      <c r="D1313" s="2716">
        <f t="shared" si="111"/>
        <v>1</v>
      </c>
      <c r="E1313" s="2721">
        <v>1</v>
      </c>
      <c r="F1313" s="293"/>
      <c r="G1313" s="1474" t="s">
        <v>3155</v>
      </c>
      <c r="H1313" s="2275"/>
      <c r="I1313" s="2298"/>
      <c r="J1313" s="2275"/>
      <c r="K1313" s="2298"/>
      <c r="L1313" s="1477">
        <f t="shared" ref="L1313:L1316" si="112">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1"/>
        <v>1</v>
      </c>
      <c r="E1314" s="2721">
        <v>1</v>
      </c>
      <c r="F1314" s="293"/>
      <c r="G1314" s="1474" t="s">
        <v>3156</v>
      </c>
      <c r="H1314" s="2275"/>
      <c r="I1314" s="2298"/>
      <c r="J1314" s="2275"/>
      <c r="K1314" s="2298"/>
      <c r="L1314" s="1477">
        <f t="shared" si="112"/>
        <v>0</v>
      </c>
      <c r="M1314" s="438"/>
      <c r="N1314" s="439"/>
      <c r="O1314" s="437"/>
      <c r="P1314" s="438"/>
      <c r="Q1314" s="442"/>
      <c r="R1314" s="443"/>
      <c r="S1314" s="364"/>
      <c r="Z1314" s="609" t="s">
        <v>540</v>
      </c>
      <c r="AA1314" s="609" t="s">
        <v>3137</v>
      </c>
    </row>
    <row r="1315" spans="1:27" ht="18">
      <c r="A1315" s="2714"/>
      <c r="B1315" s="371">
        <v>104</v>
      </c>
      <c r="C1315" s="371" t="s">
        <v>2791</v>
      </c>
      <c r="D1315" s="2716">
        <f t="shared" si="111"/>
        <v>0</v>
      </c>
      <c r="E1315" s="2721">
        <v>1</v>
      </c>
      <c r="F1315" s="293"/>
      <c r="G1315" s="2284" t="s">
        <v>2792</v>
      </c>
      <c r="H1315" s="2275"/>
      <c r="I1315" s="2298"/>
      <c r="J1315" s="2275"/>
      <c r="K1315" s="2298"/>
      <c r="L1315" s="1477">
        <f t="shared" si="112"/>
        <v>0</v>
      </c>
      <c r="M1315" s="438"/>
      <c r="N1315" s="439"/>
      <c r="O1315" s="437"/>
      <c r="P1315" s="438"/>
      <c r="Q1315" s="442"/>
      <c r="R1315" s="443"/>
      <c r="S1315" s="364"/>
      <c r="Z1315" s="609" t="s">
        <v>540</v>
      </c>
      <c r="AA1315" s="609" t="s">
        <v>3137</v>
      </c>
    </row>
    <row r="1316" spans="1:27" ht="18">
      <c r="A1316" s="2714"/>
      <c r="B1316" s="371">
        <v>105</v>
      </c>
      <c r="C1316" s="371" t="s">
        <v>2791</v>
      </c>
      <c r="D1316" s="2716">
        <f t="shared" si="111"/>
        <v>0</v>
      </c>
      <c r="E1316" s="2721">
        <v>1</v>
      </c>
      <c r="F1316" s="293"/>
      <c r="G1316" s="2284" t="s">
        <v>2792</v>
      </c>
      <c r="H1316" s="2275"/>
      <c r="I1316" s="2298"/>
      <c r="J1316" s="2275"/>
      <c r="K1316" s="2298"/>
      <c r="L1316" s="1477">
        <f t="shared" si="112"/>
        <v>0</v>
      </c>
      <c r="M1316" s="438"/>
      <c r="N1316" s="439"/>
      <c r="O1316" s="437"/>
      <c r="P1316" s="438"/>
      <c r="Q1316" s="442"/>
      <c r="R1316" s="443"/>
      <c r="S1316" s="364"/>
      <c r="Z1316" s="609" t="s">
        <v>540</v>
      </c>
      <c r="AA1316" s="609" t="s">
        <v>3137</v>
      </c>
    </row>
    <row r="1317" spans="1:27" ht="18.75" thickBot="1">
      <c r="A1317" s="2714"/>
      <c r="B1317" s="371"/>
      <c r="C1317" s="371"/>
      <c r="D1317" s="2716">
        <f t="shared" si="111"/>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0</v>
      </c>
      <c r="I1320" s="351"/>
      <c r="J1320" s="2252">
        <f ca="1">HYPERLINK("#'"&amp;$G$1&amp;"'!"&amp;ADDRESS(ROW(Notes!I1003),COLUMN(Notes!I1003),4),I1003)</f>
        <v>0</v>
      </c>
      <c r="K1320" s="351"/>
      <c r="L1320" s="2252">
        <f ca="1">HYPERLINK("#'"&amp;$G$1&amp;"'!"&amp;ADDRESS(ROW(Notes!I1004),COLUMN(Notes!I1004),4),I1004)</f>
        <v>0</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0</v>
      </c>
      <c r="I1322" s="1555"/>
      <c r="J1322" s="1531">
        <f ca="1">IF(AND(J1320="",J1321=""),"",ROUND(J1320-J1321,2))</f>
        <v>0</v>
      </c>
      <c r="K1322" s="1555"/>
      <c r="L1322" s="1531">
        <f ca="1">IF(AND(L1320="",L1321=""),"",ROUND(L1320-L1321,2))</f>
        <v>0</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0</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6554</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227" t="s">
        <v>3161</v>
      </c>
      <c r="H1329" s="3173" t="str">
        <f>$V$3</f>
        <v>2018年12月31日</v>
      </c>
      <c r="I1329" s="3174"/>
      <c r="J1329" s="3174"/>
      <c r="K1329" s="3174"/>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228"/>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3">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3"/>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3"/>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3"/>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3"/>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3"/>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3"/>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3"/>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3"/>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6555</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227" t="s">
        <v>6008</v>
      </c>
      <c r="H1351" s="3173" t="str">
        <f>$V$3</f>
        <v>2018年12月31日</v>
      </c>
      <c r="I1351" s="3174"/>
      <c r="J1351" s="3174"/>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228"/>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4">IF(OR(G1353="*",G1353="",G1353=0),0,COUNTIF($G$1353:$G$1363,G1353))</f>
        <v>1</v>
      </c>
      <c r="E1353" s="2721" t="s">
        <v>6535</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4"/>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4"/>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4"/>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4"/>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4"/>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4"/>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4"/>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4"/>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6533</v>
      </c>
      <c r="D1362" s="2716">
        <f t="shared" si="114"/>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4"/>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6609</v>
      </c>
      <c r="F1365" s="294"/>
      <c r="G1365" s="307" t="str">
        <f>"("&amp;B1365&amp;")"&amp;D1365</f>
        <v>(1)其他应收款按种类列示</v>
      </c>
      <c r="H1365" s="1517" t="str">
        <f>$A1365</f>
        <v>1221a</v>
      </c>
      <c r="I1365" s="343" t="s">
        <v>6612</v>
      </c>
      <c r="J1365" s="301" t="s">
        <v>6615</v>
      </c>
      <c r="K1365" s="344">
        <f>L1378</f>
        <v>0</v>
      </c>
      <c r="L1365" s="345" t="str">
        <f>IF($I1365="适用",IF(ROUND($K987-K1365,2)=0,"F/S",ROUND($K987-K1365,2)),"#N/A")</f>
        <v>#N/A</v>
      </c>
      <c r="M1365" s="301" t="s">
        <v>6616</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269" t="s">
        <v>2973</v>
      </c>
      <c r="H1368" s="3216" t="s">
        <v>2775</v>
      </c>
      <c r="I1368" s="3217"/>
      <c r="J1368" s="3217"/>
      <c r="K1368" s="3217"/>
      <c r="L1368" s="3218"/>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270"/>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5">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6574</v>
      </c>
      <c r="AE1370" s="369" t="s">
        <v>2761</v>
      </c>
    </row>
    <row r="1371" spans="1:31" ht="24" hidden="1">
      <c r="A1371" s="2714"/>
      <c r="B1371" s="371">
        <v>102</v>
      </c>
      <c r="C1371" s="371"/>
      <c r="D1371" s="2716">
        <f t="shared" si="115"/>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5"/>
        <v>1</v>
      </c>
      <c r="E1372" s="2721" t="s">
        <v>2978</v>
      </c>
      <c r="F1372" s="294"/>
      <c r="G1372" s="409" t="s">
        <v>2979</v>
      </c>
      <c r="H1372" s="383"/>
      <c r="I1372" s="469" t="str">
        <f>IF(H$1378*H1372=0,"",ROUND(H1372*100/H$1378,2))</f>
        <v/>
      </c>
      <c r="J1372" s="383"/>
      <c r="K1372" s="469" t="str">
        <f t="shared" ref="K1372:K1378" si="116">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6574</v>
      </c>
      <c r="AE1372" s="369" t="s">
        <v>2761</v>
      </c>
    </row>
    <row r="1373" spans="1:31" ht="18" hidden="1">
      <c r="A1373" s="2714"/>
      <c r="B1373" s="371">
        <v>102.002</v>
      </c>
      <c r="C1373" s="371" t="s">
        <v>2791</v>
      </c>
      <c r="D1373" s="2716">
        <f t="shared" si="115"/>
        <v>1</v>
      </c>
      <c r="E1373" s="2721" t="s">
        <v>2978</v>
      </c>
      <c r="F1373" s="294"/>
      <c r="G1373" s="409" t="s">
        <v>2980</v>
      </c>
      <c r="H1373" s="383"/>
      <c r="I1373" s="469" t="str">
        <f>IF(H$1378*H1373=0,"",ROUND(H1373*100/H$1378,2))</f>
        <v/>
      </c>
      <c r="J1373" s="383"/>
      <c r="K1373" s="469" t="str">
        <f t="shared" si="116"/>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5"/>
        <v>0</v>
      </c>
      <c r="E1374" s="2721" t="s">
        <v>2978</v>
      </c>
      <c r="F1374" s="294"/>
      <c r="G1374" s="409" t="s">
        <v>2792</v>
      </c>
      <c r="H1374" s="383"/>
      <c r="I1374" s="469" t="str">
        <f>IF(H$1378*H1374=0,"",ROUND(H1374*100/H$1378,2))</f>
        <v/>
      </c>
      <c r="J1374" s="383"/>
      <c r="K1374" s="469" t="str">
        <f t="shared" si="116"/>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5"/>
        <v>1</v>
      </c>
      <c r="E1375" s="2721">
        <v>1</v>
      </c>
      <c r="F1375" s="294"/>
      <c r="G1375" s="380" t="s">
        <v>2978</v>
      </c>
      <c r="H1375" s="381">
        <f>SUMIF($E$1370:$E$1378,$G1375,H$1370:H$1378)</f>
        <v>0</v>
      </c>
      <c r="I1375" s="381">
        <f>SUMIF($E$1370:$E$1378,$G1375,I$1370:I$1378)</f>
        <v>0</v>
      </c>
      <c r="J1375" s="381">
        <f>SUMIF($E$1370:$E$1378,$G1375,J$1370:J$1378)</f>
        <v>0</v>
      </c>
      <c r="K1375" s="469" t="str">
        <f t="shared" si="116"/>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5"/>
        <v>1</v>
      </c>
      <c r="E1376" s="2721">
        <v>1</v>
      </c>
      <c r="F1376" s="294"/>
      <c r="G1376" s="380" t="s">
        <v>3143</v>
      </c>
      <c r="H1376" s="383"/>
      <c r="I1376" s="469" t="str">
        <f>IF(H$1378*H1376=0,"",ROUND(H1376*100/H$1378,2))</f>
        <v/>
      </c>
      <c r="J1376" s="383"/>
      <c r="K1376" s="469" t="str">
        <f t="shared" si="116"/>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5"/>
        <v>0</v>
      </c>
      <c r="E1377" s="2721">
        <v>1</v>
      </c>
      <c r="F1377" s="294"/>
      <c r="G1377" s="409" t="s">
        <v>2792</v>
      </c>
      <c r="H1377" s="383"/>
      <c r="I1377" s="469" t="str">
        <f>IF(H$1378*H1377=0,"",ROUND(H1377*100/H$1378,2))</f>
        <v/>
      </c>
      <c r="J1377" s="383"/>
      <c r="K1377" s="469" t="str">
        <f t="shared" si="116"/>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5"/>
        <v>1</v>
      </c>
      <c r="E1378" s="2721" t="s">
        <v>2751</v>
      </c>
      <c r="F1378" s="294"/>
      <c r="G1378" s="452" t="s">
        <v>2752</v>
      </c>
      <c r="H1378" s="453">
        <f>SUMPRODUCT($E1369:$E1377,H1369:H1377)</f>
        <v>0</v>
      </c>
      <c r="I1378" s="453">
        <f>SUMPRODUCT($E1369:$E1377,I1369:I1377)</f>
        <v>0</v>
      </c>
      <c r="J1378" s="453">
        <f>SUMPRODUCT($E1369:$E1377,J1369:J1377)</f>
        <v>0</v>
      </c>
      <c r="K1378" s="470" t="str">
        <f t="shared" si="116"/>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0</v>
      </c>
      <c r="I1381" s="351"/>
      <c r="J1381" s="2252">
        <f ca="1">HYPERLINK("#'"&amp;$G$1&amp;"'!"&amp;ADDRESS(ROW(Notes!H1024),COLUMN(Notes!H1024),4),H1024)</f>
        <v>0</v>
      </c>
      <c r="K1381" s="351"/>
      <c r="L1381" s="2252">
        <f ca="1">HYPERLINK("#'"&amp;$G$1&amp;"'!"&amp;ADDRESS(ROW(Notes!H1025),COLUMN(Notes!H1025),4),H1025)</f>
        <v>0</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0</v>
      </c>
      <c r="I1383" s="1555"/>
      <c r="J1383" s="1531">
        <f ca="1">IF(AND(J1381="",J1382=""),"",ROUND(J1381-J1382,2))</f>
        <v>0</v>
      </c>
      <c r="K1383" s="1555"/>
      <c r="L1383" s="1531">
        <f ca="1">IF(AND(L1381="",L1382=""),"",ROUND(L1381-L1382,2))</f>
        <v>0</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0</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6609</v>
      </c>
      <c r="F1387" s="294"/>
      <c r="G1387" s="372" t="str">
        <f>"("&amp;B1387&amp;")"&amp;D1387</f>
        <v>(3)其他应收款按种类列示（续）</v>
      </c>
      <c r="H1387" s="1517" t="str">
        <f>$A1387</f>
        <v>1221b</v>
      </c>
      <c r="I1387" s="343" t="s">
        <v>6612</v>
      </c>
      <c r="J1387" s="301" t="s">
        <v>6616</v>
      </c>
      <c r="K1387" s="423"/>
      <c r="L1387" s="315"/>
      <c r="M1387" s="301" t="s">
        <v>6624</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269" t="s">
        <v>2973</v>
      </c>
      <c r="H1390" s="3216" t="s">
        <v>2776</v>
      </c>
      <c r="I1390" s="3217"/>
      <c r="J1390" s="3217"/>
      <c r="K1390" s="3217"/>
      <c r="L1390" s="3218"/>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270"/>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17">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17"/>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17"/>
        <v>1</v>
      </c>
      <c r="E1394" s="2721" t="s">
        <v>2978</v>
      </c>
      <c r="F1394" s="294"/>
      <c r="G1394" s="409" t="s">
        <v>2979</v>
      </c>
      <c r="H1394" s="383"/>
      <c r="I1394" s="469" t="str">
        <f>IF(H$1400*H1394=0,"",ROUND(H1394*100/H$1400,2))</f>
        <v/>
      </c>
      <c r="J1394" s="383"/>
      <c r="K1394" s="469" t="str">
        <f t="shared" ref="K1394:K1400" si="118">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17"/>
        <v>1</v>
      </c>
      <c r="E1395" s="2721" t="s">
        <v>2978</v>
      </c>
      <c r="F1395" s="294"/>
      <c r="G1395" s="409" t="s">
        <v>2980</v>
      </c>
      <c r="H1395" s="383"/>
      <c r="I1395" s="469" t="str">
        <f>IF(H$1400*H1395=0,"",ROUND(H1395*100/H$1400,2))</f>
        <v/>
      </c>
      <c r="J1395" s="383"/>
      <c r="K1395" s="469" t="str">
        <f t="shared" si="118"/>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17"/>
        <v>0</v>
      </c>
      <c r="E1396" s="2721" t="s">
        <v>2978</v>
      </c>
      <c r="F1396" s="294"/>
      <c r="G1396" s="409" t="s">
        <v>2792</v>
      </c>
      <c r="H1396" s="383"/>
      <c r="I1396" s="469" t="str">
        <f>IF(H$1400*H1396=0,"",ROUND(H1396*100/H$1400,2))</f>
        <v/>
      </c>
      <c r="J1396" s="383"/>
      <c r="K1396" s="469" t="str">
        <f t="shared" si="118"/>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17"/>
        <v>1</v>
      </c>
      <c r="E1397" s="2721">
        <v>1</v>
      </c>
      <c r="F1397" s="294"/>
      <c r="G1397" s="380" t="s">
        <v>2978</v>
      </c>
      <c r="H1397" s="381">
        <f>SUMIF($E$1392:$E$1400,$G1397,H$1392:H$1400)</f>
        <v>0</v>
      </c>
      <c r="I1397" s="381">
        <f>SUMIF($E$1392:$E$1400,$G1397,I$1392:I$1400)</f>
        <v>0</v>
      </c>
      <c r="J1397" s="381">
        <f>SUMIF($E$1392:$E$1400,$G1397,J$1392:J$1400)</f>
        <v>0</v>
      </c>
      <c r="K1397" s="469" t="str">
        <f t="shared" si="118"/>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17"/>
        <v>1</v>
      </c>
      <c r="E1398" s="2721">
        <v>1</v>
      </c>
      <c r="F1398" s="294"/>
      <c r="G1398" s="380" t="s">
        <v>3143</v>
      </c>
      <c r="H1398" s="383"/>
      <c r="I1398" s="469" t="str">
        <f>IF(H$1400*H1398=0,"",ROUND(H1398*100/H$1400,2))</f>
        <v/>
      </c>
      <c r="J1398" s="383"/>
      <c r="K1398" s="469" t="str">
        <f t="shared" si="118"/>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17"/>
        <v>0</v>
      </c>
      <c r="E1399" s="2721">
        <v>1</v>
      </c>
      <c r="F1399" s="294"/>
      <c r="G1399" s="409" t="s">
        <v>2792</v>
      </c>
      <c r="H1399" s="383"/>
      <c r="I1399" s="469" t="str">
        <f>IF(H$1400*H1399=0,"",ROUND(H1399*100/H$1400,2))</f>
        <v/>
      </c>
      <c r="J1399" s="383"/>
      <c r="K1399" s="469" t="str">
        <f t="shared" si="118"/>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17"/>
        <v>1</v>
      </c>
      <c r="E1400" s="2721" t="s">
        <v>2751</v>
      </c>
      <c r="F1400" s="294"/>
      <c r="G1400" s="452" t="s">
        <v>2752</v>
      </c>
      <c r="H1400" s="453">
        <f>SUMPRODUCT($E1391:$E1399,H1391:H1399)</f>
        <v>0</v>
      </c>
      <c r="I1400" s="453">
        <f>SUMPRODUCT($E1391:$E1399,I1391:I1399)</f>
        <v>0</v>
      </c>
      <c r="J1400" s="453">
        <f>SUMPRODUCT($E1391:$E1399,J1391:J1399)</f>
        <v>0</v>
      </c>
      <c r="K1400" s="470" t="str">
        <f t="shared" si="118"/>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0</v>
      </c>
      <c r="I1403" s="2644"/>
      <c r="J1403" s="2252">
        <f ca="1">HYPERLINK("#'"&amp;$G$1&amp;"'!"&amp;ADDRESS(ROW(Notes!I1024),COLUMN(Notes!I1024),4),I1024)</f>
        <v>0</v>
      </c>
      <c r="K1403" s="2644"/>
      <c r="L1403" s="2252">
        <f ca="1">HYPERLINK("#'"&amp;$G$1&amp;"'!"&amp;ADDRESS(ROW(Notes!I1025),COLUMN(Notes!I1025),4),I1025)</f>
        <v>0</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0</v>
      </c>
      <c r="I1405" s="2645"/>
      <c r="J1405" s="1531">
        <f ca="1">IF(AND(J1403="",J1404=""),"",ROUND(J1403-J1404,2))</f>
        <v>0</v>
      </c>
      <c r="K1405" s="2645"/>
      <c r="L1405" s="1531">
        <f ca="1">IF(AND(L1403="",L1404=""),"",ROUND(L1403-L1404,2))</f>
        <v>0</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0</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6609</v>
      </c>
      <c r="F1409" s="294"/>
      <c r="G1409" s="372" t="str">
        <f>"("&amp;B1409&amp;")"&amp;D1409</f>
        <v>(4)期末单项金额重大并单项计提坏账准备的其他应收款</v>
      </c>
      <c r="H1409" s="1517" t="str">
        <f>$A1409</f>
        <v>1221g</v>
      </c>
      <c r="I1409" s="343" t="s">
        <v>6612</v>
      </c>
      <c r="J1409" s="301" t="s">
        <v>6615</v>
      </c>
      <c r="K1409" s="344">
        <f>H1419</f>
        <v>0</v>
      </c>
      <c r="L1409" s="345"/>
      <c r="M1409" s="301" t="s">
        <v>6616</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265" t="s">
        <v>5479</v>
      </c>
      <c r="H1412" s="3213" t="s">
        <v>5478</v>
      </c>
      <c r="I1412" s="3213"/>
      <c r="J1412" s="3213"/>
      <c r="K1412" s="3214"/>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266"/>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19">IF(OR(G1414="*",G1414="",G1414=0),0,COUNTIF($G$1414:$G$1419,G1414))</f>
        <v>0</v>
      </c>
      <c r="E1414" s="2721">
        <v>1</v>
      </c>
      <c r="F1414" s="294"/>
      <c r="G1414" s="319" t="s">
        <v>2792</v>
      </c>
      <c r="H1414" s="309"/>
      <c r="I1414" s="309"/>
      <c r="J1414" s="360" t="str">
        <f t="shared" ref="J1414:J1419" si="120">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19"/>
        <v>0</v>
      </c>
      <c r="E1415" s="2721">
        <v>1</v>
      </c>
      <c r="F1415" s="294"/>
      <c r="G1415" s="319" t="s">
        <v>2792</v>
      </c>
      <c r="H1415" s="309"/>
      <c r="I1415" s="309"/>
      <c r="J1415" s="360" t="str">
        <f t="shared" si="120"/>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19"/>
        <v>0</v>
      </c>
      <c r="E1416" s="2721">
        <v>1</v>
      </c>
      <c r="F1416" s="294"/>
      <c r="G1416" s="319" t="s">
        <v>2792</v>
      </c>
      <c r="H1416" s="309"/>
      <c r="I1416" s="309"/>
      <c r="J1416" s="360" t="str">
        <f t="shared" si="120"/>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19"/>
        <v>0</v>
      </c>
      <c r="E1417" s="2721">
        <v>1</v>
      </c>
      <c r="F1417" s="294"/>
      <c r="G1417" s="319" t="s">
        <v>2792</v>
      </c>
      <c r="H1417" s="309"/>
      <c r="I1417" s="309"/>
      <c r="J1417" s="360" t="str">
        <f t="shared" si="120"/>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19"/>
        <v>0</v>
      </c>
      <c r="E1418" s="2721">
        <v>1</v>
      </c>
      <c r="F1418" s="294"/>
      <c r="G1418" s="319" t="s">
        <v>2792</v>
      </c>
      <c r="H1418" s="309"/>
      <c r="I1418" s="309"/>
      <c r="J1418" s="360" t="str">
        <f t="shared" si="120"/>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19"/>
        <v>1</v>
      </c>
      <c r="E1419" s="2721" t="s">
        <v>3032</v>
      </c>
      <c r="F1419" s="294"/>
      <c r="G1419" s="310" t="s">
        <v>2752</v>
      </c>
      <c r="H1419" s="311">
        <f>SUMPRODUCT($E1413:$E1418,H1413:H1418)</f>
        <v>0</v>
      </c>
      <c r="I1419" s="311">
        <f>SUMPRODUCT($E1413:$E1418,I1413:I1418)</f>
        <v>0</v>
      </c>
      <c r="J1419" s="466" t="str">
        <f t="shared" si="120"/>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6609</v>
      </c>
      <c r="F1428" s="294"/>
      <c r="G1428" s="372" t="str">
        <f>"("&amp;B1428&amp;")"&amp;D1428</f>
        <v>(5)组合中按账龄分析法计提坏账准备的其他应收款</v>
      </c>
      <c r="H1428" s="1517" t="str">
        <f>$A1428</f>
        <v>1221d</v>
      </c>
      <c r="I1428" s="343" t="s">
        <v>6626</v>
      </c>
      <c r="J1428" s="301" t="s">
        <v>6625</v>
      </c>
      <c r="K1428" s="344">
        <f>L1440</f>
        <v>0</v>
      </c>
      <c r="L1428" s="345" t="str">
        <f>IF($I1428="适用",IF(ROUND(K987-K1428,2)&gt;=0,"","#Logical!"),"#N/A")</f>
        <v>#N/A</v>
      </c>
      <c r="M1428" s="301" t="s">
        <v>6616</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229" t="s">
        <v>6418</v>
      </c>
      <c r="H1431" s="3213" t="s">
        <v>2775</v>
      </c>
      <c r="I1431" s="3213"/>
      <c r="J1431" s="3213"/>
      <c r="K1431" s="3213"/>
      <c r="L1431" s="3214"/>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230"/>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1">IF(OR(G1433="*",G1433="",G1433=0),0,COUNTIF($G$1433:$G$1440,G1433))</f>
        <v>1</v>
      </c>
      <c r="E1433" s="2721">
        <v>1</v>
      </c>
      <c r="F1433" s="294"/>
      <c r="G1433" s="2548" t="s">
        <v>2938</v>
      </c>
      <c r="H1433" s="2275"/>
      <c r="I1433" s="2265" t="str">
        <f t="shared" ref="I1433:I1439" si="122">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1"/>
        <v>1</v>
      </c>
      <c r="E1434" s="2721">
        <v>1</v>
      </c>
      <c r="F1434" s="294"/>
      <c r="G1434" s="2548" t="s">
        <v>3170</v>
      </c>
      <c r="H1434" s="2275"/>
      <c r="I1434" s="2265" t="str">
        <f t="shared" si="122"/>
        <v/>
      </c>
      <c r="J1434" s="2275"/>
      <c r="K1434" s="2265" t="str">
        <f t="shared" ref="K1434:K1440" si="123">IF(H1434*J1434=0,"",ROUND(J1434*100/H1434,2))</f>
        <v/>
      </c>
      <c r="L1434" s="1477">
        <f t="shared" ref="L1434:L1439" si="124">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1"/>
        <v>1</v>
      </c>
      <c r="E1435" s="2721">
        <v>1</v>
      </c>
      <c r="F1435" s="294"/>
      <c r="G1435" s="2548" t="s">
        <v>3171</v>
      </c>
      <c r="H1435" s="2275"/>
      <c r="I1435" s="2265" t="str">
        <f t="shared" si="122"/>
        <v/>
      </c>
      <c r="J1435" s="2275"/>
      <c r="K1435" s="2265" t="str">
        <f t="shared" si="123"/>
        <v/>
      </c>
      <c r="L1435" s="1477">
        <f t="shared" si="124"/>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1"/>
        <v>1</v>
      </c>
      <c r="E1436" s="2721">
        <v>1</v>
      </c>
      <c r="F1436" s="294"/>
      <c r="G1436" s="2548" t="s">
        <v>3172</v>
      </c>
      <c r="H1436" s="2275"/>
      <c r="I1436" s="2265" t="str">
        <f t="shared" si="122"/>
        <v/>
      </c>
      <c r="J1436" s="2275"/>
      <c r="K1436" s="2265" t="str">
        <f t="shared" si="123"/>
        <v/>
      </c>
      <c r="L1436" s="1477">
        <f t="shared" si="124"/>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1"/>
        <v>1</v>
      </c>
      <c r="E1437" s="2721">
        <v>1</v>
      </c>
      <c r="F1437" s="294"/>
      <c r="G1437" s="2548" t="s">
        <v>3173</v>
      </c>
      <c r="H1437" s="2275"/>
      <c r="I1437" s="2265" t="str">
        <f t="shared" si="122"/>
        <v/>
      </c>
      <c r="J1437" s="2275"/>
      <c r="K1437" s="2265" t="str">
        <f t="shared" si="123"/>
        <v/>
      </c>
      <c r="L1437" s="1477">
        <f t="shared" si="124"/>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1"/>
        <v>1</v>
      </c>
      <c r="E1438" s="2721">
        <v>1</v>
      </c>
      <c r="F1438" s="294"/>
      <c r="G1438" s="2548" t="s">
        <v>2944</v>
      </c>
      <c r="H1438" s="2275"/>
      <c r="I1438" s="2265" t="str">
        <f t="shared" si="122"/>
        <v/>
      </c>
      <c r="J1438" s="2275"/>
      <c r="K1438" s="2265" t="str">
        <f t="shared" si="123"/>
        <v/>
      </c>
      <c r="L1438" s="1477">
        <f t="shared" si="124"/>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1"/>
        <v>0</v>
      </c>
      <c r="E1439" s="2721">
        <v>1</v>
      </c>
      <c r="F1439" s="294"/>
      <c r="G1439" s="2548" t="s">
        <v>2792</v>
      </c>
      <c r="H1439" s="2275"/>
      <c r="I1439" s="2265" t="str">
        <f t="shared" si="122"/>
        <v/>
      </c>
      <c r="J1439" s="2275"/>
      <c r="K1439" s="2265" t="str">
        <f t="shared" si="123"/>
        <v/>
      </c>
      <c r="L1439" s="1477">
        <f t="shared" si="124"/>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1"/>
        <v>1</v>
      </c>
      <c r="E1440" s="2721" t="s">
        <v>2751</v>
      </c>
      <c r="F1440" s="294"/>
      <c r="G1440" s="310" t="s">
        <v>6417</v>
      </c>
      <c r="H1440" s="1481">
        <f>SUMPRODUCT($E1432:$E1439,H1432:H1439)</f>
        <v>0</v>
      </c>
      <c r="I1440" s="2440">
        <f>SUMPRODUCT($E1432:$E1439,I1432:I1439)</f>
        <v>0</v>
      </c>
      <c r="J1440" s="1481">
        <f>SUMPRODUCT($E1432:$E1439,J1432:J1439)</f>
        <v>0</v>
      </c>
      <c r="K1440" s="2440" t="str">
        <f t="shared" si="123"/>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6623</v>
      </c>
      <c r="F1449" s="294"/>
      <c r="G1449" s="372" t="str">
        <f>"("&amp;B1449&amp;")"&amp;D1449</f>
        <v>(6)组合中采用余额百分比法计提坏账准备的其他应收款</v>
      </c>
      <c r="H1449" s="1517" t="str">
        <f>$A1449</f>
        <v>1221e</v>
      </c>
      <c r="I1449" s="343" t="s">
        <v>6617</v>
      </c>
      <c r="J1449" s="301" t="s">
        <v>6615</v>
      </c>
      <c r="K1449" s="344">
        <f>H1457-I1457</f>
        <v>0</v>
      </c>
      <c r="L1449" s="345" t="str">
        <f>IF($I1449="适用",IF(ROUND(K987-K1449,2)&gt;=0,"","#Logical!"),"#N/A")</f>
        <v>#N/A</v>
      </c>
      <c r="M1449" s="301" t="s">
        <v>6616</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5">IF(OR(G1452="*",G1452="",G1452=0),0,COUNTIF($G$1452:$G$1457,G1452))</f>
        <v>1</v>
      </c>
      <c r="E1452" s="2721">
        <v>1</v>
      </c>
      <c r="F1452" s="294"/>
      <c r="G1452" s="2284" t="s">
        <v>3009</v>
      </c>
      <c r="H1452" s="2275"/>
      <c r="I1452" s="2275"/>
      <c r="J1452" s="2265" t="str">
        <f t="shared" ref="J1452:J1457" si="126">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5"/>
        <v>1</v>
      </c>
      <c r="E1453" s="2721">
        <v>1</v>
      </c>
      <c r="F1453" s="294"/>
      <c r="G1453" s="2284" t="s">
        <v>3010</v>
      </c>
      <c r="H1453" s="2275"/>
      <c r="I1453" s="2275"/>
      <c r="J1453" s="2265" t="str">
        <f t="shared" si="126"/>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5"/>
        <v>1</v>
      </c>
      <c r="E1454" s="2721">
        <v>1</v>
      </c>
      <c r="F1454" s="294"/>
      <c r="G1454" s="2284" t="s">
        <v>3011</v>
      </c>
      <c r="H1454" s="2275"/>
      <c r="I1454" s="2275"/>
      <c r="J1454" s="2265" t="str">
        <f t="shared" si="126"/>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5"/>
        <v>1</v>
      </c>
      <c r="E1455" s="2721">
        <v>1</v>
      </c>
      <c r="F1455" s="294"/>
      <c r="G1455" s="2284" t="s">
        <v>3012</v>
      </c>
      <c r="H1455" s="2275"/>
      <c r="I1455" s="2275"/>
      <c r="J1455" s="2265" t="str">
        <f t="shared" si="126"/>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5"/>
        <v>1</v>
      </c>
      <c r="E1456" s="2721">
        <v>1</v>
      </c>
      <c r="F1456" s="294"/>
      <c r="G1456" s="2284" t="s">
        <v>3013</v>
      </c>
      <c r="H1456" s="2275"/>
      <c r="I1456" s="2275"/>
      <c r="J1456" s="2265" t="str">
        <f t="shared" si="126"/>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5"/>
        <v>1</v>
      </c>
      <c r="E1457" s="2721" t="s">
        <v>2751</v>
      </c>
      <c r="F1457" s="294"/>
      <c r="G1457" s="1529" t="s">
        <v>2752</v>
      </c>
      <c r="H1457" s="1527">
        <f>SUMPRODUCT($E1451:$E1456,H1451:H1456)</f>
        <v>0</v>
      </c>
      <c r="I1457" s="1527">
        <f>SUMPRODUCT($E1451:$E1456,I1451:I1456)</f>
        <v>0</v>
      </c>
      <c r="J1457" s="1567" t="str">
        <f t="shared" si="126"/>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6614</v>
      </c>
      <c r="F1459" s="294"/>
      <c r="G1459" s="372" t="str">
        <f>"("&amp;B1459&amp;")"&amp;D1459</f>
        <v>(7)组合中采用其他方法计提坏账准备的其他应收款</v>
      </c>
      <c r="H1459" s="1517" t="str">
        <f>$A1459</f>
        <v>1221f</v>
      </c>
      <c r="I1459" s="343" t="s">
        <v>6612</v>
      </c>
      <c r="J1459" s="301" t="s">
        <v>6610</v>
      </c>
      <c r="K1459" s="344">
        <f>J1467</f>
        <v>0</v>
      </c>
      <c r="L1459" s="345" t="str">
        <f>IF($I1459="适用",IF(ROUND(K$987-K1459,2)&gt;=0,"","#Logical!"),"#N/A")</f>
        <v>#N/A</v>
      </c>
      <c r="M1459" s="301" t="s">
        <v>6616</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27">IF(OR(G1462="*",G1462="",G1462=0),0,COUNTIF($G$1462:$G$1467,G1462))</f>
        <v>1</v>
      </c>
      <c r="E1462" s="2721">
        <v>1</v>
      </c>
      <c r="F1462" s="294"/>
      <c r="G1462" s="2284" t="s">
        <v>3009</v>
      </c>
      <c r="H1462" s="2275"/>
      <c r="I1462" s="2275"/>
      <c r="J1462" s="1476">
        <f>H1462-I1462</f>
        <v>0</v>
      </c>
      <c r="K1462" s="2265" t="str">
        <f t="shared" ref="K1462:K1467" si="128">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27"/>
        <v>1</v>
      </c>
      <c r="E1463" s="2721">
        <v>1</v>
      </c>
      <c r="F1463" s="294"/>
      <c r="G1463" s="2284" t="s">
        <v>3010</v>
      </c>
      <c r="H1463" s="2275"/>
      <c r="I1463" s="2275"/>
      <c r="J1463" s="1476">
        <f>H1463-I1463</f>
        <v>0</v>
      </c>
      <c r="K1463" s="2265" t="str">
        <f t="shared" si="128"/>
        <v/>
      </c>
      <c r="L1463" s="2276"/>
      <c r="M1463" s="291"/>
      <c r="N1463" s="291"/>
      <c r="S1463" s="364"/>
      <c r="Z1463" s="609" t="s">
        <v>540</v>
      </c>
      <c r="AA1463" s="609" t="s">
        <v>3137</v>
      </c>
      <c r="AE1463" s="369" t="s">
        <v>2761</v>
      </c>
    </row>
    <row r="1464" spans="1:31" ht="18" hidden="1">
      <c r="A1464" s="2714"/>
      <c r="B1464" s="371">
        <v>103</v>
      </c>
      <c r="C1464" s="371" t="s">
        <v>2791</v>
      </c>
      <c r="D1464" s="2716">
        <f t="shared" si="127"/>
        <v>1</v>
      </c>
      <c r="E1464" s="2721">
        <v>1</v>
      </c>
      <c r="F1464" s="294"/>
      <c r="G1464" s="2284" t="s">
        <v>3011</v>
      </c>
      <c r="H1464" s="2275"/>
      <c r="I1464" s="2275"/>
      <c r="J1464" s="1476">
        <f>H1464-I1464</f>
        <v>0</v>
      </c>
      <c r="K1464" s="2265" t="str">
        <f t="shared" si="128"/>
        <v/>
      </c>
      <c r="L1464" s="2276"/>
      <c r="M1464" s="291"/>
      <c r="N1464" s="291"/>
      <c r="S1464" s="364"/>
      <c r="Z1464" s="609" t="s">
        <v>540</v>
      </c>
      <c r="AA1464" s="609" t="s">
        <v>3137</v>
      </c>
      <c r="AE1464" s="369" t="s">
        <v>2761</v>
      </c>
    </row>
    <row r="1465" spans="1:31" ht="18" hidden="1">
      <c r="A1465" s="2714"/>
      <c r="B1465" s="371">
        <v>104</v>
      </c>
      <c r="C1465" s="371" t="s">
        <v>2791</v>
      </c>
      <c r="D1465" s="2716">
        <f t="shared" si="127"/>
        <v>1</v>
      </c>
      <c r="E1465" s="2721">
        <v>1</v>
      </c>
      <c r="F1465" s="294"/>
      <c r="G1465" s="2284" t="s">
        <v>3012</v>
      </c>
      <c r="H1465" s="2275"/>
      <c r="I1465" s="2275"/>
      <c r="J1465" s="1476">
        <f>H1465-I1465</f>
        <v>0</v>
      </c>
      <c r="K1465" s="2265" t="str">
        <f t="shared" si="128"/>
        <v/>
      </c>
      <c r="L1465" s="2276"/>
      <c r="M1465" s="291"/>
      <c r="N1465" s="291"/>
      <c r="S1465" s="364"/>
      <c r="Z1465" s="609" t="s">
        <v>540</v>
      </c>
      <c r="AA1465" s="609" t="s">
        <v>3137</v>
      </c>
      <c r="AE1465" s="369" t="s">
        <v>2761</v>
      </c>
    </row>
    <row r="1466" spans="1:31" ht="18" hidden="1">
      <c r="A1466" s="2714"/>
      <c r="B1466" s="371">
        <v>105</v>
      </c>
      <c r="C1466" s="371" t="s">
        <v>2791</v>
      </c>
      <c r="D1466" s="2716">
        <f t="shared" si="127"/>
        <v>1</v>
      </c>
      <c r="E1466" s="2721">
        <v>1</v>
      </c>
      <c r="F1466" s="294"/>
      <c r="G1466" s="2284" t="s">
        <v>3013</v>
      </c>
      <c r="H1466" s="2275"/>
      <c r="I1466" s="2275"/>
      <c r="J1466" s="1476">
        <f>H1466-I1466</f>
        <v>0</v>
      </c>
      <c r="K1466" s="2265" t="str">
        <f t="shared" si="128"/>
        <v/>
      </c>
      <c r="L1466" s="2276"/>
      <c r="M1466" s="291"/>
      <c r="N1466" s="291"/>
      <c r="S1466" s="364"/>
      <c r="Z1466" s="609" t="s">
        <v>540</v>
      </c>
      <c r="AA1466" s="609" t="s">
        <v>3137</v>
      </c>
      <c r="AE1466" s="369" t="s">
        <v>2761</v>
      </c>
    </row>
    <row r="1467" spans="1:31" ht="18.75" hidden="1" thickBot="1">
      <c r="A1467" s="2714"/>
      <c r="B1467" s="371"/>
      <c r="C1467" s="371"/>
      <c r="D1467" s="2716">
        <f t="shared" si="127"/>
        <v>1</v>
      </c>
      <c r="E1467" s="2721" t="s">
        <v>2751</v>
      </c>
      <c r="F1467" s="294"/>
      <c r="G1467" s="1529" t="s">
        <v>2752</v>
      </c>
      <c r="H1467" s="1527">
        <f>SUMPRODUCT($E1461:$E1466,H1461:H1466)</f>
        <v>0</v>
      </c>
      <c r="I1467" s="1527">
        <f>SUMPRODUCT($E1461:$E1466,I1461:I1466)</f>
        <v>0</v>
      </c>
      <c r="J1467" s="1527">
        <f>SUMPRODUCT($E1461:$E1466,J1461:J1466)</f>
        <v>0</v>
      </c>
      <c r="K1467" s="1567" t="str">
        <f t="shared" si="128"/>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0</v>
      </c>
      <c r="L1469" s="349"/>
      <c r="M1469" s="301" t="s">
        <v>2745</v>
      </c>
      <c r="N1469" s="2210">
        <f>H1482</f>
        <v>0</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227" t="s">
        <v>6009</v>
      </c>
      <c r="H1472" s="3168" t="str">
        <f>$V$3</f>
        <v>2018年12月31日</v>
      </c>
      <c r="I1472" s="3170" t="s">
        <v>6010</v>
      </c>
      <c r="J1472" s="3168" t="str">
        <f>$X$3</f>
        <v>2019年1月1日</v>
      </c>
      <c r="K1472" s="3172" t="s">
        <v>2919</v>
      </c>
      <c r="L1472" s="3172"/>
      <c r="M1472" s="3172"/>
      <c r="N1472" s="3151"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228"/>
      <c r="H1473" s="3169"/>
      <c r="I1473" s="3171"/>
      <c r="J1473" s="3169"/>
      <c r="K1473" s="2239" t="s">
        <v>6011</v>
      </c>
      <c r="L1473" s="2239" t="s">
        <v>6012</v>
      </c>
      <c r="M1473" s="2294" t="s">
        <v>6013</v>
      </c>
      <c r="N1473" s="3152"/>
      <c r="O1473" s="434"/>
      <c r="P1473" s="435"/>
      <c r="Q1473" s="442"/>
      <c r="R1473" s="443"/>
      <c r="S1473" s="364"/>
      <c r="Z1473" s="609" t="s">
        <v>540</v>
      </c>
      <c r="AA1473" s="609" t="s">
        <v>3137</v>
      </c>
    </row>
    <row r="1474" spans="1:27" ht="18">
      <c r="A1474" s="2714"/>
      <c r="B1474" s="371">
        <v>101</v>
      </c>
      <c r="C1474" s="371" t="s">
        <v>2791</v>
      </c>
      <c r="D1474" s="2716">
        <f t="shared" ref="D1474:D1482" si="129">IF(OR(G1474="*",G1474="",G1474=0),0,COUNTIF($G$1474:$G$1482,G1474))</f>
        <v>0</v>
      </c>
      <c r="E1474" s="2721">
        <v>1</v>
      </c>
      <c r="F1474" s="293"/>
      <c r="G1474" s="2284" t="s">
        <v>2792</v>
      </c>
      <c r="H1474" s="2275"/>
      <c r="I1474" s="2275"/>
      <c r="J1474" s="1476">
        <f>SUM(H1474:I1474)</f>
        <v>0</v>
      </c>
      <c r="K1474" s="2275"/>
      <c r="L1474" s="2275"/>
      <c r="M1474" s="2275"/>
      <c r="N1474" s="1477">
        <f>SUM(J1474:K1474,-L1474,-M1474)</f>
        <v>0</v>
      </c>
      <c r="O1474" s="437"/>
      <c r="P1474" s="438"/>
      <c r="Q1474" s="442"/>
      <c r="R1474" s="443"/>
      <c r="S1474" s="364"/>
      <c r="Z1474" s="609" t="s">
        <v>540</v>
      </c>
      <c r="AA1474" s="609" t="s">
        <v>3137</v>
      </c>
    </row>
    <row r="1475" spans="1:27" ht="18">
      <c r="A1475" s="2714"/>
      <c r="B1475" s="371">
        <v>102</v>
      </c>
      <c r="C1475" s="371" t="s">
        <v>2791</v>
      </c>
      <c r="D1475" s="2716">
        <f t="shared" si="129"/>
        <v>0</v>
      </c>
      <c r="E1475" s="2721">
        <v>1</v>
      </c>
      <c r="F1475" s="293"/>
      <c r="G1475" s="2284" t="s">
        <v>2792</v>
      </c>
      <c r="H1475" s="2275"/>
      <c r="I1475" s="2275"/>
      <c r="J1475" s="1476">
        <f t="shared" ref="J1475:J1481" si="130">SUM(H1475:I1475)</f>
        <v>0</v>
      </c>
      <c r="K1475" s="2275"/>
      <c r="L1475" s="2275"/>
      <c r="M1475" s="2275"/>
      <c r="N1475" s="1477">
        <f t="shared" ref="N1475:N1481" si="131">SUM(J1475:K1475,-L1475,-M1475)</f>
        <v>0</v>
      </c>
      <c r="O1475" s="437"/>
      <c r="P1475" s="438"/>
      <c r="Q1475" s="442"/>
      <c r="R1475" s="443"/>
      <c r="S1475" s="364"/>
      <c r="Z1475" s="609" t="s">
        <v>540</v>
      </c>
      <c r="AA1475" s="609" t="s">
        <v>3137</v>
      </c>
    </row>
    <row r="1476" spans="1:27" ht="18">
      <c r="A1476" s="2714"/>
      <c r="B1476" s="371">
        <v>103</v>
      </c>
      <c r="C1476" s="371" t="s">
        <v>2791</v>
      </c>
      <c r="D1476" s="2716">
        <f t="shared" si="129"/>
        <v>0</v>
      </c>
      <c r="E1476" s="2721">
        <v>1</v>
      </c>
      <c r="F1476" s="293"/>
      <c r="G1476" s="2284" t="s">
        <v>2792</v>
      </c>
      <c r="H1476" s="2275"/>
      <c r="I1476" s="2275"/>
      <c r="J1476" s="1476">
        <f t="shared" si="130"/>
        <v>0</v>
      </c>
      <c r="K1476" s="2275"/>
      <c r="L1476" s="2275"/>
      <c r="M1476" s="2275"/>
      <c r="N1476" s="1477">
        <f t="shared" si="131"/>
        <v>0</v>
      </c>
      <c r="O1476" s="437"/>
      <c r="P1476" s="438"/>
      <c r="Q1476" s="442"/>
      <c r="R1476" s="443"/>
      <c r="S1476" s="364"/>
      <c r="Z1476" s="609" t="s">
        <v>540</v>
      </c>
      <c r="AA1476" s="609" t="s">
        <v>3137</v>
      </c>
    </row>
    <row r="1477" spans="1:27" ht="18">
      <c r="A1477" s="2714"/>
      <c r="B1477" s="371">
        <v>104</v>
      </c>
      <c r="C1477" s="371" t="s">
        <v>2791</v>
      </c>
      <c r="D1477" s="2716">
        <f t="shared" si="129"/>
        <v>0</v>
      </c>
      <c r="E1477" s="2721">
        <v>1</v>
      </c>
      <c r="F1477" s="293"/>
      <c r="G1477" s="2284" t="s">
        <v>2792</v>
      </c>
      <c r="H1477" s="2275"/>
      <c r="I1477" s="2275"/>
      <c r="J1477" s="1476">
        <f t="shared" si="130"/>
        <v>0</v>
      </c>
      <c r="K1477" s="2275"/>
      <c r="L1477" s="2275"/>
      <c r="M1477" s="2275"/>
      <c r="N1477" s="1477">
        <f t="shared" si="131"/>
        <v>0</v>
      </c>
      <c r="O1477" s="437"/>
      <c r="P1477" s="438"/>
      <c r="Q1477" s="442"/>
      <c r="R1477" s="443"/>
      <c r="S1477" s="364"/>
      <c r="Z1477" s="609" t="s">
        <v>540</v>
      </c>
      <c r="AA1477" s="609" t="s">
        <v>3137</v>
      </c>
    </row>
    <row r="1478" spans="1:27" ht="18">
      <c r="A1478" s="2714"/>
      <c r="B1478" s="371">
        <v>105</v>
      </c>
      <c r="C1478" s="371" t="s">
        <v>2791</v>
      </c>
      <c r="D1478" s="2716">
        <f t="shared" si="129"/>
        <v>0</v>
      </c>
      <c r="E1478" s="2721">
        <v>1</v>
      </c>
      <c r="F1478" s="293"/>
      <c r="G1478" s="2284" t="s">
        <v>2792</v>
      </c>
      <c r="H1478" s="2275"/>
      <c r="I1478" s="2275"/>
      <c r="J1478" s="1476">
        <f t="shared" si="130"/>
        <v>0</v>
      </c>
      <c r="K1478" s="2275"/>
      <c r="L1478" s="2275"/>
      <c r="M1478" s="2275"/>
      <c r="N1478" s="1477">
        <f t="shared" si="131"/>
        <v>0</v>
      </c>
      <c r="O1478" s="437"/>
      <c r="P1478" s="438"/>
      <c r="Q1478" s="442"/>
      <c r="R1478" s="443"/>
      <c r="S1478" s="364"/>
      <c r="Z1478" s="609" t="s">
        <v>540</v>
      </c>
      <c r="AA1478" s="609" t="s">
        <v>3137</v>
      </c>
    </row>
    <row r="1479" spans="1:27" ht="18">
      <c r="A1479" s="2714"/>
      <c r="B1479" s="371">
        <v>106</v>
      </c>
      <c r="C1479" s="371" t="s">
        <v>2791</v>
      </c>
      <c r="D1479" s="2716">
        <f t="shared" si="129"/>
        <v>0</v>
      </c>
      <c r="E1479" s="2721">
        <v>1</v>
      </c>
      <c r="F1479" s="293"/>
      <c r="G1479" s="2284" t="s">
        <v>2792</v>
      </c>
      <c r="H1479" s="2275"/>
      <c r="I1479" s="2275"/>
      <c r="J1479" s="1476">
        <f t="shared" si="130"/>
        <v>0</v>
      </c>
      <c r="K1479" s="2275"/>
      <c r="L1479" s="2275"/>
      <c r="M1479" s="2275"/>
      <c r="N1479" s="1477">
        <f t="shared" si="131"/>
        <v>0</v>
      </c>
      <c r="O1479" s="437"/>
      <c r="P1479" s="438"/>
      <c r="Q1479" s="442"/>
      <c r="R1479" s="443"/>
      <c r="S1479" s="364"/>
      <c r="Z1479" s="609" t="s">
        <v>540</v>
      </c>
      <c r="AA1479" s="609" t="s">
        <v>3137</v>
      </c>
    </row>
    <row r="1480" spans="1:27" ht="18">
      <c r="A1480" s="2714"/>
      <c r="B1480" s="371">
        <v>107</v>
      </c>
      <c r="C1480" s="371" t="s">
        <v>2791</v>
      </c>
      <c r="D1480" s="2716">
        <f t="shared" si="129"/>
        <v>0</v>
      </c>
      <c r="E1480" s="2721">
        <v>1</v>
      </c>
      <c r="F1480" s="293"/>
      <c r="G1480" s="2284" t="s">
        <v>2792</v>
      </c>
      <c r="H1480" s="2275"/>
      <c r="I1480" s="2275"/>
      <c r="J1480" s="1476">
        <f t="shared" si="130"/>
        <v>0</v>
      </c>
      <c r="K1480" s="2275"/>
      <c r="L1480" s="2275"/>
      <c r="M1480" s="2275"/>
      <c r="N1480" s="1477">
        <f t="shared" si="131"/>
        <v>0</v>
      </c>
      <c r="O1480" s="437"/>
      <c r="P1480" s="438"/>
      <c r="Q1480" s="442"/>
      <c r="R1480" s="443"/>
      <c r="S1480" s="364"/>
      <c r="Z1480" s="609" t="s">
        <v>540</v>
      </c>
      <c r="AA1480" s="609" t="s">
        <v>3137</v>
      </c>
    </row>
    <row r="1481" spans="1:27" ht="18">
      <c r="A1481" s="2714"/>
      <c r="B1481" s="371">
        <v>108</v>
      </c>
      <c r="C1481" s="371" t="s">
        <v>2791</v>
      </c>
      <c r="D1481" s="2716">
        <f t="shared" si="129"/>
        <v>0</v>
      </c>
      <c r="E1481" s="2721">
        <v>1</v>
      </c>
      <c r="F1481" s="293"/>
      <c r="G1481" s="2284" t="s">
        <v>2792</v>
      </c>
      <c r="H1481" s="2275"/>
      <c r="I1481" s="2275"/>
      <c r="J1481" s="1476">
        <f t="shared" si="130"/>
        <v>0</v>
      </c>
      <c r="K1481" s="2275"/>
      <c r="L1481" s="2275"/>
      <c r="M1481" s="2275"/>
      <c r="N1481" s="1477">
        <f t="shared" si="131"/>
        <v>0</v>
      </c>
      <c r="O1481" s="437"/>
      <c r="P1481" s="438"/>
      <c r="Q1481" s="442"/>
      <c r="R1481" s="443"/>
      <c r="S1481" s="364"/>
      <c r="Z1481" s="609" t="s">
        <v>540</v>
      </c>
      <c r="AA1481" s="609" t="s">
        <v>3137</v>
      </c>
    </row>
    <row r="1482" spans="1:27" ht="18.75" thickBot="1">
      <c r="A1482" s="2714"/>
      <c r="B1482" s="371"/>
      <c r="C1482" s="371"/>
      <c r="D1482" s="2716">
        <f t="shared" si="129"/>
        <v>1</v>
      </c>
      <c r="E1482" s="2721" t="s">
        <v>2751</v>
      </c>
      <c r="F1482" s="293"/>
      <c r="G1482" s="2234" t="s">
        <v>2752</v>
      </c>
      <c r="H1482" s="2235">
        <f t="shared" ref="H1482:N1482" si="132">SUMPRODUCT($E1473:$E1481,H1473:H1481)</f>
        <v>0</v>
      </c>
      <c r="I1482" s="2235">
        <f t="shared" si="132"/>
        <v>0</v>
      </c>
      <c r="J1482" s="2235">
        <f t="shared" si="132"/>
        <v>0</v>
      </c>
      <c r="K1482" s="2430">
        <f t="shared" si="132"/>
        <v>0</v>
      </c>
      <c r="L1482" s="2430">
        <f t="shared" si="132"/>
        <v>0</v>
      </c>
      <c r="M1482" s="2235">
        <f t="shared" si="132"/>
        <v>0</v>
      </c>
      <c r="N1482" s="2431">
        <f t="shared" si="132"/>
        <v>0</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0</v>
      </c>
      <c r="I1485" s="351"/>
      <c r="J1485" s="351"/>
      <c r="K1485" s="351"/>
      <c r="L1485" s="351"/>
      <c r="M1485" s="351"/>
      <c r="N1485" s="2252">
        <f ca="1">HYPERLINK("#'"&amp;$G$1&amp;"'!"&amp;ADDRESS(ROW(Notes!H1003),COLUMN(Notes!H1003),4),H1003)</f>
        <v>0</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0</v>
      </c>
      <c r="I1486" s="351"/>
      <c r="J1486" s="351"/>
      <c r="K1486" s="351"/>
      <c r="L1486" s="351"/>
      <c r="M1486" s="351"/>
      <c r="N1486" s="456">
        <f>N1482</f>
        <v>0</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6534</v>
      </c>
      <c r="F1491" s="293"/>
      <c r="G1491" s="372" t="str">
        <f>"("&amp;B1491&amp;")"&amp;D1491</f>
        <v>(4)本期其他应收款坏账准备的变动情况（备选格式）</v>
      </c>
      <c r="H1491" s="2315">
        <f>$A1491</f>
        <v>122104</v>
      </c>
      <c r="I1491" s="343" t="s">
        <v>5626</v>
      </c>
      <c r="J1491" s="301" t="s">
        <v>5627</v>
      </c>
      <c r="K1491" s="2210">
        <f>H1508</f>
        <v>0</v>
      </c>
      <c r="L1491" s="349" t="str">
        <f>IF($I1491="适用",IF(ROUND(K$987-K1491,2)=0,"F/S",ROUND(K$987-K1491,2)),"#N/A")</f>
        <v>F/S</v>
      </c>
      <c r="M1491" s="301" t="s">
        <v>5628</v>
      </c>
      <c r="N1491" s="2210">
        <f>I1508</f>
        <v>0</v>
      </c>
      <c r="O1491" s="349">
        <f>IF($I1491="适用",IF(ROUND(N$987-N1491,2)=0,"F/S",ROUND(N$987-N1491,2)),"#N/A")</f>
        <v>4191637.3</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187" t="s">
        <v>5854</v>
      </c>
      <c r="H1494" s="2291" t="s">
        <v>3348</v>
      </c>
      <c r="I1494" s="2291" t="s">
        <v>3349</v>
      </c>
      <c r="J1494" s="2291" t="s">
        <v>3350</v>
      </c>
      <c r="K1494" s="3237"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226"/>
      <c r="H1495" s="2294" t="s">
        <v>3352</v>
      </c>
      <c r="I1495" s="2294" t="s">
        <v>3353</v>
      </c>
      <c r="J1495" s="2294" t="s">
        <v>3354</v>
      </c>
      <c r="K1495" s="3208"/>
      <c r="L1495" s="355" t="s">
        <v>6354</v>
      </c>
      <c r="M1495" s="301"/>
      <c r="N1495" s="391"/>
      <c r="O1495" s="349"/>
      <c r="P1495" s="301"/>
      <c r="S1495" s="364"/>
      <c r="Z1495" s="609" t="s">
        <v>540</v>
      </c>
      <c r="AA1495" s="609" t="s">
        <v>3137</v>
      </c>
    </row>
    <row r="1496" spans="1:27" ht="18">
      <c r="A1496" s="2714"/>
      <c r="B1496" s="371">
        <v>101</v>
      </c>
      <c r="C1496" s="371"/>
      <c r="D1496" s="2716">
        <f t="shared" ref="D1496:D1508" si="133">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3"/>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3"/>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3"/>
        <v>1</v>
      </c>
      <c r="E1499" s="2721">
        <v>1</v>
      </c>
      <c r="F1499" s="293"/>
      <c r="G1499" s="1474" t="s">
        <v>5861</v>
      </c>
      <c r="H1499" s="309"/>
      <c r="I1499" s="309"/>
      <c r="J1499" s="1465">
        <v>0</v>
      </c>
      <c r="K1499" s="1477">
        <f t="shared" ref="K1499:K1506" si="134">SUM(H1499:J1499)</f>
        <v>0</v>
      </c>
      <c r="L1499" s="1493"/>
      <c r="M1499" s="301"/>
      <c r="N1499" s="439"/>
      <c r="O1499" s="349"/>
      <c r="P1499" s="301"/>
      <c r="S1499" s="364"/>
      <c r="Z1499" s="609" t="s">
        <v>540</v>
      </c>
      <c r="AA1499" s="609" t="s">
        <v>3137</v>
      </c>
    </row>
    <row r="1500" spans="1:27" ht="24">
      <c r="A1500" s="2714"/>
      <c r="B1500" s="371">
        <v>105</v>
      </c>
      <c r="C1500" s="371"/>
      <c r="D1500" s="2716">
        <f t="shared" si="133"/>
        <v>1</v>
      </c>
      <c r="E1500" s="2721">
        <v>1</v>
      </c>
      <c r="F1500" s="293"/>
      <c r="G1500" s="1474" t="s">
        <v>5862</v>
      </c>
      <c r="H1500" s="1465">
        <v>0</v>
      </c>
      <c r="I1500" s="1465">
        <v>0</v>
      </c>
      <c r="J1500" s="309"/>
      <c r="K1500" s="1477">
        <f t="shared" si="134"/>
        <v>0</v>
      </c>
      <c r="L1500" s="1493"/>
      <c r="M1500" s="301"/>
      <c r="N1500" s="2193"/>
      <c r="O1500" s="349"/>
      <c r="P1500" s="301"/>
      <c r="S1500" s="364"/>
      <c r="Z1500" s="609" t="s">
        <v>540</v>
      </c>
      <c r="AA1500" s="609" t="s">
        <v>3137</v>
      </c>
    </row>
    <row r="1501" spans="1:27" ht="24">
      <c r="A1501" s="2714"/>
      <c r="B1501" s="371">
        <v>106</v>
      </c>
      <c r="C1501" s="371"/>
      <c r="D1501" s="2716">
        <f t="shared" si="133"/>
        <v>1</v>
      </c>
      <c r="E1501" s="2721">
        <v>1</v>
      </c>
      <c r="F1501" s="293"/>
      <c r="G1501" s="1474" t="s">
        <v>5855</v>
      </c>
      <c r="H1501" s="1465">
        <v>0</v>
      </c>
      <c r="I1501" s="309"/>
      <c r="J1501" s="309"/>
      <c r="K1501" s="1477">
        <f t="shared" si="134"/>
        <v>0</v>
      </c>
      <c r="L1501" s="1493"/>
      <c r="M1501" s="301"/>
      <c r="N1501" s="391"/>
      <c r="O1501" s="349"/>
      <c r="P1501" s="301"/>
      <c r="S1501" s="364"/>
      <c r="Z1501" s="609" t="s">
        <v>540</v>
      </c>
      <c r="AA1501" s="609" t="s">
        <v>3137</v>
      </c>
    </row>
    <row r="1502" spans="1:27" ht="18">
      <c r="A1502" s="2714"/>
      <c r="B1502" s="371">
        <v>107</v>
      </c>
      <c r="C1502" s="371"/>
      <c r="D1502" s="2716">
        <f t="shared" si="133"/>
        <v>1</v>
      </c>
      <c r="E1502" s="2721">
        <v>1</v>
      </c>
      <c r="F1502" s="293"/>
      <c r="G1502" s="1474" t="s">
        <v>5856</v>
      </c>
      <c r="H1502" s="309"/>
      <c r="I1502" s="309"/>
      <c r="J1502" s="309"/>
      <c r="K1502" s="1477">
        <f t="shared" si="134"/>
        <v>0</v>
      </c>
      <c r="L1502" s="349"/>
      <c r="M1502" s="301"/>
      <c r="N1502" s="391"/>
      <c r="O1502" s="349"/>
      <c r="P1502" s="301"/>
      <c r="S1502" s="364"/>
      <c r="Z1502" s="609" t="s">
        <v>540</v>
      </c>
      <c r="AA1502" s="609" t="s">
        <v>3137</v>
      </c>
    </row>
    <row r="1503" spans="1:27" ht="18">
      <c r="A1503" s="2714"/>
      <c r="B1503" s="371">
        <v>108</v>
      </c>
      <c r="C1503" s="371"/>
      <c r="D1503" s="2716">
        <f t="shared" si="133"/>
        <v>1</v>
      </c>
      <c r="E1503" s="2721">
        <v>-1</v>
      </c>
      <c r="F1503" s="293"/>
      <c r="G1503" s="1474" t="s">
        <v>5857</v>
      </c>
      <c r="H1503" s="309"/>
      <c r="I1503" s="309"/>
      <c r="J1503" s="309"/>
      <c r="K1503" s="1477">
        <f t="shared" si="134"/>
        <v>0</v>
      </c>
      <c r="L1503" s="349"/>
      <c r="M1503" s="301"/>
      <c r="N1503" s="391"/>
      <c r="O1503" s="349"/>
      <c r="P1503" s="301"/>
      <c r="S1503" s="364"/>
      <c r="Z1503" s="609" t="s">
        <v>540</v>
      </c>
      <c r="AA1503" s="609" t="s">
        <v>3137</v>
      </c>
    </row>
    <row r="1504" spans="1:27" ht="18">
      <c r="A1504" s="2714"/>
      <c r="B1504" s="371">
        <v>109</v>
      </c>
      <c r="C1504" s="371"/>
      <c r="D1504" s="2716">
        <f t="shared" si="133"/>
        <v>1</v>
      </c>
      <c r="E1504" s="2721">
        <v>-1</v>
      </c>
      <c r="F1504" s="293"/>
      <c r="G1504" s="603" t="s">
        <v>3356</v>
      </c>
      <c r="H1504" s="309"/>
      <c r="I1504" s="309"/>
      <c r="J1504" s="309"/>
      <c r="K1504" s="1477">
        <f t="shared" si="134"/>
        <v>0</v>
      </c>
      <c r="L1504" s="349"/>
      <c r="M1504" s="301"/>
      <c r="N1504" s="391"/>
      <c r="O1504" s="349"/>
      <c r="P1504" s="301"/>
      <c r="S1504" s="364"/>
      <c r="Z1504" s="609" t="s">
        <v>540</v>
      </c>
      <c r="AA1504" s="609" t="s">
        <v>3137</v>
      </c>
    </row>
    <row r="1505" spans="1:27" ht="18">
      <c r="A1505" s="2714"/>
      <c r="B1505" s="371">
        <v>110</v>
      </c>
      <c r="C1505" s="371"/>
      <c r="D1505" s="2716">
        <f t="shared" si="133"/>
        <v>1</v>
      </c>
      <c r="E1505" s="2721">
        <v>-1</v>
      </c>
      <c r="F1505" s="293"/>
      <c r="G1505" s="603" t="s">
        <v>3357</v>
      </c>
      <c r="H1505" s="309"/>
      <c r="I1505" s="309"/>
      <c r="J1505" s="309"/>
      <c r="K1505" s="1477">
        <f t="shared" si="134"/>
        <v>0</v>
      </c>
      <c r="L1505" s="349"/>
      <c r="M1505" s="301"/>
      <c r="N1505" s="391"/>
      <c r="O1505" s="349"/>
      <c r="P1505" s="301"/>
      <c r="S1505" s="364"/>
      <c r="Z1505" s="609" t="s">
        <v>540</v>
      </c>
      <c r="AA1505" s="609" t="s">
        <v>3137</v>
      </c>
    </row>
    <row r="1506" spans="1:27" ht="24">
      <c r="A1506" s="2714"/>
      <c r="B1506" s="371">
        <v>111</v>
      </c>
      <c r="C1506" s="371"/>
      <c r="D1506" s="2716">
        <f t="shared" si="133"/>
        <v>1</v>
      </c>
      <c r="E1506" s="2721">
        <v>1</v>
      </c>
      <c r="F1506" s="293"/>
      <c r="G1506" s="1474" t="s">
        <v>5858</v>
      </c>
      <c r="H1506" s="309"/>
      <c r="I1506" s="309"/>
      <c r="J1506" s="309"/>
      <c r="K1506" s="1477">
        <f t="shared" si="134"/>
        <v>0</v>
      </c>
      <c r="L1506" s="349"/>
      <c r="M1506" s="301"/>
      <c r="N1506" s="391"/>
      <c r="O1506" s="349"/>
      <c r="P1506" s="301"/>
      <c r="S1506" s="364"/>
      <c r="Z1506" s="609" t="s">
        <v>540</v>
      </c>
      <c r="AA1506" s="609" t="s">
        <v>3137</v>
      </c>
    </row>
    <row r="1507" spans="1:27" ht="18">
      <c r="A1507" s="2714"/>
      <c r="B1507" s="371">
        <v>112</v>
      </c>
      <c r="C1507" s="371" t="s">
        <v>2791</v>
      </c>
      <c r="D1507" s="2716">
        <f t="shared" si="133"/>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3"/>
        <v>1</v>
      </c>
      <c r="E1508" s="2721" t="s">
        <v>6556</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71"/>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5">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5"/>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5"/>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5"/>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5"/>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5"/>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t="str">
        <f>IF($I1520="适用",IF(ROUND(K$987-K1520,2)=0,"F/S",ROUND(K$987-K1520,2)),"#N/A")</f>
        <v>F/S</v>
      </c>
      <c r="M1520" s="301" t="s">
        <v>2745</v>
      </c>
      <c r="N1520" s="2210">
        <f>I1525</f>
        <v>0</v>
      </c>
      <c r="O1520" s="349">
        <f>IF($I1520="适用",IF(ROUND(N$987-N1520,2)=0,"F/S",ROUND(N$987-N1520,2)),"#N/A")</f>
        <v>4191637.3</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71"/>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36">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36"/>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36"/>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36"/>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36"/>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36"/>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71"/>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37">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37"/>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37"/>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37"/>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37"/>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37"/>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37"/>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37"/>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37"/>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37"/>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37"/>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37"/>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37"/>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37"/>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37"/>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71"/>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38">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38"/>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38"/>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38"/>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38"/>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38"/>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71"/>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39">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39"/>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39"/>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39"/>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39"/>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39"/>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71"/>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0">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0"/>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0"/>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0"/>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0"/>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0"/>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6532</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1">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1"/>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1"/>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1"/>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1"/>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1"/>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6532</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2">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2"/>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2"/>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2"/>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2"/>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2"/>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6532</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267" t="s">
        <v>47</v>
      </c>
      <c r="H1610" s="3215" t="s">
        <v>2776</v>
      </c>
      <c r="I1610" s="3215" t="s">
        <v>3027</v>
      </c>
      <c r="J1610" s="3215"/>
      <c r="K1610" s="3215" t="s">
        <v>3028</v>
      </c>
      <c r="L1610" s="3215"/>
      <c r="M1610" s="3215"/>
      <c r="N1610" s="3211" t="s">
        <v>2775</v>
      </c>
      <c r="O1610" s="355" t="s">
        <v>6176</v>
      </c>
      <c r="P1610" s="291"/>
      <c r="S1610" s="364"/>
      <c r="Z1610" s="609" t="s">
        <v>540</v>
      </c>
      <c r="AA1610" s="609" t="s">
        <v>3137</v>
      </c>
    </row>
    <row r="1611" spans="1:27" ht="18">
      <c r="A1611" s="2714"/>
      <c r="B1611" s="371"/>
      <c r="C1611" s="371"/>
      <c r="D1611" s="371"/>
      <c r="E1611" s="586" t="s">
        <v>2749</v>
      </c>
      <c r="F1611" s="363"/>
      <c r="G1611" s="3268"/>
      <c r="H1611" s="3219"/>
      <c r="I1611" s="2295" t="s">
        <v>2920</v>
      </c>
      <c r="J1611" s="2295" t="s">
        <v>932</v>
      </c>
      <c r="K1611" s="2295" t="s">
        <v>3029</v>
      </c>
      <c r="L1611" s="2295" t="s">
        <v>3030</v>
      </c>
      <c r="M1611" s="2295" t="s">
        <v>932</v>
      </c>
      <c r="N1611" s="3212"/>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3">SUMPRODUCT($E1611:$E1613,H1611:H1613)</f>
        <v>0</v>
      </c>
      <c r="I1614" s="1527">
        <f t="shared" si="143"/>
        <v>0</v>
      </c>
      <c r="J1614" s="1527">
        <f t="shared" si="143"/>
        <v>0</v>
      </c>
      <c r="K1614" s="1527">
        <f t="shared" si="143"/>
        <v>0</v>
      </c>
      <c r="L1614" s="1527">
        <f t="shared" si="143"/>
        <v>0</v>
      </c>
      <c r="M1614" s="1527">
        <f t="shared" si="143"/>
        <v>0</v>
      </c>
      <c r="N1614" s="1528">
        <f t="shared" si="143"/>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0</v>
      </c>
      <c r="L1616" s="342"/>
      <c r="M1616" s="306" t="s">
        <v>2741</v>
      </c>
      <c r="N1616" s="341">
        <f>VLOOKUP($A1616,Sheet_Trialbal,10,0)</f>
        <v>0</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0</v>
      </c>
      <c r="L1617" s="345" t="str">
        <f>IF($I1617="适用",IF(ROUND(K$1616-K1617,2)=0,"F/S",ROUND(K$1616-K1617,2)),"#N/A")</f>
        <v>F/S</v>
      </c>
      <c r="M1617" s="301" t="s">
        <v>2745</v>
      </c>
      <c r="N1617" s="2210">
        <f>M1634</f>
        <v>0</v>
      </c>
      <c r="O1617" s="345" t="str">
        <f>IF($I1617="适用",IF(ROUND(N$1616-N1617,2)=0,"F/S",ROUND(N$1616-N1617,2)),"#N/A")</f>
        <v>F/S</v>
      </c>
      <c r="P1617" s="301"/>
      <c r="Q1617" s="290" t="str">
        <f>IF($I1617="不适用","",IF(ROUND(SUM($H$1622:$M$1634),2)=0,"请输入",""))</f>
        <v>请输入</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220" t="s">
        <v>3216</v>
      </c>
      <c r="H1620" s="3183" t="str">
        <f>$V$2</f>
        <v>2019年12月31日</v>
      </c>
      <c r="I1620" s="3184"/>
      <c r="J1620" s="3185"/>
      <c r="K1620" s="3183" t="str">
        <f>$V$3</f>
        <v>2018年12月31日</v>
      </c>
      <c r="L1620" s="3184"/>
      <c r="M1620" s="3184"/>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221"/>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4">IF(OR(G1622="*",G1622="",G1622=0),0,COUNTIF($G$1622:$G$1634,G1622))</f>
        <v>1</v>
      </c>
      <c r="E1622" s="2721">
        <v>1</v>
      </c>
      <c r="F1622" s="294"/>
      <c r="G1622" s="1474" t="s">
        <v>299</v>
      </c>
      <c r="H1622" s="2275"/>
      <c r="I1622" s="2275"/>
      <c r="J1622" s="1476">
        <f>H1622-I1622</f>
        <v>0</v>
      </c>
      <c r="K1622" s="2275"/>
      <c r="L1622" s="2275"/>
      <c r="M1622" s="1477">
        <f t="shared" ref="M1622:M1633" si="145">K1622-L1622</f>
        <v>0</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6574</v>
      </c>
    </row>
    <row r="1623" spans="1:29" ht="18">
      <c r="A1623" s="2714"/>
      <c r="B1623" s="371">
        <v>102</v>
      </c>
      <c r="C1623" s="371"/>
      <c r="D1623" s="2716">
        <f t="shared" si="144"/>
        <v>1</v>
      </c>
      <c r="E1623" s="2721">
        <v>1</v>
      </c>
      <c r="F1623" s="294"/>
      <c r="G1623" s="1474" t="s">
        <v>3218</v>
      </c>
      <c r="H1623" s="2275"/>
      <c r="I1623" s="2275"/>
      <c r="J1623" s="1476">
        <f t="shared" ref="J1623:J1633" si="146">H1623-I1623</f>
        <v>0</v>
      </c>
      <c r="K1623" s="2275"/>
      <c r="L1623" s="2275"/>
      <c r="M1623" s="1477">
        <f t="shared" si="145"/>
        <v>0</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6574</v>
      </c>
    </row>
    <row r="1624" spans="1:29" ht="18">
      <c r="A1624" s="2714"/>
      <c r="B1624" s="371">
        <v>103</v>
      </c>
      <c r="C1624" s="371"/>
      <c r="D1624" s="2716">
        <f t="shared" si="144"/>
        <v>1</v>
      </c>
      <c r="E1624" s="2721">
        <v>1</v>
      </c>
      <c r="F1624" s="294"/>
      <c r="G1624" s="1474" t="s">
        <v>313</v>
      </c>
      <c r="H1624" s="2275"/>
      <c r="I1624" s="2275"/>
      <c r="J1624" s="1476">
        <f t="shared" si="146"/>
        <v>0</v>
      </c>
      <c r="K1624" s="2275"/>
      <c r="L1624" s="2275"/>
      <c r="M1624" s="1477">
        <f t="shared" si="145"/>
        <v>0</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6574</v>
      </c>
    </row>
    <row r="1625" spans="1:29" ht="18">
      <c r="A1625" s="2714"/>
      <c r="B1625" s="371">
        <v>104</v>
      </c>
      <c r="C1625" s="371"/>
      <c r="D1625" s="2716">
        <f t="shared" si="144"/>
        <v>1</v>
      </c>
      <c r="E1625" s="2721">
        <v>1</v>
      </c>
      <c r="F1625" s="294"/>
      <c r="G1625" s="1474" t="s">
        <v>339</v>
      </c>
      <c r="H1625" s="2275"/>
      <c r="I1625" s="2275"/>
      <c r="J1625" s="1476">
        <f t="shared" si="146"/>
        <v>0</v>
      </c>
      <c r="K1625" s="2275"/>
      <c r="L1625" s="2275"/>
      <c r="M1625" s="1477">
        <f t="shared" si="145"/>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6574</v>
      </c>
    </row>
    <row r="1626" spans="1:29" ht="18">
      <c r="A1626" s="2714"/>
      <c r="B1626" s="371">
        <v>105</v>
      </c>
      <c r="C1626" s="371"/>
      <c r="D1626" s="2716">
        <f t="shared" si="144"/>
        <v>1</v>
      </c>
      <c r="E1626" s="2721">
        <v>1</v>
      </c>
      <c r="F1626" s="294"/>
      <c r="G1626" s="1474" t="s">
        <v>346</v>
      </c>
      <c r="H1626" s="2275"/>
      <c r="I1626" s="2275"/>
      <c r="J1626" s="1476">
        <f t="shared" si="146"/>
        <v>0</v>
      </c>
      <c r="K1626" s="2275"/>
      <c r="L1626" s="2275"/>
      <c r="M1626" s="1477">
        <f t="shared" si="145"/>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6574</v>
      </c>
    </row>
    <row r="1627" spans="1:29" ht="24">
      <c r="A1627" s="2714"/>
      <c r="B1627" s="371">
        <v>106</v>
      </c>
      <c r="C1627" s="371"/>
      <c r="D1627" s="2716">
        <f t="shared" si="144"/>
        <v>1</v>
      </c>
      <c r="E1627" s="2721">
        <v>1</v>
      </c>
      <c r="F1627" s="294"/>
      <c r="G1627" s="1474" t="s">
        <v>3219</v>
      </c>
      <c r="H1627" s="2275"/>
      <c r="I1627" s="2275"/>
      <c r="J1627" s="1476">
        <f t="shared" si="146"/>
        <v>0</v>
      </c>
      <c r="K1627" s="2275"/>
      <c r="L1627" s="2275"/>
      <c r="M1627" s="1477">
        <f t="shared" si="145"/>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6574</v>
      </c>
    </row>
    <row r="1628" spans="1:29" ht="18">
      <c r="A1628" s="2714"/>
      <c r="B1628" s="371">
        <v>107</v>
      </c>
      <c r="C1628" s="371" t="s">
        <v>2791</v>
      </c>
      <c r="D1628" s="2716">
        <f t="shared" si="144"/>
        <v>1</v>
      </c>
      <c r="E1628" s="2721">
        <v>1</v>
      </c>
      <c r="F1628" s="294"/>
      <c r="G1628" s="2284" t="s">
        <v>692</v>
      </c>
      <c r="H1628" s="2275"/>
      <c r="I1628" s="2275"/>
      <c r="J1628" s="1476">
        <f t="shared" si="146"/>
        <v>0</v>
      </c>
      <c r="K1628" s="2275"/>
      <c r="L1628" s="2275"/>
      <c r="M1628" s="1477">
        <f t="shared" si="145"/>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6574</v>
      </c>
    </row>
    <row r="1629" spans="1:29" ht="18">
      <c r="A1629" s="2714"/>
      <c r="B1629" s="371">
        <v>108</v>
      </c>
      <c r="C1629" s="371" t="s">
        <v>2791</v>
      </c>
      <c r="D1629" s="2716">
        <f t="shared" si="144"/>
        <v>1</v>
      </c>
      <c r="E1629" s="2721">
        <v>1</v>
      </c>
      <c r="F1629" s="294"/>
      <c r="G1629" s="2284" t="s">
        <v>696</v>
      </c>
      <c r="H1629" s="2275"/>
      <c r="I1629" s="2275"/>
      <c r="J1629" s="1476">
        <f t="shared" si="146"/>
        <v>0</v>
      </c>
      <c r="K1629" s="2275"/>
      <c r="L1629" s="2275"/>
      <c r="M1629" s="1477">
        <f t="shared" si="145"/>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6574</v>
      </c>
    </row>
    <row r="1630" spans="1:29" ht="18">
      <c r="A1630" s="2714"/>
      <c r="B1630" s="371">
        <v>109</v>
      </c>
      <c r="C1630" s="371" t="s">
        <v>2791</v>
      </c>
      <c r="D1630" s="2716">
        <f t="shared" si="144"/>
        <v>0</v>
      </c>
      <c r="E1630" s="2721">
        <v>1</v>
      </c>
      <c r="F1630" s="294"/>
      <c r="G1630" s="2284" t="s">
        <v>2792</v>
      </c>
      <c r="H1630" s="2275"/>
      <c r="I1630" s="2275"/>
      <c r="J1630" s="1476">
        <f t="shared" si="146"/>
        <v>0</v>
      </c>
      <c r="K1630" s="2275"/>
      <c r="L1630" s="2275"/>
      <c r="M1630" s="1477">
        <f t="shared" si="145"/>
        <v>0</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4"/>
        <v>0</v>
      </c>
      <c r="E1631" s="2721">
        <v>1</v>
      </c>
      <c r="F1631" s="294"/>
      <c r="G1631" s="2284" t="s">
        <v>2792</v>
      </c>
      <c r="H1631" s="2275"/>
      <c r="I1631" s="2275"/>
      <c r="J1631" s="1476">
        <f t="shared" si="146"/>
        <v>0</v>
      </c>
      <c r="K1631" s="2275"/>
      <c r="L1631" s="2275"/>
      <c r="M1631" s="1477">
        <f t="shared" si="145"/>
        <v>0</v>
      </c>
      <c r="N1631" s="291"/>
      <c r="O1631" s="291"/>
      <c r="P1631" s="291"/>
      <c r="Q1631" s="367"/>
      <c r="R1631" s="367"/>
      <c r="S1631" s="364"/>
      <c r="Z1631" s="609" t="s">
        <v>670</v>
      </c>
      <c r="AA1631" s="609" t="s">
        <v>5656</v>
      </c>
    </row>
    <row r="1632" spans="1:29" ht="18">
      <c r="A1632" s="2714"/>
      <c r="B1632" s="371">
        <v>111</v>
      </c>
      <c r="C1632" s="371" t="s">
        <v>2791</v>
      </c>
      <c r="D1632" s="2716">
        <f t="shared" si="144"/>
        <v>0</v>
      </c>
      <c r="E1632" s="2721">
        <v>1</v>
      </c>
      <c r="F1632" s="294"/>
      <c r="G1632" s="2284" t="s">
        <v>2792</v>
      </c>
      <c r="H1632" s="2275"/>
      <c r="I1632" s="2275"/>
      <c r="J1632" s="1476">
        <f t="shared" si="146"/>
        <v>0</v>
      </c>
      <c r="K1632" s="2275"/>
      <c r="L1632" s="2275"/>
      <c r="M1632" s="1477">
        <f t="shared" si="145"/>
        <v>0</v>
      </c>
      <c r="N1632" s="291"/>
      <c r="O1632" s="291"/>
      <c r="P1632" s="291"/>
      <c r="Q1632" s="367"/>
      <c r="R1632" s="367"/>
      <c r="S1632" s="364"/>
      <c r="Z1632" s="609" t="s">
        <v>670</v>
      </c>
      <c r="AA1632" s="609" t="s">
        <v>5656</v>
      </c>
    </row>
    <row r="1633" spans="1:27" ht="18">
      <c r="A1633" s="2714"/>
      <c r="B1633" s="371">
        <v>112</v>
      </c>
      <c r="C1633" s="371" t="s">
        <v>2791</v>
      </c>
      <c r="D1633" s="2716">
        <f t="shared" si="144"/>
        <v>0</v>
      </c>
      <c r="E1633" s="2721">
        <v>1</v>
      </c>
      <c r="F1633" s="294"/>
      <c r="G1633" s="2284" t="s">
        <v>2792</v>
      </c>
      <c r="H1633" s="2275"/>
      <c r="I1633" s="2275"/>
      <c r="J1633" s="1476">
        <f t="shared" si="146"/>
        <v>0</v>
      </c>
      <c r="K1633" s="2275"/>
      <c r="L1633" s="2275"/>
      <c r="M1633" s="1477">
        <f t="shared" si="145"/>
        <v>0</v>
      </c>
      <c r="N1633" s="291"/>
      <c r="O1633" s="291"/>
      <c r="P1633" s="291"/>
      <c r="Q1633" s="367"/>
      <c r="R1633" s="367"/>
      <c r="S1633" s="364"/>
      <c r="Z1633" s="609" t="s">
        <v>670</v>
      </c>
      <c r="AA1633" s="609" t="s">
        <v>5656</v>
      </c>
    </row>
    <row r="1634" spans="1:27" ht="18.75" thickBot="1">
      <c r="A1634" s="2714"/>
      <c r="B1634" s="371"/>
      <c r="C1634" s="371"/>
      <c r="D1634" s="2716">
        <f t="shared" si="144"/>
        <v>1</v>
      </c>
      <c r="E1634" s="2721" t="s">
        <v>2751</v>
      </c>
      <c r="F1634" s="294"/>
      <c r="G1634" s="374" t="s">
        <v>2752</v>
      </c>
      <c r="H1634" s="1478">
        <f t="shared" ref="H1634:M1634" si="147">SUMPRODUCT($E1621:$E1633,H1621:H1633)</f>
        <v>0</v>
      </c>
      <c r="I1634" s="1478">
        <f t="shared" si="147"/>
        <v>0</v>
      </c>
      <c r="J1634" s="1478">
        <f t="shared" si="147"/>
        <v>0</v>
      </c>
      <c r="K1634" s="1478">
        <f t="shared" si="147"/>
        <v>0</v>
      </c>
      <c r="L1634" s="1478">
        <f t="shared" si="147"/>
        <v>0</v>
      </c>
      <c r="M1634" s="1479">
        <f t="shared" si="147"/>
        <v>0</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71"/>
      <c r="L1636" s="315"/>
      <c r="M1636" s="301"/>
      <c r="N1636" s="355"/>
      <c r="O1636" s="315"/>
      <c r="P1636" s="301"/>
      <c r="Q1636" s="290" t="str">
        <f>IF($I1636="不适用","",IF(ROUND(SUM($H$1641:$M$1653),2)=0,"请输入",""))</f>
        <v>请输入</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220" t="s">
        <v>3216</v>
      </c>
      <c r="H1639" s="3141" t="str">
        <f>$V$3</f>
        <v>2018年12月31日</v>
      </c>
      <c r="I1639" s="3188" t="s">
        <v>5354</v>
      </c>
      <c r="J1639" s="3188"/>
      <c r="K1639" s="3188" t="s">
        <v>5355</v>
      </c>
      <c r="L1639" s="3188"/>
      <c r="M1639" s="3233"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221"/>
      <c r="H1640" s="3142"/>
      <c r="I1640" s="2283" t="s">
        <v>2920</v>
      </c>
      <c r="J1640" s="2283" t="s">
        <v>932</v>
      </c>
      <c r="K1640" s="2283" t="s">
        <v>3223</v>
      </c>
      <c r="L1640" s="2283" t="s">
        <v>932</v>
      </c>
      <c r="M1640" s="3234"/>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48">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48"/>
        <v>1</v>
      </c>
      <c r="E1642" s="2721">
        <v>1</v>
      </c>
      <c r="F1642" s="294"/>
      <c r="G1642" s="1474" t="s">
        <v>3218</v>
      </c>
      <c r="H1642" s="2275"/>
      <c r="I1642" s="2275"/>
      <c r="J1642" s="2275"/>
      <c r="K1642" s="2275"/>
      <c r="L1642" s="2275"/>
      <c r="M1642" s="1477">
        <f t="shared" ref="M1642:M1652" si="149">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48"/>
        <v>1</v>
      </c>
      <c r="E1643" s="2721">
        <v>1</v>
      </c>
      <c r="F1643" s="294"/>
      <c r="G1643" s="1474" t="s">
        <v>313</v>
      </c>
      <c r="H1643" s="2275"/>
      <c r="I1643" s="2275"/>
      <c r="J1643" s="2275"/>
      <c r="K1643" s="2275"/>
      <c r="L1643" s="2275"/>
      <c r="M1643" s="1477">
        <f t="shared" si="149"/>
        <v>0</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48"/>
        <v>1</v>
      </c>
      <c r="E1644" s="2721">
        <v>1</v>
      </c>
      <c r="F1644" s="294"/>
      <c r="G1644" s="1474" t="s">
        <v>339</v>
      </c>
      <c r="H1644" s="2275"/>
      <c r="I1644" s="2275"/>
      <c r="J1644" s="2275"/>
      <c r="K1644" s="2275"/>
      <c r="L1644" s="2275"/>
      <c r="M1644" s="1477">
        <f t="shared" si="149"/>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48"/>
        <v>1</v>
      </c>
      <c r="E1645" s="2721">
        <v>1</v>
      </c>
      <c r="F1645" s="294"/>
      <c r="G1645" s="1474" t="s">
        <v>346</v>
      </c>
      <c r="H1645" s="2275"/>
      <c r="I1645" s="2275"/>
      <c r="J1645" s="2275"/>
      <c r="K1645" s="2275"/>
      <c r="L1645" s="2275"/>
      <c r="M1645" s="1477">
        <f t="shared" si="149"/>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48"/>
        <v>1</v>
      </c>
      <c r="E1646" s="2721">
        <v>1</v>
      </c>
      <c r="F1646" s="294"/>
      <c r="G1646" s="1474" t="s">
        <v>3219</v>
      </c>
      <c r="H1646" s="2275"/>
      <c r="I1646" s="2275"/>
      <c r="J1646" s="2275"/>
      <c r="K1646" s="2275"/>
      <c r="L1646" s="2275"/>
      <c r="M1646" s="1477">
        <f t="shared" si="149"/>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48"/>
        <v>1</v>
      </c>
      <c r="E1647" s="2721">
        <v>1</v>
      </c>
      <c r="F1647" s="294"/>
      <c r="G1647" s="2284" t="s">
        <v>692</v>
      </c>
      <c r="H1647" s="2275"/>
      <c r="I1647" s="2275"/>
      <c r="J1647" s="2275"/>
      <c r="K1647" s="2275"/>
      <c r="L1647" s="2275"/>
      <c r="M1647" s="1477">
        <f t="shared" si="149"/>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48"/>
        <v>1</v>
      </c>
      <c r="E1648" s="2721">
        <v>1</v>
      </c>
      <c r="F1648" s="294"/>
      <c r="G1648" s="2284" t="s">
        <v>696</v>
      </c>
      <c r="H1648" s="2275"/>
      <c r="I1648" s="2275"/>
      <c r="J1648" s="2275"/>
      <c r="K1648" s="2275"/>
      <c r="L1648" s="2275"/>
      <c r="M1648" s="1477">
        <f t="shared" si="149"/>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48"/>
        <v>0</v>
      </c>
      <c r="E1649" s="2721">
        <v>1</v>
      </c>
      <c r="F1649" s="294"/>
      <c r="G1649" s="2284" t="s">
        <v>2792</v>
      </c>
      <c r="H1649" s="2275"/>
      <c r="I1649" s="2275"/>
      <c r="J1649" s="2275"/>
      <c r="K1649" s="2275"/>
      <c r="L1649" s="2275"/>
      <c r="M1649" s="1477">
        <f t="shared" si="149"/>
        <v>0</v>
      </c>
      <c r="N1649" s="423"/>
      <c r="O1649" s="456"/>
      <c r="P1649" s="456"/>
      <c r="S1649" s="364"/>
      <c r="Z1649" s="609" t="s">
        <v>670</v>
      </c>
      <c r="AA1649" s="609" t="s">
        <v>5656</v>
      </c>
    </row>
    <row r="1650" spans="1:29" ht="18">
      <c r="A1650" s="2714"/>
      <c r="B1650" s="371">
        <v>110</v>
      </c>
      <c r="C1650" s="371" t="s">
        <v>2791</v>
      </c>
      <c r="D1650" s="2716">
        <f t="shared" si="148"/>
        <v>0</v>
      </c>
      <c r="E1650" s="2721">
        <v>1</v>
      </c>
      <c r="F1650" s="294"/>
      <c r="G1650" s="2284" t="s">
        <v>2792</v>
      </c>
      <c r="H1650" s="2275"/>
      <c r="I1650" s="2275"/>
      <c r="J1650" s="2275"/>
      <c r="K1650" s="2275"/>
      <c r="L1650" s="2275"/>
      <c r="M1650" s="1477">
        <f t="shared" si="149"/>
        <v>0</v>
      </c>
      <c r="N1650" s="423"/>
      <c r="O1650" s="456"/>
      <c r="P1650" s="456"/>
      <c r="S1650" s="364"/>
      <c r="Z1650" s="609" t="s">
        <v>670</v>
      </c>
      <c r="AA1650" s="609" t="s">
        <v>5656</v>
      </c>
    </row>
    <row r="1651" spans="1:29" ht="18">
      <c r="A1651" s="2714"/>
      <c r="B1651" s="371">
        <v>111</v>
      </c>
      <c r="C1651" s="371" t="s">
        <v>2791</v>
      </c>
      <c r="D1651" s="2716">
        <f t="shared" si="148"/>
        <v>0</v>
      </c>
      <c r="E1651" s="2721">
        <v>1</v>
      </c>
      <c r="F1651" s="294"/>
      <c r="G1651" s="2284" t="s">
        <v>2792</v>
      </c>
      <c r="H1651" s="2275"/>
      <c r="I1651" s="2275"/>
      <c r="J1651" s="2275"/>
      <c r="K1651" s="2275"/>
      <c r="L1651" s="2275"/>
      <c r="M1651" s="1477">
        <f t="shared" si="149"/>
        <v>0</v>
      </c>
      <c r="N1651" s="423"/>
      <c r="O1651" s="456"/>
      <c r="P1651" s="456"/>
      <c r="S1651" s="364"/>
      <c r="Z1651" s="609" t="s">
        <v>670</v>
      </c>
      <c r="AA1651" s="609" t="s">
        <v>5656</v>
      </c>
    </row>
    <row r="1652" spans="1:29" ht="18">
      <c r="A1652" s="2714"/>
      <c r="B1652" s="371">
        <v>112</v>
      </c>
      <c r="C1652" s="371" t="s">
        <v>2791</v>
      </c>
      <c r="D1652" s="2716">
        <f t="shared" si="148"/>
        <v>0</v>
      </c>
      <c r="E1652" s="2721">
        <v>1</v>
      </c>
      <c r="F1652" s="294"/>
      <c r="G1652" s="2284" t="s">
        <v>2792</v>
      </c>
      <c r="H1652" s="2275"/>
      <c r="I1652" s="2275"/>
      <c r="J1652" s="2275"/>
      <c r="K1652" s="2275"/>
      <c r="L1652" s="2275"/>
      <c r="M1652" s="1477">
        <f t="shared" si="149"/>
        <v>0</v>
      </c>
      <c r="N1652" s="423"/>
      <c r="O1652" s="456"/>
      <c r="P1652" s="456"/>
      <c r="S1652" s="364"/>
      <c r="Z1652" s="609" t="s">
        <v>670</v>
      </c>
      <c r="AA1652" s="609" t="s">
        <v>5656</v>
      </c>
    </row>
    <row r="1653" spans="1:29" ht="18.75" thickBot="1">
      <c r="A1653" s="2714"/>
      <c r="B1653" s="371"/>
      <c r="C1653" s="371"/>
      <c r="D1653" s="2716">
        <f t="shared" si="148"/>
        <v>1</v>
      </c>
      <c r="E1653" s="2721" t="s">
        <v>3032</v>
      </c>
      <c r="F1653" s="294"/>
      <c r="G1653" s="374" t="s">
        <v>2752</v>
      </c>
      <c r="H1653" s="1478">
        <f t="shared" ref="H1653:M1653" si="150">SUMPRODUCT($E1640:$E1652,H1640:H1652)</f>
        <v>0</v>
      </c>
      <c r="I1653" s="1478">
        <f t="shared" si="150"/>
        <v>0</v>
      </c>
      <c r="J1653" s="1478">
        <f t="shared" si="150"/>
        <v>0</v>
      </c>
      <c r="K1653" s="1478">
        <f t="shared" si="150"/>
        <v>0</v>
      </c>
      <c r="L1653" s="1478">
        <f t="shared" si="150"/>
        <v>0</v>
      </c>
      <c r="M1653" s="1479">
        <f t="shared" si="150"/>
        <v>0</v>
      </c>
      <c r="N1653" s="1595" t="str">
        <f ca="1">HYPERLINK("#'"&amp;$G$1&amp;"'!"&amp;ADDRESS(ROW(Notes!L4880),COLUMN(Notes!L4880),4),"* 请勿删除此行！点击往勾稽单元格，F5+Enter返回")</f>
        <v>* 请勿删除此行！点击往勾稽单元格，F5+Enter返回</v>
      </c>
      <c r="O1653" s="1531">
        <f t="shared" ref="O1653:P1653" ca="1" si="151">SUM(O1641:O1652)</f>
        <v>0</v>
      </c>
      <c r="P1653" s="1531">
        <f t="shared" ca="1" si="151"/>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6532</v>
      </c>
      <c r="F1655" s="294"/>
      <c r="G1655" s="372" t="str">
        <f>"("&amp;B1655&amp;")"&amp;D1655</f>
        <v>(3)存货期末余额中含有借款费用资本化金额的说明</v>
      </c>
      <c r="H1655" s="1517" t="str">
        <f>$A1655</f>
        <v>1400t</v>
      </c>
      <c r="I1655" s="343" t="s">
        <v>5972</v>
      </c>
      <c r="J1655" s="301"/>
      <c r="K1655" s="3071"/>
      <c r="L1655" s="315"/>
      <c r="M1655" s="301"/>
      <c r="N1655" s="3071"/>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2">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2"/>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2"/>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2"/>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2"/>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2"/>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71"/>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3">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3"/>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3"/>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3"/>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3"/>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3"/>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6534</v>
      </c>
      <c r="F1682" s="294"/>
      <c r="G1682" s="307" t="str">
        <f>"("&amp;B1682&amp;")"&amp;D1682</f>
        <v>(5)开发成本</v>
      </c>
      <c r="H1682" s="1517" t="str">
        <f>$A1682</f>
        <v>1400d</v>
      </c>
      <c r="I1682" s="343" t="s">
        <v>5966</v>
      </c>
      <c r="J1682" s="301"/>
      <c r="K1682" s="3071"/>
      <c r="L1682" s="315"/>
      <c r="M1682" s="301"/>
      <c r="N1682" s="3071"/>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4">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4"/>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4"/>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4"/>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4"/>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4"/>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5">L1690</f>
        <v>0</v>
      </c>
      <c r="M1694" s="456">
        <f t="shared" si="155"/>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6534</v>
      </c>
      <c r="F1699" s="294"/>
      <c r="G1699" s="307" t="str">
        <f>"("&amp;B1699&amp;")"&amp;D1699</f>
        <v>(6)开发产品</v>
      </c>
      <c r="H1699" s="1517" t="str">
        <f>$A1699</f>
        <v>1400e</v>
      </c>
      <c r="I1699" s="343" t="s">
        <v>5966</v>
      </c>
      <c r="J1699" s="301"/>
      <c r="K1699" s="3071"/>
      <c r="L1699" s="315"/>
      <c r="M1699" s="301"/>
      <c r="N1699" s="3071"/>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56">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56"/>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56"/>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56"/>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56"/>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56"/>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6534</v>
      </c>
      <c r="F1716" s="294"/>
      <c r="G1716" s="307" t="str">
        <f>"("&amp;B1716&amp;")"&amp;D1716</f>
        <v>(7)周转房</v>
      </c>
      <c r="H1716" s="1517" t="str">
        <f>$A1716</f>
        <v>1400g</v>
      </c>
      <c r="I1716" s="343" t="s">
        <v>5965</v>
      </c>
      <c r="J1716" s="301"/>
      <c r="K1716" s="3071"/>
      <c r="L1716" s="315"/>
      <c r="M1716" s="301"/>
      <c r="N1716" s="3071"/>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57">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57"/>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57"/>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57"/>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57"/>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57"/>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6532</v>
      </c>
      <c r="F1726" s="294"/>
      <c r="G1726" s="307" t="str">
        <f>"("&amp;B1726&amp;")"&amp;D1726</f>
        <v>(8)期末用于债务担保的存货</v>
      </c>
      <c r="H1726" s="1517" t="str">
        <f>$A1726</f>
        <v>1400s</v>
      </c>
      <c r="I1726" s="343" t="s">
        <v>5966</v>
      </c>
      <c r="J1726" s="301"/>
      <c r="K1726" s="3071"/>
      <c r="L1726" s="315"/>
      <c r="M1726" s="301"/>
      <c r="N1726" s="3071"/>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58">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58"/>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58"/>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58"/>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58"/>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58"/>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6532</v>
      </c>
      <c r="F1736" s="294"/>
      <c r="G1736" s="372" t="str">
        <f>"("&amp;B1736&amp;")"&amp;D1736</f>
        <v>(9)存货跌价准备计提依据与转回情况</v>
      </c>
      <c r="H1736" s="1517" t="str">
        <f>$A1736</f>
        <v>1400c</v>
      </c>
      <c r="I1736" s="343" t="s">
        <v>5965</v>
      </c>
      <c r="J1736" s="301"/>
      <c r="K1736" s="3071"/>
      <c r="L1736" s="315"/>
      <c r="M1736" s="301"/>
      <c r="N1736" s="3071"/>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59">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59"/>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59"/>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59"/>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59"/>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59"/>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59"/>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59"/>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59"/>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59"/>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59"/>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59"/>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59"/>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6532</v>
      </c>
      <c r="F1753" s="294"/>
      <c r="G1753" s="372" t="str">
        <f>"("&amp;B1753&amp;")"&amp;D1753</f>
        <v>(10)存货补充资料</v>
      </c>
      <c r="H1753" s="1517" t="str">
        <f>$A1753</f>
        <v>1400x</v>
      </c>
      <c r="I1753" s="343" t="s">
        <v>5966</v>
      </c>
      <c r="J1753" s="301"/>
      <c r="K1753" s="391"/>
      <c r="L1753" s="315"/>
      <c r="M1753" s="301"/>
      <c r="N1753" s="3071"/>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0">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0"/>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0"/>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0"/>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0"/>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0"/>
        <v>1</v>
      </c>
      <c r="E1761" s="2721" t="s">
        <v>3032</v>
      </c>
      <c r="F1761" s="294"/>
      <c r="G1761" s="1529" t="s">
        <v>2752</v>
      </c>
      <c r="H1761" s="1527">
        <f t="shared" ref="H1761:N1761" si="161">SUMPRODUCT($E1755:$E1760,H1755:H1760)</f>
        <v>0</v>
      </c>
      <c r="I1761" s="1527">
        <f t="shared" si="161"/>
        <v>0</v>
      </c>
      <c r="J1761" s="1527">
        <f t="shared" si="161"/>
        <v>0</v>
      </c>
      <c r="K1761" s="1527">
        <f t="shared" si="161"/>
        <v>0</v>
      </c>
      <c r="L1761" s="1527">
        <f t="shared" si="161"/>
        <v>0</v>
      </c>
      <c r="M1761" s="1527">
        <f t="shared" si="161"/>
        <v>0</v>
      </c>
      <c r="N1761" s="1527">
        <f t="shared" si="161"/>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6532</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2">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2"/>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2"/>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2"/>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2"/>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2"/>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227" t="s">
        <v>47</v>
      </c>
      <c r="H1777" s="3168" t="str">
        <f>$V$3</f>
        <v>2018年12月31日</v>
      </c>
      <c r="I1777" s="3170" t="s">
        <v>3027</v>
      </c>
      <c r="J1777" s="3170" t="s">
        <v>3028</v>
      </c>
      <c r="K1777" s="3170"/>
      <c r="L1777" s="3151"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228"/>
      <c r="H1778" s="3169"/>
      <c r="I1778" s="3171"/>
      <c r="J1778" s="2294" t="s">
        <v>3299</v>
      </c>
      <c r="K1778" s="2239" t="s">
        <v>6132</v>
      </c>
      <c r="L1778" s="3152"/>
      <c r="M1778" s="301"/>
      <c r="N1778" s="391"/>
      <c r="O1778" s="349"/>
      <c r="P1778" s="301"/>
      <c r="S1778" s="364"/>
      <c r="Z1778" s="609" t="s">
        <v>716</v>
      </c>
      <c r="AA1778" s="609" t="s">
        <v>3283</v>
      </c>
    </row>
    <row r="1779" spans="1:29" ht="18">
      <c r="A1779" s="2714"/>
      <c r="B1779" s="371">
        <v>101</v>
      </c>
      <c r="C1779" s="371" t="s">
        <v>2791</v>
      </c>
      <c r="D1779" s="2716">
        <f t="shared" ref="D1779:D1787" si="163">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3"/>
        <v>0</v>
      </c>
      <c r="E1780" s="2721">
        <v>1</v>
      </c>
      <c r="F1780" s="371"/>
      <c r="G1780" s="2284" t="s">
        <v>2792</v>
      </c>
      <c r="H1780" s="2275"/>
      <c r="I1780" s="2275"/>
      <c r="J1780" s="2275"/>
      <c r="K1780" s="2275"/>
      <c r="L1780" s="1477">
        <f t="shared" ref="L1780:L1786" si="164">H1780+I1780-J1780-K1780</f>
        <v>0</v>
      </c>
      <c r="M1780" s="301"/>
      <c r="N1780" s="391"/>
      <c r="O1780" s="349"/>
      <c r="P1780" s="301"/>
      <c r="S1780" s="364"/>
      <c r="Z1780" s="609" t="s">
        <v>716</v>
      </c>
      <c r="AA1780" s="609" t="s">
        <v>3283</v>
      </c>
    </row>
    <row r="1781" spans="1:29" ht="18">
      <c r="A1781" s="2714"/>
      <c r="B1781" s="371">
        <v>103</v>
      </c>
      <c r="C1781" s="371" t="s">
        <v>2791</v>
      </c>
      <c r="D1781" s="2716">
        <f t="shared" si="163"/>
        <v>0</v>
      </c>
      <c r="E1781" s="2721">
        <v>1</v>
      </c>
      <c r="F1781" s="371"/>
      <c r="G1781" s="2284" t="s">
        <v>2792</v>
      </c>
      <c r="H1781" s="2275"/>
      <c r="I1781" s="2275"/>
      <c r="J1781" s="2275"/>
      <c r="K1781" s="2275"/>
      <c r="L1781" s="1477">
        <f t="shared" si="164"/>
        <v>0</v>
      </c>
      <c r="M1781" s="301"/>
      <c r="N1781" s="391"/>
      <c r="O1781" s="349"/>
      <c r="P1781" s="301"/>
      <c r="S1781" s="364"/>
      <c r="Z1781" s="609" t="s">
        <v>716</v>
      </c>
      <c r="AA1781" s="609" t="s">
        <v>3283</v>
      </c>
    </row>
    <row r="1782" spans="1:29" ht="18">
      <c r="A1782" s="2714"/>
      <c r="B1782" s="371">
        <v>104</v>
      </c>
      <c r="C1782" s="371" t="s">
        <v>2791</v>
      </c>
      <c r="D1782" s="2716">
        <f t="shared" si="163"/>
        <v>0</v>
      </c>
      <c r="E1782" s="2721">
        <v>1</v>
      </c>
      <c r="F1782" s="371"/>
      <c r="G1782" s="2284" t="s">
        <v>2792</v>
      </c>
      <c r="H1782" s="2275"/>
      <c r="I1782" s="2275"/>
      <c r="J1782" s="2275"/>
      <c r="K1782" s="2275"/>
      <c r="L1782" s="1477">
        <f t="shared" si="164"/>
        <v>0</v>
      </c>
      <c r="M1782" s="301"/>
      <c r="N1782" s="391"/>
      <c r="O1782" s="349"/>
      <c r="P1782" s="301"/>
      <c r="S1782" s="364"/>
      <c r="Z1782" s="609" t="s">
        <v>716</v>
      </c>
      <c r="AA1782" s="609" t="s">
        <v>3283</v>
      </c>
    </row>
    <row r="1783" spans="1:29" ht="18">
      <c r="A1783" s="2714"/>
      <c r="B1783" s="371">
        <v>105</v>
      </c>
      <c r="C1783" s="371" t="s">
        <v>2791</v>
      </c>
      <c r="D1783" s="2716">
        <f t="shared" si="163"/>
        <v>0</v>
      </c>
      <c r="E1783" s="2721">
        <v>1</v>
      </c>
      <c r="F1783" s="371"/>
      <c r="G1783" s="2284" t="s">
        <v>2792</v>
      </c>
      <c r="H1783" s="2275"/>
      <c r="I1783" s="2275"/>
      <c r="J1783" s="2275"/>
      <c r="K1783" s="2275"/>
      <c r="L1783" s="1477">
        <f t="shared" si="164"/>
        <v>0</v>
      </c>
      <c r="M1783" s="301"/>
      <c r="N1783" s="391"/>
      <c r="O1783" s="349"/>
      <c r="P1783" s="301"/>
      <c r="S1783" s="364"/>
      <c r="Z1783" s="609" t="s">
        <v>716</v>
      </c>
      <c r="AA1783" s="609" t="s">
        <v>3283</v>
      </c>
    </row>
    <row r="1784" spans="1:29" ht="18">
      <c r="A1784" s="2714"/>
      <c r="B1784" s="371">
        <v>106</v>
      </c>
      <c r="C1784" s="371" t="s">
        <v>2791</v>
      </c>
      <c r="D1784" s="2716">
        <f t="shared" si="163"/>
        <v>0</v>
      </c>
      <c r="E1784" s="2721">
        <v>1</v>
      </c>
      <c r="F1784" s="371"/>
      <c r="G1784" s="2284" t="s">
        <v>2792</v>
      </c>
      <c r="H1784" s="2275"/>
      <c r="I1784" s="2275"/>
      <c r="J1784" s="2275"/>
      <c r="K1784" s="2275"/>
      <c r="L1784" s="1477">
        <f t="shared" si="164"/>
        <v>0</v>
      </c>
      <c r="M1784" s="301"/>
      <c r="N1784" s="391"/>
      <c r="O1784" s="349"/>
      <c r="P1784" s="301"/>
      <c r="S1784" s="364"/>
      <c r="Z1784" s="609" t="s">
        <v>716</v>
      </c>
      <c r="AA1784" s="609" t="s">
        <v>3283</v>
      </c>
    </row>
    <row r="1785" spans="1:29" ht="18">
      <c r="A1785" s="2714"/>
      <c r="B1785" s="371">
        <v>107</v>
      </c>
      <c r="C1785" s="371" t="s">
        <v>2791</v>
      </c>
      <c r="D1785" s="2716">
        <f t="shared" si="163"/>
        <v>0</v>
      </c>
      <c r="E1785" s="2721">
        <v>1</v>
      </c>
      <c r="F1785" s="371"/>
      <c r="G1785" s="2284" t="s">
        <v>2792</v>
      </c>
      <c r="H1785" s="2275"/>
      <c r="I1785" s="2275"/>
      <c r="J1785" s="2275"/>
      <c r="K1785" s="2275"/>
      <c r="L1785" s="1477">
        <f t="shared" si="164"/>
        <v>0</v>
      </c>
      <c r="M1785" s="301"/>
      <c r="N1785" s="391"/>
      <c r="O1785" s="349"/>
      <c r="P1785" s="301"/>
      <c r="S1785" s="364"/>
      <c r="Z1785" s="609" t="s">
        <v>716</v>
      </c>
      <c r="AA1785" s="609" t="s">
        <v>3283</v>
      </c>
    </row>
    <row r="1786" spans="1:29" ht="18">
      <c r="A1786" s="2714"/>
      <c r="B1786" s="371">
        <v>108</v>
      </c>
      <c r="C1786" s="371" t="s">
        <v>2791</v>
      </c>
      <c r="D1786" s="2716">
        <f t="shared" si="163"/>
        <v>0</v>
      </c>
      <c r="E1786" s="2721">
        <v>1</v>
      </c>
      <c r="F1786" s="371"/>
      <c r="G1786" s="2284" t="s">
        <v>2792</v>
      </c>
      <c r="H1786" s="2275"/>
      <c r="I1786" s="2275"/>
      <c r="J1786" s="2275"/>
      <c r="K1786" s="2275"/>
      <c r="L1786" s="1477">
        <f t="shared" si="164"/>
        <v>0</v>
      </c>
      <c r="M1786" s="301"/>
      <c r="N1786" s="391"/>
      <c r="O1786" s="349"/>
      <c r="P1786" s="301"/>
      <c r="S1786" s="364"/>
      <c r="Z1786" s="609" t="s">
        <v>716</v>
      </c>
      <c r="AA1786" s="609" t="s">
        <v>3283</v>
      </c>
    </row>
    <row r="1787" spans="1:29" ht="18.75" thickBot="1">
      <c r="A1787" s="2714"/>
      <c r="B1787" s="371"/>
      <c r="C1787" s="371"/>
      <c r="D1787" s="2716">
        <f t="shared" si="163"/>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HYPERLINK("#'"&amp;$G$1&amp;"'!"&amp;ADDRESS(ROW(Notes!L4892),COLUMN(Notes!L4892),4),"*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5">SUM(K1793:K1796)</f>
        <v>0</v>
      </c>
      <c r="L1797" s="1531">
        <f t="shared" ca="1" si="165"/>
        <v>0</v>
      </c>
      <c r="M1797" s="1531">
        <f t="shared" si="165"/>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307" t="s">
        <v>5486</v>
      </c>
      <c r="H1802" s="3173" t="str">
        <f>$V$2</f>
        <v>2019年12月31日</v>
      </c>
      <c r="I1802" s="3174"/>
      <c r="J1802" s="3174"/>
      <c r="K1802" s="3175"/>
      <c r="L1802" s="3176" t="str">
        <f>$V$3</f>
        <v>2018年12月31日</v>
      </c>
      <c r="M1802" s="3177"/>
      <c r="N1802" s="3177"/>
      <c r="O1802" s="3177"/>
      <c r="P1802" s="355" t="s">
        <v>5276</v>
      </c>
      <c r="Q1802" s="442"/>
      <c r="R1802" s="443"/>
      <c r="S1802" s="364"/>
      <c r="Z1802" s="609" t="s">
        <v>749</v>
      </c>
      <c r="AA1802" s="609" t="s">
        <v>3305</v>
      </c>
    </row>
    <row r="1803" spans="1:27" ht="18">
      <c r="A1803" s="2714"/>
      <c r="B1803" s="371"/>
      <c r="C1803" s="371"/>
      <c r="D1803" s="2716"/>
      <c r="E1803" s="2716" t="s">
        <v>2749</v>
      </c>
      <c r="F1803" s="293"/>
      <c r="G1803" s="3308"/>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66">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66"/>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66"/>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66"/>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66"/>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66"/>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0</v>
      </c>
      <c r="L1811" s="342"/>
      <c r="M1811" s="306" t="s">
        <v>2741</v>
      </c>
      <c r="N1811" s="341">
        <f>VLOOKUP($A1811,Sheet_Trialbal,10,0)</f>
        <v>0</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0</v>
      </c>
      <c r="L1812" s="345" t="str">
        <f>IF($I1812="适用",IF(ROUND(K1811-K1812,2)=0,"F/S",ROUND(K1811-K1812,2)),"#N/A")</f>
        <v>F/S</v>
      </c>
      <c r="M1812" s="301" t="s">
        <v>2745</v>
      </c>
      <c r="N1812" s="2210">
        <f>I1820</f>
        <v>0</v>
      </c>
      <c r="O1812" s="345" t="str">
        <f>IF($I1812="适用",IF(ROUND(N1811-N1812,2)=0,"F/S",ROUND(N1811-N1812,2)),"#N/A")</f>
        <v>F/S</v>
      </c>
      <c r="P1812" s="301"/>
      <c r="Q1812" s="290" t="str">
        <f>IF($I1812="不适用","",IF(ROUND(SUM($H$1815:$I$1820),2)=0,"请输入",""))</f>
        <v>请输入</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67">IF(OR(G1815="*",G1815="",G1815=0),0,COUNTIF($G$1815:$G$1820,G1815))</f>
        <v>1</v>
      </c>
      <c r="E1815" s="2721">
        <v>1</v>
      </c>
      <c r="F1815" s="294"/>
      <c r="G1815" s="308" t="s">
        <v>3324</v>
      </c>
      <c r="H1815" s="309"/>
      <c r="I1815" s="346"/>
      <c r="J1815" s="291"/>
      <c r="K1815" s="291"/>
      <c r="L1815" s="291"/>
      <c r="M1815" s="291"/>
      <c r="S1815" s="364"/>
      <c r="Z1815" s="609" t="s">
        <v>758</v>
      </c>
      <c r="AA1815" s="609" t="s">
        <v>5658</v>
      </c>
    </row>
    <row r="1816" spans="1:27" ht="18">
      <c r="A1816" s="2714"/>
      <c r="B1816" s="371">
        <v>102</v>
      </c>
      <c r="C1816" s="371"/>
      <c r="D1816" s="2716">
        <f t="shared" si="167"/>
        <v>1</v>
      </c>
      <c r="E1816" s="2721">
        <v>1</v>
      </c>
      <c r="F1816" s="294"/>
      <c r="G1816" s="308" t="s">
        <v>3325</v>
      </c>
      <c r="H1816" s="309"/>
      <c r="I1816" s="346"/>
      <c r="J1816" s="291"/>
      <c r="K1816" s="291"/>
      <c r="L1816" s="291"/>
      <c r="M1816" s="291"/>
      <c r="S1816" s="364"/>
      <c r="Z1816" s="609" t="s">
        <v>758</v>
      </c>
      <c r="AA1816" s="609" t="s">
        <v>5658</v>
      </c>
    </row>
    <row r="1817" spans="1:27" ht="18">
      <c r="A1817" s="2714"/>
      <c r="B1817" s="371">
        <v>103</v>
      </c>
      <c r="C1817" s="371" t="s">
        <v>2791</v>
      </c>
      <c r="D1817" s="2716">
        <f t="shared" si="167"/>
        <v>0</v>
      </c>
      <c r="E1817" s="2721">
        <v>1</v>
      </c>
      <c r="F1817" s="294"/>
      <c r="G1817" s="319" t="s">
        <v>2792</v>
      </c>
      <c r="H1817" s="309"/>
      <c r="I1817" s="346"/>
      <c r="J1817" s="291"/>
      <c r="K1817" s="291"/>
      <c r="L1817" s="291"/>
      <c r="M1817" s="291"/>
      <c r="S1817" s="364"/>
      <c r="Z1817" s="609" t="s">
        <v>758</v>
      </c>
      <c r="AA1817" s="609" t="s">
        <v>5658</v>
      </c>
    </row>
    <row r="1818" spans="1:27" ht="18">
      <c r="A1818" s="2714"/>
      <c r="B1818" s="371">
        <v>104</v>
      </c>
      <c r="C1818" s="371" t="s">
        <v>2791</v>
      </c>
      <c r="D1818" s="2716">
        <f t="shared" si="167"/>
        <v>0</v>
      </c>
      <c r="E1818" s="2721">
        <v>1</v>
      </c>
      <c r="F1818" s="294"/>
      <c r="G1818" s="319" t="s">
        <v>2792</v>
      </c>
      <c r="H1818" s="309"/>
      <c r="I1818" s="346"/>
      <c r="J1818" s="291"/>
      <c r="K1818" s="291"/>
      <c r="L1818" s="291"/>
      <c r="M1818" s="291"/>
      <c r="S1818" s="364"/>
      <c r="Z1818" s="609" t="s">
        <v>758</v>
      </c>
      <c r="AA1818" s="609" t="s">
        <v>5658</v>
      </c>
    </row>
    <row r="1819" spans="1:27" ht="18">
      <c r="A1819" s="2714"/>
      <c r="B1819" s="371">
        <v>105</v>
      </c>
      <c r="C1819" s="371" t="s">
        <v>2791</v>
      </c>
      <c r="D1819" s="2716">
        <f t="shared" si="167"/>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67"/>
        <v>1</v>
      </c>
      <c r="E1820" s="2721" t="s">
        <v>2751</v>
      </c>
      <c r="F1820" s="294"/>
      <c r="G1820" s="374" t="s">
        <v>2752</v>
      </c>
      <c r="H1820" s="375">
        <f>SUMPRODUCT($E1814:$E1819,H1814:H1819)</f>
        <v>0</v>
      </c>
      <c r="I1820" s="395">
        <f>SUMPRODUCT($E1814:$E1819,I1814:I1819)</f>
        <v>0</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187" t="s">
        <v>47</v>
      </c>
      <c r="H1826" s="3173" t="str">
        <f>$V$2</f>
        <v>2019年12月31日</v>
      </c>
      <c r="I1826" s="3174"/>
      <c r="J1826" s="3175"/>
      <c r="K1826" s="3176" t="str">
        <f>$V$3</f>
        <v>2018年12月31日</v>
      </c>
      <c r="L1826" s="3177"/>
      <c r="M1826" s="3177"/>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226"/>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68">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68"/>
        <v>0</v>
      </c>
      <c r="E1829" s="2721" t="s">
        <v>2939</v>
      </c>
      <c r="F1829" s="293"/>
      <c r="G1829" s="319" t="s">
        <v>2792</v>
      </c>
      <c r="H1829" s="309"/>
      <c r="I1829" s="422"/>
      <c r="J1829" s="309">
        <f t="shared" ref="J1829:J1833" si="169">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68"/>
        <v>0</v>
      </c>
      <c r="E1830" s="2721" t="s">
        <v>2939</v>
      </c>
      <c r="F1830" s="293"/>
      <c r="G1830" s="319" t="s">
        <v>2792</v>
      </c>
      <c r="H1830" s="309"/>
      <c r="I1830" s="422"/>
      <c r="J1830" s="309">
        <f t="shared" si="169"/>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68"/>
        <v>0</v>
      </c>
      <c r="E1831" s="2721" t="s">
        <v>2939</v>
      </c>
      <c r="F1831" s="293"/>
      <c r="G1831" s="319" t="s">
        <v>2792</v>
      </c>
      <c r="H1831" s="309"/>
      <c r="I1831" s="422"/>
      <c r="J1831" s="309">
        <f t="shared" si="169"/>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68"/>
        <v>0</v>
      </c>
      <c r="E1832" s="2721" t="s">
        <v>2939</v>
      </c>
      <c r="F1832" s="293"/>
      <c r="G1832" s="319" t="s">
        <v>2792</v>
      </c>
      <c r="H1832" s="309"/>
      <c r="I1832" s="422"/>
      <c r="J1832" s="309">
        <f t="shared" si="169"/>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68"/>
        <v>0</v>
      </c>
      <c r="E1833" s="2721" t="s">
        <v>2939</v>
      </c>
      <c r="F1833" s="293"/>
      <c r="G1833" s="319" t="s">
        <v>2792</v>
      </c>
      <c r="H1833" s="309"/>
      <c r="I1833" s="422"/>
      <c r="J1833" s="309">
        <f t="shared" si="169"/>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68"/>
        <v>1</v>
      </c>
      <c r="E1834" s="2721">
        <v>1</v>
      </c>
      <c r="F1834" s="293"/>
      <c r="G1834" s="549" t="s">
        <v>2939</v>
      </c>
      <c r="H1834" s="377">
        <f t="shared" ref="H1834:J1834" si="170">SUMIF($E$1827:$E$1835,$G1834,H$1827:H$1835)</f>
        <v>0</v>
      </c>
      <c r="I1834" s="377">
        <f t="shared" si="170"/>
        <v>0</v>
      </c>
      <c r="J1834" s="377">
        <f t="shared" si="170"/>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68"/>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6574</v>
      </c>
    </row>
    <row r="1836" spans="1:29" ht="18.75" thickBot="1">
      <c r="A1836" s="2714"/>
      <c r="B1836" s="371"/>
      <c r="C1836" s="371"/>
      <c r="D1836" s="2716">
        <f t="shared" si="168"/>
        <v>1</v>
      </c>
      <c r="E1836" s="2721" t="s">
        <v>2751</v>
      </c>
      <c r="F1836" s="293"/>
      <c r="G1836" s="2234" t="s">
        <v>2752</v>
      </c>
      <c r="H1836" s="2325">
        <f t="shared" ref="H1836:J1836" si="171">SUMPRODUCT($E1827:$E1835,H1827:H1835)</f>
        <v>0</v>
      </c>
      <c r="I1836" s="2325">
        <f t="shared" si="171"/>
        <v>0</v>
      </c>
      <c r="J1836" s="2325">
        <f t="shared" si="171"/>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6574</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187" t="s">
        <v>5134</v>
      </c>
      <c r="H1841" s="3173" t="str">
        <f>$V$2</f>
        <v>2019年12月31日</v>
      </c>
      <c r="I1841" s="3174"/>
      <c r="J1841" s="3174"/>
      <c r="K1841" s="3175"/>
      <c r="L1841" s="3176" t="str">
        <f>$V$3</f>
        <v>2018年12月31日</v>
      </c>
      <c r="M1841" s="3177"/>
      <c r="N1841" s="3177"/>
      <c r="O1841" s="3177"/>
      <c r="P1841" s="355" t="s">
        <v>5278</v>
      </c>
      <c r="Q1841" s="442"/>
      <c r="R1841" s="443"/>
      <c r="S1841" s="364"/>
      <c r="Z1841" s="609" t="s">
        <v>764</v>
      </c>
      <c r="AA1841" s="609" t="s">
        <v>3326</v>
      </c>
    </row>
    <row r="1842" spans="1:27" ht="18">
      <c r="A1842" s="2714"/>
      <c r="B1842" s="371"/>
      <c r="C1842" s="371"/>
      <c r="D1842" s="2716"/>
      <c r="E1842" s="2716" t="s">
        <v>2749</v>
      </c>
      <c r="F1842" s="293"/>
      <c r="G1842" s="3226"/>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2">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2"/>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2"/>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2"/>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2"/>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2"/>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2"/>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2"/>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2"/>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3">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3"/>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3"/>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3"/>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3"/>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4">SUM(L1856:L1859)</f>
        <v>0</v>
      </c>
      <c r="M1860" s="1557">
        <f t="shared" ca="1" si="174"/>
        <v>0</v>
      </c>
      <c r="N1860" s="1557">
        <f t="shared" ca="1" si="174"/>
        <v>0</v>
      </c>
      <c r="O1860" s="1557">
        <f t="shared" si="174"/>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5">I1860</f>
        <v>0</v>
      </c>
      <c r="J1864" s="456">
        <f t="shared" si="175"/>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76">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76"/>
        <v>1</v>
      </c>
      <c r="E1873" s="2721">
        <v>0</v>
      </c>
      <c r="F1873" s="293"/>
      <c r="G1873" s="2284" t="s">
        <v>2829</v>
      </c>
      <c r="H1873" s="2275"/>
      <c r="I1873" s="2298"/>
      <c r="J1873" s="2275"/>
      <c r="K1873" s="1476">
        <f t="shared" ref="K1873:K1879" si="177">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76"/>
        <v>0</v>
      </c>
      <c r="E1874" s="2721">
        <v>0</v>
      </c>
      <c r="F1874" s="293"/>
      <c r="G1874" s="2284" t="s">
        <v>2792</v>
      </c>
      <c r="H1874" s="2275"/>
      <c r="I1874" s="2298"/>
      <c r="J1874" s="2275"/>
      <c r="K1874" s="1476">
        <f t="shared" si="177"/>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76"/>
        <v>0</v>
      </c>
      <c r="E1875" s="2721">
        <v>0</v>
      </c>
      <c r="F1875" s="293"/>
      <c r="G1875" s="2284" t="s">
        <v>2792</v>
      </c>
      <c r="H1875" s="2275"/>
      <c r="I1875" s="2298"/>
      <c r="J1875" s="2275"/>
      <c r="K1875" s="1476">
        <f t="shared" si="177"/>
        <v>0</v>
      </c>
      <c r="L1875" s="2276"/>
      <c r="M1875" s="438"/>
      <c r="N1875" s="439"/>
      <c r="O1875" s="437"/>
      <c r="P1875" s="438"/>
      <c r="Q1875" s="442"/>
      <c r="R1875" s="443"/>
      <c r="S1875" s="364"/>
      <c r="Z1875" s="609" t="s">
        <v>764</v>
      </c>
      <c r="AA1875" s="609" t="s">
        <v>3326</v>
      </c>
    </row>
    <row r="1876" spans="1:29" ht="18">
      <c r="A1876" s="2714"/>
      <c r="B1876" s="371">
        <v>105</v>
      </c>
      <c r="C1876" s="371"/>
      <c r="D1876" s="2716">
        <f t="shared" si="176"/>
        <v>1</v>
      </c>
      <c r="E1876" s="2721">
        <v>1</v>
      </c>
      <c r="F1876" s="293"/>
      <c r="G1876" s="1474" t="s">
        <v>3094</v>
      </c>
      <c r="H1876" s="2275">
        <f>SUM(H1877:H1879)</f>
        <v>0</v>
      </c>
      <c r="I1876" s="2298"/>
      <c r="J1876" s="2275">
        <f>SUM(J1877:J1879)</f>
        <v>0</v>
      </c>
      <c r="K1876" s="1476">
        <f t="shared" si="177"/>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76"/>
        <v>1</v>
      </c>
      <c r="E1877" s="2721">
        <v>0</v>
      </c>
      <c r="F1877" s="293"/>
      <c r="G1877" s="2284" t="s">
        <v>2831</v>
      </c>
      <c r="H1877" s="2275"/>
      <c r="I1877" s="2298"/>
      <c r="J1877" s="2275"/>
      <c r="K1877" s="1476">
        <f t="shared" si="177"/>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76"/>
        <v>0</v>
      </c>
      <c r="E1878" s="2721">
        <v>0</v>
      </c>
      <c r="F1878" s="293"/>
      <c r="G1878" s="2284" t="s">
        <v>2792</v>
      </c>
      <c r="H1878" s="2275"/>
      <c r="I1878" s="2298"/>
      <c r="J1878" s="2275"/>
      <c r="K1878" s="1476">
        <f t="shared" si="177"/>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76"/>
        <v>0</v>
      </c>
      <c r="E1879" s="2721">
        <v>0</v>
      </c>
      <c r="F1879" s="293"/>
      <c r="G1879" s="2284" t="s">
        <v>2792</v>
      </c>
      <c r="H1879" s="2275"/>
      <c r="I1879" s="2298"/>
      <c r="J1879" s="2275"/>
      <c r="K1879" s="1476">
        <f t="shared" si="177"/>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76"/>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6574</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78">IF(OR(G1885="*",G1885="",G1885=0),0,COUNTIF($G$1885:$G$1893,G1885))</f>
        <v>1</v>
      </c>
      <c r="E1885" s="2721">
        <v>1</v>
      </c>
      <c r="F1885" s="293"/>
      <c r="G1885" s="1474" t="s">
        <v>3093</v>
      </c>
      <c r="H1885" s="2275">
        <f>SUM(H1886:H1888)</f>
        <v>0</v>
      </c>
      <c r="I1885" s="2298"/>
      <c r="J1885" s="2275">
        <f>SUM(J1886:J1888)</f>
        <v>0</v>
      </c>
      <c r="K1885" s="1476">
        <f t="shared" ref="K1885:K1892" si="179">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78"/>
        <v>1</v>
      </c>
      <c r="E1886" s="2721">
        <v>0</v>
      </c>
      <c r="F1886" s="293"/>
      <c r="G1886" s="2284" t="s">
        <v>2829</v>
      </c>
      <c r="H1886" s="2275"/>
      <c r="I1886" s="2298"/>
      <c r="J1886" s="2275"/>
      <c r="K1886" s="1476">
        <f t="shared" si="179"/>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78"/>
        <v>0</v>
      </c>
      <c r="E1887" s="2721">
        <v>0</v>
      </c>
      <c r="F1887" s="293"/>
      <c r="G1887" s="2284" t="s">
        <v>2792</v>
      </c>
      <c r="H1887" s="2275"/>
      <c r="I1887" s="2298"/>
      <c r="J1887" s="2275"/>
      <c r="K1887" s="1476">
        <f t="shared" si="179"/>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78"/>
        <v>0</v>
      </c>
      <c r="E1888" s="2721">
        <v>0</v>
      </c>
      <c r="F1888" s="293"/>
      <c r="G1888" s="2284" t="s">
        <v>2792</v>
      </c>
      <c r="H1888" s="2275"/>
      <c r="I1888" s="2298"/>
      <c r="J1888" s="2275"/>
      <c r="K1888" s="1476">
        <f t="shared" si="179"/>
        <v>0</v>
      </c>
      <c r="L1888" s="2276"/>
      <c r="M1888" s="438"/>
      <c r="N1888" s="439"/>
      <c r="O1888" s="437"/>
      <c r="P1888" s="438"/>
      <c r="Q1888" s="442"/>
      <c r="R1888" s="443"/>
      <c r="S1888" s="364"/>
      <c r="Z1888" s="609" t="s">
        <v>764</v>
      </c>
      <c r="AA1888" s="609" t="s">
        <v>3326</v>
      </c>
    </row>
    <row r="1889" spans="1:29" ht="18">
      <c r="A1889" s="2714"/>
      <c r="B1889" s="371">
        <v>105</v>
      </c>
      <c r="C1889" s="371"/>
      <c r="D1889" s="2716">
        <f t="shared" si="178"/>
        <v>1</v>
      </c>
      <c r="E1889" s="2721">
        <v>1</v>
      </c>
      <c r="F1889" s="293"/>
      <c r="G1889" s="1474" t="s">
        <v>3094</v>
      </c>
      <c r="H1889" s="2275">
        <f>SUM(H1890:H1892)</f>
        <v>0</v>
      </c>
      <c r="I1889" s="2298"/>
      <c r="J1889" s="2275">
        <f>SUM(J1890:J1892)</f>
        <v>0</v>
      </c>
      <c r="K1889" s="1476">
        <f t="shared" si="179"/>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78"/>
        <v>1</v>
      </c>
      <c r="E1890" s="2721">
        <v>0</v>
      </c>
      <c r="F1890" s="293"/>
      <c r="G1890" s="2284" t="s">
        <v>2831</v>
      </c>
      <c r="H1890" s="2275"/>
      <c r="I1890" s="2298"/>
      <c r="J1890" s="2275"/>
      <c r="K1890" s="1476">
        <f t="shared" si="179"/>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78"/>
        <v>0</v>
      </c>
      <c r="E1891" s="2721">
        <v>0</v>
      </c>
      <c r="F1891" s="293"/>
      <c r="G1891" s="2284" t="s">
        <v>2792</v>
      </c>
      <c r="H1891" s="2275"/>
      <c r="I1891" s="2298"/>
      <c r="J1891" s="2275"/>
      <c r="K1891" s="1476">
        <f t="shared" si="179"/>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78"/>
        <v>0</v>
      </c>
      <c r="E1892" s="2721">
        <v>0</v>
      </c>
      <c r="F1892" s="293"/>
      <c r="G1892" s="2284" t="s">
        <v>2792</v>
      </c>
      <c r="H1892" s="2275"/>
      <c r="I1892" s="2298"/>
      <c r="J1892" s="2275"/>
      <c r="K1892" s="1476">
        <f t="shared" si="179"/>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78"/>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6574</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0">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0"/>
        <v>1</v>
      </c>
      <c r="E1899" s="2721">
        <v>0</v>
      </c>
      <c r="F1899" s="293"/>
      <c r="G1899" s="2284" t="s">
        <v>2829</v>
      </c>
      <c r="H1899" s="2275"/>
      <c r="I1899" s="2298"/>
      <c r="J1899" s="2275"/>
      <c r="K1899" s="1476">
        <f t="shared" ref="K1899:K1905" si="181">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0"/>
        <v>0</v>
      </c>
      <c r="E1900" s="2721">
        <v>0</v>
      </c>
      <c r="F1900" s="293"/>
      <c r="G1900" s="2284" t="s">
        <v>2792</v>
      </c>
      <c r="H1900" s="2275"/>
      <c r="I1900" s="2298"/>
      <c r="J1900" s="2275"/>
      <c r="K1900" s="1476">
        <f t="shared" si="181"/>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0"/>
        <v>0</v>
      </c>
      <c r="E1901" s="2721">
        <v>0</v>
      </c>
      <c r="F1901" s="293"/>
      <c r="G1901" s="2284" t="s">
        <v>2792</v>
      </c>
      <c r="H1901" s="2275"/>
      <c r="I1901" s="2298"/>
      <c r="J1901" s="2275"/>
      <c r="K1901" s="1476">
        <f t="shared" si="181"/>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0"/>
        <v>1</v>
      </c>
      <c r="E1902" s="2721">
        <v>1</v>
      </c>
      <c r="F1902" s="293"/>
      <c r="G1902" s="1474" t="s">
        <v>3094</v>
      </c>
      <c r="H1902" s="2275">
        <f>SUM(H1903:H1905)</f>
        <v>0</v>
      </c>
      <c r="I1902" s="2298"/>
      <c r="J1902" s="2275">
        <f>SUM(J1903:J1905)</f>
        <v>0</v>
      </c>
      <c r="K1902" s="1476">
        <f t="shared" si="181"/>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0"/>
        <v>1</v>
      </c>
      <c r="E1903" s="2721">
        <v>0</v>
      </c>
      <c r="F1903" s="293"/>
      <c r="G1903" s="2284" t="s">
        <v>2831</v>
      </c>
      <c r="H1903" s="2275"/>
      <c r="I1903" s="2298"/>
      <c r="J1903" s="2275"/>
      <c r="K1903" s="1476">
        <f t="shared" si="181"/>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0"/>
        <v>0</v>
      </c>
      <c r="E1904" s="2721">
        <v>0</v>
      </c>
      <c r="F1904" s="293"/>
      <c r="G1904" s="2284" t="s">
        <v>2792</v>
      </c>
      <c r="H1904" s="2275"/>
      <c r="I1904" s="2298"/>
      <c r="J1904" s="2275"/>
      <c r="K1904" s="1476">
        <f t="shared" si="181"/>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0"/>
        <v>0</v>
      </c>
      <c r="E1905" s="2721">
        <v>0</v>
      </c>
      <c r="F1905" s="293"/>
      <c r="G1905" s="2284" t="s">
        <v>2792</v>
      </c>
      <c r="H1905" s="2275"/>
      <c r="I1905" s="2298"/>
      <c r="J1905" s="2275"/>
      <c r="K1905" s="1476">
        <f t="shared" si="181"/>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0"/>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6574</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227" t="s">
        <v>6015</v>
      </c>
      <c r="H1911" s="3168" t="str">
        <f>$V$3</f>
        <v>2018年12月31日</v>
      </c>
      <c r="I1911" s="3170" t="s">
        <v>6016</v>
      </c>
      <c r="J1911" s="3168" t="str">
        <f>$X$3</f>
        <v>2019年1月1日</v>
      </c>
      <c r="K1911" s="3172" t="s">
        <v>2919</v>
      </c>
      <c r="L1911" s="3172"/>
      <c r="M1911" s="3172"/>
      <c r="N1911" s="3151"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228"/>
      <c r="H1912" s="3169"/>
      <c r="I1912" s="3171"/>
      <c r="J1912" s="3169"/>
      <c r="K1912" s="2239" t="s">
        <v>6017</v>
      </c>
      <c r="L1912" s="2239" t="s">
        <v>6018</v>
      </c>
      <c r="M1912" s="2294" t="s">
        <v>6019</v>
      </c>
      <c r="N1912" s="3152"/>
      <c r="O1912" s="434"/>
      <c r="P1912" s="435"/>
      <c r="Q1912" s="442"/>
      <c r="R1912" s="443"/>
      <c r="S1912" s="364"/>
      <c r="Z1912" s="609" t="s">
        <v>764</v>
      </c>
      <c r="AA1912" s="609" t="s">
        <v>3326</v>
      </c>
    </row>
    <row r="1913" spans="1:29" ht="18">
      <c r="A1913" s="2714"/>
      <c r="B1913" s="371">
        <v>101</v>
      </c>
      <c r="C1913" s="371" t="s">
        <v>2791</v>
      </c>
      <c r="D1913" s="2716">
        <f t="shared" ref="D1913:D1918" si="182">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2"/>
        <v>0</v>
      </c>
      <c r="E1914" s="2721">
        <v>1</v>
      </c>
      <c r="F1914" s="293"/>
      <c r="G1914" s="2284" t="s">
        <v>5146</v>
      </c>
      <c r="H1914" s="2275"/>
      <c r="I1914" s="2275"/>
      <c r="J1914" s="1476">
        <f t="shared" ref="J1914:J1917" si="183">SUM(H1914:I1914)</f>
        <v>0</v>
      </c>
      <c r="K1914" s="2275"/>
      <c r="L1914" s="2275"/>
      <c r="M1914" s="2275"/>
      <c r="N1914" s="1477">
        <f t="shared" ref="N1914:N1917" si="184">SUM(J1914:K1914,-L1914,-M1914)</f>
        <v>0</v>
      </c>
      <c r="O1914" s="437"/>
      <c r="P1914" s="438"/>
      <c r="Q1914" s="442"/>
      <c r="R1914" s="443"/>
      <c r="S1914" s="364"/>
      <c r="Z1914" s="609" t="s">
        <v>764</v>
      </c>
      <c r="AA1914" s="609" t="s">
        <v>3326</v>
      </c>
    </row>
    <row r="1915" spans="1:29" ht="18">
      <c r="A1915" s="2714"/>
      <c r="B1915" s="371">
        <v>103</v>
      </c>
      <c r="C1915" s="371" t="s">
        <v>2791</v>
      </c>
      <c r="D1915" s="2716">
        <f t="shared" si="182"/>
        <v>0</v>
      </c>
      <c r="E1915" s="2721">
        <v>1</v>
      </c>
      <c r="F1915" s="293"/>
      <c r="G1915" s="2284" t="s">
        <v>5146</v>
      </c>
      <c r="H1915" s="2275"/>
      <c r="I1915" s="2275"/>
      <c r="J1915" s="1476">
        <f t="shared" si="183"/>
        <v>0</v>
      </c>
      <c r="K1915" s="2275"/>
      <c r="L1915" s="2275"/>
      <c r="M1915" s="2275"/>
      <c r="N1915" s="1477">
        <f t="shared" si="184"/>
        <v>0</v>
      </c>
      <c r="O1915" s="437"/>
      <c r="P1915" s="438"/>
      <c r="Q1915" s="442"/>
      <c r="R1915" s="443"/>
      <c r="S1915" s="364"/>
      <c r="Z1915" s="609" t="s">
        <v>764</v>
      </c>
      <c r="AA1915" s="609" t="s">
        <v>3326</v>
      </c>
    </row>
    <row r="1916" spans="1:29" ht="18">
      <c r="A1916" s="2714"/>
      <c r="B1916" s="371">
        <v>104</v>
      </c>
      <c r="C1916" s="371" t="s">
        <v>2791</v>
      </c>
      <c r="D1916" s="2716">
        <f t="shared" si="182"/>
        <v>0</v>
      </c>
      <c r="E1916" s="2721">
        <v>1</v>
      </c>
      <c r="F1916" s="293"/>
      <c r="G1916" s="2284" t="s">
        <v>5146</v>
      </c>
      <c r="H1916" s="2275"/>
      <c r="I1916" s="2275"/>
      <c r="J1916" s="1476">
        <f t="shared" si="183"/>
        <v>0</v>
      </c>
      <c r="K1916" s="2275"/>
      <c r="L1916" s="2275"/>
      <c r="M1916" s="2275"/>
      <c r="N1916" s="1477">
        <f t="shared" si="184"/>
        <v>0</v>
      </c>
      <c r="O1916" s="437"/>
      <c r="P1916" s="438"/>
      <c r="Q1916" s="442"/>
      <c r="R1916" s="443"/>
      <c r="S1916" s="364"/>
      <c r="Z1916" s="609" t="s">
        <v>764</v>
      </c>
      <c r="AA1916" s="609" t="s">
        <v>3326</v>
      </c>
    </row>
    <row r="1917" spans="1:29" ht="18">
      <c r="A1917" s="2714"/>
      <c r="B1917" s="371">
        <v>105</v>
      </c>
      <c r="C1917" s="371" t="s">
        <v>2791</v>
      </c>
      <c r="D1917" s="2716">
        <f t="shared" si="182"/>
        <v>0</v>
      </c>
      <c r="E1917" s="2721">
        <v>1</v>
      </c>
      <c r="F1917" s="293"/>
      <c r="G1917" s="2284" t="s">
        <v>5146</v>
      </c>
      <c r="H1917" s="2275"/>
      <c r="I1917" s="2275"/>
      <c r="J1917" s="1476">
        <f t="shared" si="183"/>
        <v>0</v>
      </c>
      <c r="K1917" s="2275"/>
      <c r="L1917" s="2275"/>
      <c r="M1917" s="2275"/>
      <c r="N1917" s="1477">
        <f t="shared" si="184"/>
        <v>0</v>
      </c>
      <c r="O1917" s="437"/>
      <c r="P1917" s="438"/>
      <c r="Q1917" s="442"/>
      <c r="R1917" s="443"/>
      <c r="S1917" s="364"/>
      <c r="Z1917" s="609" t="s">
        <v>764</v>
      </c>
      <c r="AA1917" s="609" t="s">
        <v>3326</v>
      </c>
    </row>
    <row r="1918" spans="1:29" ht="18.75" thickBot="1">
      <c r="A1918" s="2714"/>
      <c r="B1918" s="371"/>
      <c r="C1918" s="371"/>
      <c r="D1918" s="2716">
        <f t="shared" si="182"/>
        <v>1</v>
      </c>
      <c r="E1918" s="2721" t="s">
        <v>2751</v>
      </c>
      <c r="F1918" s="293"/>
      <c r="G1918" s="2328" t="s">
        <v>2752</v>
      </c>
      <c r="H1918" s="2235">
        <f t="shared" ref="H1918:N1918" si="185">SUMPRODUCT($E1912:$E1917,H1912:H1917)</f>
        <v>0</v>
      </c>
      <c r="I1918" s="2235">
        <f t="shared" si="185"/>
        <v>0</v>
      </c>
      <c r="J1918" s="2235">
        <f t="shared" si="185"/>
        <v>0</v>
      </c>
      <c r="K1918" s="2235">
        <f t="shared" si="185"/>
        <v>0</v>
      </c>
      <c r="L1918" s="2235">
        <f t="shared" si="185"/>
        <v>0</v>
      </c>
      <c r="M1918" s="2235">
        <f t="shared" si="185"/>
        <v>0</v>
      </c>
      <c r="N1918" s="2236">
        <f t="shared" si="185"/>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227" t="s">
        <v>3097</v>
      </c>
      <c r="H1930" s="2291" t="s">
        <v>3348</v>
      </c>
      <c r="I1930" s="2291" t="s">
        <v>3349</v>
      </c>
      <c r="J1930" s="2291" t="s">
        <v>3350</v>
      </c>
      <c r="K1930" s="3237"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228"/>
      <c r="H1931" s="2294" t="s">
        <v>3352</v>
      </c>
      <c r="I1931" s="2294" t="s">
        <v>3353</v>
      </c>
      <c r="J1931" s="2294" t="s">
        <v>3354</v>
      </c>
      <c r="K1931" s="3208"/>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86">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86"/>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86"/>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86"/>
        <v>1</v>
      </c>
      <c r="E1935" s="2721">
        <v>1</v>
      </c>
      <c r="F1935" s="293"/>
      <c r="G1935" s="1474" t="s">
        <v>6020</v>
      </c>
      <c r="H1935" s="2275"/>
      <c r="I1935" s="2275"/>
      <c r="J1935" s="2299">
        <v>0</v>
      </c>
      <c r="K1935" s="1477">
        <f t="shared" ref="K1935:K1943" si="187">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86"/>
        <v>1</v>
      </c>
      <c r="E1936" s="2721">
        <v>1</v>
      </c>
      <c r="F1936" s="293"/>
      <c r="G1936" s="1474" t="s">
        <v>6021</v>
      </c>
      <c r="H1936" s="2299">
        <v>0</v>
      </c>
      <c r="I1936" s="2299">
        <v>0</v>
      </c>
      <c r="J1936" s="2275"/>
      <c r="K1936" s="1477">
        <f t="shared" si="187"/>
        <v>0</v>
      </c>
      <c r="L1936" s="1493"/>
      <c r="M1936" s="438"/>
      <c r="N1936" s="439"/>
      <c r="O1936" s="437"/>
      <c r="P1936" s="438"/>
      <c r="Q1936" s="442"/>
      <c r="R1936" s="443"/>
      <c r="S1936" s="364"/>
      <c r="Z1936" s="609" t="s">
        <v>764</v>
      </c>
      <c r="AA1936" s="609" t="s">
        <v>3326</v>
      </c>
    </row>
    <row r="1937" spans="1:27" ht="24">
      <c r="A1937" s="2714"/>
      <c r="B1937" s="371">
        <v>106</v>
      </c>
      <c r="C1937" s="371"/>
      <c r="D1937" s="2716">
        <f t="shared" si="186"/>
        <v>1</v>
      </c>
      <c r="E1937" s="2721">
        <v>1</v>
      </c>
      <c r="F1937" s="293"/>
      <c r="G1937" s="1474" t="s">
        <v>6023</v>
      </c>
      <c r="H1937" s="2299">
        <v>0</v>
      </c>
      <c r="I1937" s="2275"/>
      <c r="J1937" s="2275"/>
      <c r="K1937" s="1477">
        <f t="shared" si="187"/>
        <v>0</v>
      </c>
      <c r="L1937" s="1493"/>
      <c r="M1937" s="438"/>
      <c r="N1937" s="439"/>
      <c r="O1937" s="437"/>
      <c r="P1937" s="438"/>
      <c r="Q1937" s="442"/>
      <c r="R1937" s="443"/>
      <c r="S1937" s="364"/>
      <c r="Z1937" s="609" t="s">
        <v>764</v>
      </c>
      <c r="AA1937" s="609" t="s">
        <v>3326</v>
      </c>
    </row>
    <row r="1938" spans="1:27" ht="18">
      <c r="A1938" s="2714"/>
      <c r="B1938" s="371">
        <v>107</v>
      </c>
      <c r="C1938" s="371"/>
      <c r="D1938" s="2716">
        <f t="shared" si="186"/>
        <v>1</v>
      </c>
      <c r="E1938" s="2721">
        <v>1</v>
      </c>
      <c r="F1938" s="293"/>
      <c r="G1938" s="1474" t="s">
        <v>6024</v>
      </c>
      <c r="H1938" s="2275"/>
      <c r="I1938" s="2275"/>
      <c r="J1938" s="2275"/>
      <c r="K1938" s="1477">
        <f t="shared" si="187"/>
        <v>0</v>
      </c>
      <c r="L1938" s="437"/>
      <c r="M1938" s="438"/>
      <c r="N1938" s="439"/>
      <c r="O1938" s="437"/>
      <c r="P1938" s="438"/>
      <c r="Q1938" s="442"/>
      <c r="R1938" s="443"/>
      <c r="S1938" s="364"/>
      <c r="Z1938" s="609" t="s">
        <v>764</v>
      </c>
      <c r="AA1938" s="609" t="s">
        <v>3326</v>
      </c>
    </row>
    <row r="1939" spans="1:27" ht="18">
      <c r="A1939" s="2714"/>
      <c r="B1939" s="371">
        <v>108</v>
      </c>
      <c r="C1939" s="371"/>
      <c r="D1939" s="2716">
        <f t="shared" si="186"/>
        <v>1</v>
      </c>
      <c r="E1939" s="2721">
        <v>-1</v>
      </c>
      <c r="F1939" s="293"/>
      <c r="G1939" s="1474" t="s">
        <v>6025</v>
      </c>
      <c r="H1939" s="2275"/>
      <c r="I1939" s="2275"/>
      <c r="J1939" s="2275"/>
      <c r="K1939" s="1477">
        <f t="shared" si="187"/>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86"/>
        <v>1</v>
      </c>
      <c r="E1940" s="2721">
        <v>-1</v>
      </c>
      <c r="F1940" s="293"/>
      <c r="G1940" s="603" t="s">
        <v>3356</v>
      </c>
      <c r="H1940" s="2275"/>
      <c r="I1940" s="2275"/>
      <c r="J1940" s="2275"/>
      <c r="K1940" s="1477">
        <f t="shared" si="187"/>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86"/>
        <v>1</v>
      </c>
      <c r="E1941" s="2721">
        <v>-1</v>
      </c>
      <c r="F1941" s="293"/>
      <c r="G1941" s="603" t="s">
        <v>3357</v>
      </c>
      <c r="H1941" s="2275"/>
      <c r="I1941" s="2275"/>
      <c r="J1941" s="2275"/>
      <c r="K1941" s="1477">
        <f t="shared" si="187"/>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86"/>
        <v>1</v>
      </c>
      <c r="E1942" s="2721">
        <v>1</v>
      </c>
      <c r="F1942" s="293"/>
      <c r="G1942" s="1474" t="s">
        <v>6026</v>
      </c>
      <c r="H1942" s="2275"/>
      <c r="I1942" s="2275"/>
      <c r="J1942" s="2275"/>
      <c r="K1942" s="1477">
        <f t="shared" si="187"/>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86"/>
        <v>0</v>
      </c>
      <c r="E1943" s="2721">
        <v>1</v>
      </c>
      <c r="F1943" s="293"/>
      <c r="G1943" s="2284" t="s">
        <v>2792</v>
      </c>
      <c r="H1943" s="2275"/>
      <c r="I1943" s="2275"/>
      <c r="J1943" s="2275"/>
      <c r="K1943" s="1477">
        <f t="shared" si="187"/>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86"/>
        <v>1</v>
      </c>
      <c r="E1944" s="2721" t="s">
        <v>6556</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309" t="s">
        <v>47</v>
      </c>
      <c r="H1950" s="3180" t="str">
        <f>$V$2</f>
        <v>2019年12月31日</v>
      </c>
      <c r="I1950" s="3181"/>
      <c r="J1950" s="3182"/>
      <c r="K1950" s="3235" t="str">
        <f>$V$3</f>
        <v>2018年12月31日</v>
      </c>
      <c r="L1950" s="3181"/>
      <c r="M1950" s="3181"/>
      <c r="N1950" s="355" t="s">
        <v>5279</v>
      </c>
      <c r="S1950" s="364"/>
      <c r="Z1950" s="609" t="s">
        <v>806</v>
      </c>
      <c r="AA1950" s="609" t="s">
        <v>3380</v>
      </c>
    </row>
    <row r="1951" spans="1:27" ht="18">
      <c r="A1951" s="2714"/>
      <c r="B1951" s="371"/>
      <c r="C1951" s="371"/>
      <c r="D1951" s="371"/>
      <c r="E1951" s="2716" t="s">
        <v>2749</v>
      </c>
      <c r="F1951" s="294"/>
      <c r="G1951" s="3310"/>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88">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88"/>
        <v>1</v>
      </c>
      <c r="E1953" s="2721">
        <v>1</v>
      </c>
      <c r="F1953" s="294"/>
      <c r="G1953" s="380" t="s">
        <v>3369</v>
      </c>
      <c r="H1953" s="2329">
        <f>SUM(H1954:H1955)</f>
        <v>0</v>
      </c>
      <c r="I1953" s="2329">
        <f t="shared" ref="I1953:M1953" si="189">SUM(I1954:I1955)</f>
        <v>0</v>
      </c>
      <c r="J1953" s="2329">
        <f t="shared" si="189"/>
        <v>0</v>
      </c>
      <c r="K1953" s="381">
        <f t="shared" si="189"/>
        <v>0</v>
      </c>
      <c r="L1953" s="381">
        <f t="shared" si="189"/>
        <v>0</v>
      </c>
      <c r="M1953" s="401">
        <f t="shared" si="189"/>
        <v>0</v>
      </c>
      <c r="S1953" s="364"/>
      <c r="Z1953" s="609" t="s">
        <v>806</v>
      </c>
      <c r="AA1953" s="609" t="s">
        <v>3380</v>
      </c>
    </row>
    <row r="1954" spans="1:29" ht="18">
      <c r="A1954" s="2714"/>
      <c r="B1954" s="371">
        <v>102.001</v>
      </c>
      <c r="C1954" s="371"/>
      <c r="D1954" s="2716">
        <f t="shared" si="188"/>
        <v>1</v>
      </c>
      <c r="E1954" s="2721">
        <v>0</v>
      </c>
      <c r="F1954" s="294"/>
      <c r="G1954" s="382" t="s">
        <v>6133</v>
      </c>
      <c r="H1954" s="2329">
        <v>0</v>
      </c>
      <c r="I1954" s="2329">
        <v>0</v>
      </c>
      <c r="J1954" s="2329">
        <v>0</v>
      </c>
      <c r="K1954" s="383"/>
      <c r="L1954" s="383"/>
      <c r="M1954" s="401">
        <f t="shared" ref="M1954:M1958" si="190">K1954-L1954</f>
        <v>0</v>
      </c>
      <c r="N1954" s="355" t="s">
        <v>6136</v>
      </c>
      <c r="S1954" s="364"/>
      <c r="Z1954" s="609" t="s">
        <v>806</v>
      </c>
      <c r="AA1954" s="609" t="s">
        <v>3380</v>
      </c>
    </row>
    <row r="1955" spans="1:29" ht="18">
      <c r="A1955" s="2714"/>
      <c r="B1955" s="371">
        <v>102.002</v>
      </c>
      <c r="C1955" s="371"/>
      <c r="D1955" s="2716">
        <f t="shared" si="188"/>
        <v>1</v>
      </c>
      <c r="E1955" s="2721">
        <v>0</v>
      </c>
      <c r="F1955" s="294"/>
      <c r="G1955" s="382" t="s">
        <v>3370</v>
      </c>
      <c r="H1955" s="2329">
        <v>0</v>
      </c>
      <c r="I1955" s="2329">
        <v>0</v>
      </c>
      <c r="J1955" s="2329">
        <v>0</v>
      </c>
      <c r="K1955" s="383"/>
      <c r="L1955" s="383"/>
      <c r="M1955" s="401">
        <f t="shared" si="190"/>
        <v>0</v>
      </c>
      <c r="N1955" s="355" t="s">
        <v>6136</v>
      </c>
      <c r="S1955" s="364"/>
      <c r="Z1955" s="609" t="s">
        <v>806</v>
      </c>
      <c r="AA1955" s="609" t="s">
        <v>3380</v>
      </c>
      <c r="AC1955" s="369" t="s">
        <v>2794</v>
      </c>
    </row>
    <row r="1956" spans="1:29" ht="18">
      <c r="A1956" s="2714"/>
      <c r="B1956" s="371">
        <v>102.999</v>
      </c>
      <c r="C1956" s="371" t="s">
        <v>2791</v>
      </c>
      <c r="D1956" s="2716">
        <f t="shared" si="188"/>
        <v>0</v>
      </c>
      <c r="E1956" s="2721">
        <v>1</v>
      </c>
      <c r="F1956" s="294"/>
      <c r="G1956" s="553" t="s">
        <v>2792</v>
      </c>
      <c r="H1956" s="386"/>
      <c r="I1956" s="386"/>
      <c r="J1956" s="383"/>
      <c r="K1956" s="386"/>
      <c r="L1956" s="386"/>
      <c r="M1956" s="401">
        <f t="shared" si="190"/>
        <v>0</v>
      </c>
      <c r="S1956" s="364"/>
      <c r="Z1956" s="609" t="s">
        <v>806</v>
      </c>
      <c r="AA1956" s="609" t="s">
        <v>3380</v>
      </c>
    </row>
    <row r="1957" spans="1:29" ht="18">
      <c r="A1957" s="2714"/>
      <c r="B1957" s="371">
        <v>103</v>
      </c>
      <c r="C1957" s="371" t="s">
        <v>2791</v>
      </c>
      <c r="D1957" s="2716">
        <f t="shared" si="188"/>
        <v>0</v>
      </c>
      <c r="E1957" s="2721">
        <v>1</v>
      </c>
      <c r="F1957" s="294"/>
      <c r="G1957" s="553" t="s">
        <v>2792</v>
      </c>
      <c r="H1957" s="383"/>
      <c r="I1957" s="383"/>
      <c r="J1957" s="383"/>
      <c r="K1957" s="383"/>
      <c r="L1957" s="383"/>
      <c r="M1957" s="401">
        <f t="shared" si="190"/>
        <v>0</v>
      </c>
      <c r="S1957" s="364"/>
      <c r="Z1957" s="609" t="s">
        <v>806</v>
      </c>
      <c r="AA1957" s="609" t="s">
        <v>3380</v>
      </c>
    </row>
    <row r="1958" spans="1:29" ht="18">
      <c r="A1958" s="2714"/>
      <c r="B1958" s="371">
        <v>104</v>
      </c>
      <c r="C1958" s="371" t="s">
        <v>2791</v>
      </c>
      <c r="D1958" s="2716">
        <f t="shared" si="188"/>
        <v>0</v>
      </c>
      <c r="E1958" s="2721">
        <v>1</v>
      </c>
      <c r="F1958" s="294"/>
      <c r="G1958" s="409" t="s">
        <v>2792</v>
      </c>
      <c r="H1958" s="383"/>
      <c r="I1958" s="383"/>
      <c r="J1958" s="383"/>
      <c r="K1958" s="383"/>
      <c r="L1958" s="383"/>
      <c r="M1958" s="401">
        <f t="shared" si="190"/>
        <v>0</v>
      </c>
      <c r="S1958" s="364"/>
      <c r="Z1958" s="609" t="s">
        <v>806</v>
      </c>
      <c r="AA1958" s="609" t="s">
        <v>3380</v>
      </c>
    </row>
    <row r="1959" spans="1:29" ht="18.75" thickBot="1">
      <c r="A1959" s="2714"/>
      <c r="B1959" s="371"/>
      <c r="C1959" s="371"/>
      <c r="D1959" s="2716">
        <f t="shared" si="188"/>
        <v>1</v>
      </c>
      <c r="E1959" s="2721" t="s">
        <v>2751</v>
      </c>
      <c r="F1959" s="294"/>
      <c r="G1959" s="2330" t="s">
        <v>2752</v>
      </c>
      <c r="H1959" s="2331">
        <f t="shared" ref="H1959:M1959" si="191">SUMPRODUCT($E1951:$E1958,H1951:H1958)</f>
        <v>0</v>
      </c>
      <c r="I1959" s="2331">
        <f t="shared" si="191"/>
        <v>0</v>
      </c>
      <c r="J1959" s="2331">
        <f t="shared" si="191"/>
        <v>0</v>
      </c>
      <c r="K1959" s="2331">
        <f t="shared" si="191"/>
        <v>0</v>
      </c>
      <c r="L1959" s="2331">
        <f t="shared" si="191"/>
        <v>0</v>
      </c>
      <c r="M1959" s="2332">
        <f t="shared" si="191"/>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6532</v>
      </c>
      <c r="F1961" s="294"/>
      <c r="G1961" s="372" t="str">
        <f>"("&amp;B1961&amp;")"&amp;D1961</f>
        <v>(2)按公允价值计量的可供出售金融资产</v>
      </c>
      <c r="H1961" s="1517" t="str">
        <f>$A1961</f>
        <v>1503e</v>
      </c>
      <c r="I1961" s="343" t="s">
        <v>5965</v>
      </c>
      <c r="J1961" s="301"/>
      <c r="K1961" s="3071"/>
      <c r="L1961" s="315"/>
      <c r="M1961" s="301"/>
      <c r="N1961" s="3071"/>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6524</v>
      </c>
      <c r="I1962" s="371" t="s">
        <v>6525</v>
      </c>
      <c r="J1962" s="371" t="s">
        <v>6526</v>
      </c>
      <c r="K1962" s="371" t="s">
        <v>6527</v>
      </c>
      <c r="L1962" s="291"/>
      <c r="M1962" s="301"/>
      <c r="S1962" s="364"/>
      <c r="Z1962" s="609" t="s">
        <v>806</v>
      </c>
      <c r="AA1962" s="609" t="s">
        <v>3380</v>
      </c>
    </row>
    <row r="1963" spans="1:29" ht="0.75" customHeight="1" thickBot="1">
      <c r="A1963" s="2714"/>
      <c r="B1963" s="371"/>
      <c r="C1963" s="371"/>
      <c r="D1963" s="371"/>
      <c r="E1963" s="586"/>
      <c r="F1963" s="586"/>
      <c r="G1963" s="586"/>
      <c r="H1963" s="371" t="s">
        <v>6403</v>
      </c>
      <c r="I1963" s="371" t="s">
        <v>6404</v>
      </c>
      <c r="J1963" s="371" t="s">
        <v>6405</v>
      </c>
      <c r="K1963" s="371" t="s">
        <v>6406</v>
      </c>
      <c r="L1963" s="291"/>
      <c r="M1963" s="301"/>
      <c r="S1963" s="364"/>
      <c r="Z1963" s="609" t="s">
        <v>806</v>
      </c>
      <c r="AA1963" s="609" t="s">
        <v>3380</v>
      </c>
    </row>
    <row r="1964" spans="1:29" ht="18" customHeight="1">
      <c r="A1964" s="2714"/>
      <c r="B1964" s="371"/>
      <c r="C1964" s="371"/>
      <c r="D1964" s="371"/>
      <c r="E1964" s="586" t="s">
        <v>2749</v>
      </c>
      <c r="F1964" s="414"/>
      <c r="G1964" s="3227" t="s">
        <v>3372</v>
      </c>
      <c r="H1964" s="3297" t="str">
        <f>$V$3</f>
        <v>2018年12月31日</v>
      </c>
      <c r="I1964" s="3297"/>
      <c r="J1964" s="3297"/>
      <c r="K1964" s="3278"/>
      <c r="L1964" s="355" t="s">
        <v>5279</v>
      </c>
      <c r="M1964" s="301"/>
      <c r="S1964" s="364"/>
      <c r="Z1964" s="609" t="s">
        <v>806</v>
      </c>
      <c r="AA1964" s="609" t="s">
        <v>3380</v>
      </c>
    </row>
    <row r="1965" spans="1:29" ht="36">
      <c r="A1965" s="2714"/>
      <c r="B1965" s="371"/>
      <c r="C1965" s="371"/>
      <c r="D1965" s="371"/>
      <c r="E1965" s="586" t="s">
        <v>2749</v>
      </c>
      <c r="F1965" s="363"/>
      <c r="G1965" s="3228"/>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227" t="s">
        <v>3376</v>
      </c>
      <c r="H1974" s="3170" t="s">
        <v>2861</v>
      </c>
      <c r="I1974" s="3170"/>
      <c r="J1974" s="3170"/>
      <c r="K1974" s="3186"/>
      <c r="L1974" s="355" t="s">
        <v>5279</v>
      </c>
      <c r="M1974" s="1509"/>
      <c r="N1974" s="1509"/>
      <c r="O1974" s="1509"/>
      <c r="P1974" s="1509"/>
      <c r="Q1974" s="3161"/>
      <c r="R1974" s="443"/>
      <c r="S1974" s="364"/>
      <c r="Z1974" s="609" t="s">
        <v>806</v>
      </c>
      <c r="AA1974" s="609" t="s">
        <v>3371</v>
      </c>
    </row>
    <row r="1975" spans="1:27" ht="18">
      <c r="A1975" s="2714"/>
      <c r="B1975" s="371"/>
      <c r="C1975" s="371"/>
      <c r="D1975" s="2716"/>
      <c r="E1975" s="586" t="s">
        <v>2749</v>
      </c>
      <c r="F1975" s="414"/>
      <c r="G1975" s="3228"/>
      <c r="H1975" s="2474" t="str">
        <f>$Y$3</f>
        <v>2017年12月31日</v>
      </c>
      <c r="I1975" s="2294" t="s">
        <v>3027</v>
      </c>
      <c r="J1975" s="2294" t="s">
        <v>3028</v>
      </c>
      <c r="K1975" s="2334" t="str">
        <f>$V$3</f>
        <v>2018年12月31日</v>
      </c>
      <c r="L1975" s="355" t="s">
        <v>6138</v>
      </c>
      <c r="M1975" s="479"/>
      <c r="N1975" s="479"/>
      <c r="O1975" s="1462"/>
      <c r="P1975" s="1509"/>
      <c r="Q1975" s="3161"/>
      <c r="R1975" s="443"/>
      <c r="S1975" s="364"/>
      <c r="Z1975" s="609" t="s">
        <v>806</v>
      </c>
      <c r="AA1975" s="609" t="s">
        <v>3371</v>
      </c>
    </row>
    <row r="1976" spans="1:27" ht="18">
      <c r="A1976" s="2714"/>
      <c r="B1976" s="371">
        <v>101</v>
      </c>
      <c r="C1976" s="371" t="s">
        <v>2791</v>
      </c>
      <c r="D1976" s="2716">
        <f t="shared" ref="D1976:D1984" si="192">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2"/>
        <v>0</v>
      </c>
      <c r="E1977" s="2721">
        <v>1</v>
      </c>
      <c r="F1977" s="293"/>
      <c r="G1977" s="2284" t="s">
        <v>2792</v>
      </c>
      <c r="H1977" s="2275"/>
      <c r="I1977" s="2275"/>
      <c r="J1977" s="2275"/>
      <c r="K1977" s="1477">
        <f t="shared" ref="K1977:K1983" si="193">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2"/>
        <v>0</v>
      </c>
      <c r="E1978" s="2721">
        <v>1</v>
      </c>
      <c r="F1978" s="293"/>
      <c r="G1978" s="2284" t="s">
        <v>2792</v>
      </c>
      <c r="H1978" s="2275"/>
      <c r="I1978" s="2275"/>
      <c r="J1978" s="2275"/>
      <c r="K1978" s="1477">
        <f t="shared" si="193"/>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2"/>
        <v>0</v>
      </c>
      <c r="E1979" s="2721">
        <v>1</v>
      </c>
      <c r="F1979" s="293"/>
      <c r="G1979" s="2284" t="s">
        <v>2792</v>
      </c>
      <c r="H1979" s="2275"/>
      <c r="I1979" s="2275"/>
      <c r="J1979" s="2275"/>
      <c r="K1979" s="1477">
        <f t="shared" si="193"/>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2"/>
        <v>0</v>
      </c>
      <c r="E1980" s="2721">
        <v>1</v>
      </c>
      <c r="F1980" s="293"/>
      <c r="G1980" s="2284" t="s">
        <v>2792</v>
      </c>
      <c r="H1980" s="2275"/>
      <c r="I1980" s="2275"/>
      <c r="J1980" s="2275"/>
      <c r="K1980" s="1477">
        <f t="shared" si="193"/>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2"/>
        <v>0</v>
      </c>
      <c r="E1981" s="2721">
        <v>1</v>
      </c>
      <c r="F1981" s="293"/>
      <c r="G1981" s="2284" t="s">
        <v>2792</v>
      </c>
      <c r="H1981" s="2275"/>
      <c r="I1981" s="2275"/>
      <c r="J1981" s="2275"/>
      <c r="K1981" s="1477">
        <f t="shared" si="193"/>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2"/>
        <v>0</v>
      </c>
      <c r="E1982" s="2721">
        <v>1</v>
      </c>
      <c r="F1982" s="293"/>
      <c r="G1982" s="2284" t="s">
        <v>2792</v>
      </c>
      <c r="H1982" s="2275"/>
      <c r="I1982" s="2275"/>
      <c r="J1982" s="2275"/>
      <c r="K1982" s="1477">
        <f t="shared" si="193"/>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2"/>
        <v>0</v>
      </c>
      <c r="E1983" s="2721">
        <v>1</v>
      </c>
      <c r="F1983" s="293"/>
      <c r="G1983" s="2284" t="s">
        <v>2792</v>
      </c>
      <c r="H1983" s="2275"/>
      <c r="I1983" s="2275"/>
      <c r="J1983" s="2275"/>
      <c r="K1983" s="1477">
        <f t="shared" si="193"/>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2"/>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227" t="s">
        <v>3376</v>
      </c>
      <c r="H1989" s="3170" t="s">
        <v>3097</v>
      </c>
      <c r="I1989" s="3170"/>
      <c r="J1989" s="3170"/>
      <c r="K1989" s="3170"/>
      <c r="L1989" s="3170" t="s">
        <v>3378</v>
      </c>
      <c r="M1989" s="3186"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228"/>
      <c r="H1990" s="2474" t="str">
        <f>$Y$3</f>
        <v>2017年12月31日</v>
      </c>
      <c r="I1990" s="2294" t="s">
        <v>3027</v>
      </c>
      <c r="J1990" s="2294" t="s">
        <v>3028</v>
      </c>
      <c r="K1990" s="2333" t="str">
        <f>$V$3</f>
        <v>2018年12月31日</v>
      </c>
      <c r="L1990" s="3171"/>
      <c r="M1990" s="3236"/>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4">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4"/>
        <v>0</v>
      </c>
      <c r="E1992" s="2721">
        <v>1</v>
      </c>
      <c r="F1992" s="293"/>
      <c r="G1992" s="2284" t="s">
        <v>2792</v>
      </c>
      <c r="H1992" s="2275"/>
      <c r="I1992" s="2275"/>
      <c r="J1992" s="2275"/>
      <c r="K1992" s="1476">
        <f t="shared" ref="K1992:K1998" si="195">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4"/>
        <v>0</v>
      </c>
      <c r="E1993" s="2721">
        <v>1</v>
      </c>
      <c r="F1993" s="293"/>
      <c r="G1993" s="2284" t="s">
        <v>2792</v>
      </c>
      <c r="H1993" s="2275"/>
      <c r="I1993" s="2275"/>
      <c r="J1993" s="2275"/>
      <c r="K1993" s="1476">
        <f t="shared" si="195"/>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4"/>
        <v>0</v>
      </c>
      <c r="E1994" s="2721">
        <v>1</v>
      </c>
      <c r="F1994" s="293"/>
      <c r="G1994" s="2284" t="s">
        <v>2792</v>
      </c>
      <c r="H1994" s="2275"/>
      <c r="I1994" s="2275"/>
      <c r="J1994" s="2275"/>
      <c r="K1994" s="1476">
        <f t="shared" si="195"/>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4"/>
        <v>0</v>
      </c>
      <c r="E1995" s="2721">
        <v>1</v>
      </c>
      <c r="F1995" s="293"/>
      <c r="G1995" s="2284" t="s">
        <v>2792</v>
      </c>
      <c r="H1995" s="2275"/>
      <c r="I1995" s="2275"/>
      <c r="J1995" s="2275"/>
      <c r="K1995" s="1476">
        <f t="shared" si="195"/>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4"/>
        <v>0</v>
      </c>
      <c r="E1996" s="2721">
        <v>1</v>
      </c>
      <c r="F1996" s="293"/>
      <c r="G1996" s="2284" t="s">
        <v>2792</v>
      </c>
      <c r="H1996" s="2275"/>
      <c r="I1996" s="2275"/>
      <c r="J1996" s="2275"/>
      <c r="K1996" s="1476">
        <f t="shared" si="195"/>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4"/>
        <v>0</v>
      </c>
      <c r="E1997" s="2721">
        <v>1</v>
      </c>
      <c r="F1997" s="293"/>
      <c r="G1997" s="2284" t="s">
        <v>2792</v>
      </c>
      <c r="H1997" s="2275"/>
      <c r="I1997" s="2275"/>
      <c r="J1997" s="2275"/>
      <c r="K1997" s="1476">
        <f t="shared" si="195"/>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4"/>
        <v>0</v>
      </c>
      <c r="E1998" s="2721">
        <v>1</v>
      </c>
      <c r="F1998" s="293"/>
      <c r="G1998" s="2284" t="s">
        <v>2792</v>
      </c>
      <c r="H1998" s="2275"/>
      <c r="I1998" s="2275"/>
      <c r="J1998" s="2275"/>
      <c r="K1998" s="1476">
        <f t="shared" si="195"/>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4"/>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196">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196"/>
        <v>1</v>
      </c>
      <c r="E2005" s="2721">
        <v>1</v>
      </c>
      <c r="F2005" s="293"/>
      <c r="G2005" s="1474" t="s">
        <v>3355</v>
      </c>
      <c r="H2005" s="2275"/>
      <c r="I2005" s="2275"/>
      <c r="J2005" s="1477">
        <f t="shared" ref="J2005:J2010" si="197">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196"/>
        <v>1</v>
      </c>
      <c r="E2006" s="2721">
        <v>0</v>
      </c>
      <c r="F2006" s="293"/>
      <c r="G2006" s="1474" t="s">
        <v>3382</v>
      </c>
      <c r="H2006" s="2275"/>
      <c r="I2006" s="2275"/>
      <c r="J2006" s="1477">
        <f t="shared" si="197"/>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196"/>
        <v>1</v>
      </c>
      <c r="E2007" s="2721">
        <v>-1</v>
      </c>
      <c r="F2007" s="293"/>
      <c r="G2007" s="1474" t="s">
        <v>3028</v>
      </c>
      <c r="H2007" s="2275"/>
      <c r="I2007" s="2275"/>
      <c r="J2007" s="1477">
        <f t="shared" si="197"/>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196"/>
        <v>1</v>
      </c>
      <c r="E2008" s="2721">
        <v>0</v>
      </c>
      <c r="F2008" s="293"/>
      <c r="G2008" s="1474" t="s">
        <v>3383</v>
      </c>
      <c r="H2008" s="2275"/>
      <c r="I2008" s="2275"/>
      <c r="J2008" s="1477">
        <f t="shared" si="197"/>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196"/>
        <v>1</v>
      </c>
      <c r="E2009" s="2721">
        <v>1</v>
      </c>
      <c r="F2009" s="293"/>
      <c r="G2009" s="2548" t="s">
        <v>6135</v>
      </c>
      <c r="H2009" s="2275"/>
      <c r="I2009" s="2275"/>
      <c r="J2009" s="1477">
        <f t="shared" si="197"/>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196"/>
        <v>0</v>
      </c>
      <c r="E2010" s="2721">
        <v>1</v>
      </c>
      <c r="F2010" s="293"/>
      <c r="G2010" s="2284" t="s">
        <v>2792</v>
      </c>
      <c r="H2010" s="2275"/>
      <c r="I2010" s="2275"/>
      <c r="J2010" s="1477">
        <f t="shared" si="197"/>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196"/>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6614</v>
      </c>
      <c r="F2013" s="294"/>
      <c r="G2013" s="372" t="str">
        <f>"("&amp;B2013&amp;")"&amp;D2013</f>
        <v>(4)报告期内可供出售金融资产减值的变动情况</v>
      </c>
      <c r="H2013" s="1517" t="str">
        <f>$A2013</f>
        <v>1503d</v>
      </c>
      <c r="I2013" s="343" t="s">
        <v>6617</v>
      </c>
      <c r="J2013" s="301" t="s">
        <v>6616</v>
      </c>
      <c r="K2013" s="301"/>
      <c r="L2013" s="315"/>
      <c r="M2013" s="301" t="s">
        <v>6616</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198">SUMPRODUCT($E2015:$E2018,H2015:H2018)</f>
        <v>0</v>
      </c>
      <c r="I2019" s="453">
        <f t="shared" si="198"/>
        <v>0</v>
      </c>
      <c r="J2019" s="453">
        <f t="shared" si="198"/>
        <v>0</v>
      </c>
      <c r="K2019" s="453">
        <f t="shared" si="198"/>
        <v>0</v>
      </c>
      <c r="L2019" s="453">
        <f t="shared" si="198"/>
        <v>0</v>
      </c>
      <c r="M2019" s="471">
        <f t="shared" si="198"/>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71"/>
      <c r="L2021" s="315"/>
      <c r="M2021" s="301"/>
      <c r="N2021" s="3071"/>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199">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199"/>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199"/>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199"/>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199"/>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199"/>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0">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0"/>
        <v>1</v>
      </c>
      <c r="E2036" s="2721" t="s">
        <v>2939</v>
      </c>
      <c r="F2036" s="293"/>
      <c r="G2036" s="1474" t="s">
        <v>3415</v>
      </c>
      <c r="H2036" s="2299">
        <v>0</v>
      </c>
      <c r="I2036" s="2275"/>
      <c r="J2036" s="2275">
        <f t="shared" ref="J2036:J2045" si="201">H2036+I2036</f>
        <v>0</v>
      </c>
      <c r="K2036" s="2275"/>
      <c r="L2036" s="2275"/>
      <c r="M2036" s="2275">
        <f t="shared" ref="M2036:M2045" si="202">J2036+K2036+L2036</f>
        <v>0</v>
      </c>
      <c r="N2036" s="2275"/>
      <c r="O2036" s="2275"/>
      <c r="P2036" s="2275"/>
      <c r="Q2036" s="2276"/>
      <c r="S2036" s="364"/>
      <c r="Z2036" s="609" t="s">
        <v>849</v>
      </c>
      <c r="AA2036" s="609" t="s">
        <v>3401</v>
      </c>
    </row>
    <row r="2037" spans="1:29" ht="18">
      <c r="A2037" s="2714"/>
      <c r="B2037" s="371">
        <v>101.002</v>
      </c>
      <c r="C2037" s="371"/>
      <c r="D2037" s="2716">
        <f t="shared" si="200"/>
        <v>1</v>
      </c>
      <c r="E2037" s="2721" t="s">
        <v>2939</v>
      </c>
      <c r="F2037" s="293"/>
      <c r="G2037" s="1474" t="s">
        <v>3416</v>
      </c>
      <c r="H2037" s="2299">
        <v>0</v>
      </c>
      <c r="I2037" s="2275"/>
      <c r="J2037" s="2275">
        <f t="shared" si="201"/>
        <v>0</v>
      </c>
      <c r="K2037" s="2275"/>
      <c r="L2037" s="2275"/>
      <c r="M2037" s="2275">
        <f t="shared" si="202"/>
        <v>0</v>
      </c>
      <c r="N2037" s="2275"/>
      <c r="O2037" s="2275"/>
      <c r="P2037" s="2275"/>
      <c r="Q2037" s="2276"/>
      <c r="S2037" s="364"/>
      <c r="Z2037" s="609" t="s">
        <v>849</v>
      </c>
      <c r="AA2037" s="609" t="s">
        <v>3401</v>
      </c>
    </row>
    <row r="2038" spans="1:29" ht="18">
      <c r="A2038" s="2714"/>
      <c r="B2038" s="371">
        <v>101.003</v>
      </c>
      <c r="C2038" s="371"/>
      <c r="D2038" s="2716">
        <f t="shared" si="200"/>
        <v>1</v>
      </c>
      <c r="E2038" s="2721" t="s">
        <v>2939</v>
      </c>
      <c r="F2038" s="293"/>
      <c r="G2038" s="1474" t="s">
        <v>3417</v>
      </c>
      <c r="H2038" s="2299">
        <v>0</v>
      </c>
      <c r="I2038" s="2275"/>
      <c r="J2038" s="2275">
        <f t="shared" si="201"/>
        <v>0</v>
      </c>
      <c r="K2038" s="2275"/>
      <c r="L2038" s="2275"/>
      <c r="M2038" s="2275">
        <f t="shared" si="202"/>
        <v>0</v>
      </c>
      <c r="N2038" s="2275"/>
      <c r="O2038" s="2275"/>
      <c r="P2038" s="2275"/>
      <c r="Q2038" s="2276"/>
      <c r="S2038" s="364"/>
      <c r="Z2038" s="609" t="s">
        <v>849</v>
      </c>
      <c r="AA2038" s="609" t="s">
        <v>3401</v>
      </c>
    </row>
    <row r="2039" spans="1:29" ht="18">
      <c r="A2039" s="2714"/>
      <c r="B2039" s="371">
        <v>101.004</v>
      </c>
      <c r="C2039" s="371"/>
      <c r="D2039" s="2716">
        <f t="shared" si="200"/>
        <v>1</v>
      </c>
      <c r="E2039" s="2721" t="s">
        <v>2939</v>
      </c>
      <c r="F2039" s="293"/>
      <c r="G2039" s="1474" t="s">
        <v>3418</v>
      </c>
      <c r="H2039" s="2299">
        <v>0</v>
      </c>
      <c r="I2039" s="2275"/>
      <c r="J2039" s="2275">
        <f t="shared" si="201"/>
        <v>0</v>
      </c>
      <c r="K2039" s="2275"/>
      <c r="L2039" s="2275"/>
      <c r="M2039" s="2275">
        <f t="shared" si="202"/>
        <v>0</v>
      </c>
      <c r="N2039" s="2275"/>
      <c r="O2039" s="2275"/>
      <c r="P2039" s="2275"/>
      <c r="Q2039" s="2276"/>
      <c r="S2039" s="364"/>
      <c r="Z2039" s="609" t="s">
        <v>849</v>
      </c>
      <c r="AA2039" s="609" t="s">
        <v>3401</v>
      </c>
    </row>
    <row r="2040" spans="1:29" ht="18">
      <c r="A2040" s="2714"/>
      <c r="B2040" s="371">
        <v>101.005</v>
      </c>
      <c r="C2040" s="371"/>
      <c r="D2040" s="2716">
        <f t="shared" si="200"/>
        <v>1</v>
      </c>
      <c r="E2040" s="2721" t="s">
        <v>2939</v>
      </c>
      <c r="F2040" s="293"/>
      <c r="G2040" s="1474" t="s">
        <v>3419</v>
      </c>
      <c r="H2040" s="2299">
        <v>0</v>
      </c>
      <c r="I2040" s="2275"/>
      <c r="J2040" s="2275">
        <f t="shared" si="201"/>
        <v>0</v>
      </c>
      <c r="K2040" s="2275"/>
      <c r="L2040" s="2275"/>
      <c r="M2040" s="2275">
        <f t="shared" si="202"/>
        <v>0</v>
      </c>
      <c r="N2040" s="2275"/>
      <c r="O2040" s="2275"/>
      <c r="P2040" s="2275"/>
      <c r="Q2040" s="2276"/>
      <c r="S2040" s="364"/>
      <c r="Z2040" s="609" t="s">
        <v>849</v>
      </c>
      <c r="AA2040" s="609" t="s">
        <v>3401</v>
      </c>
    </row>
    <row r="2041" spans="1:29" ht="18">
      <c r="A2041" s="2714"/>
      <c r="B2041" s="371">
        <v>101.006</v>
      </c>
      <c r="C2041" s="371"/>
      <c r="D2041" s="2716">
        <f t="shared" si="200"/>
        <v>1</v>
      </c>
      <c r="E2041" s="2721" t="s">
        <v>2939</v>
      </c>
      <c r="F2041" s="293"/>
      <c r="G2041" s="1474" t="s">
        <v>3420</v>
      </c>
      <c r="H2041" s="2299">
        <v>0</v>
      </c>
      <c r="I2041" s="2275"/>
      <c r="J2041" s="2275">
        <f t="shared" si="201"/>
        <v>0</v>
      </c>
      <c r="K2041" s="2275"/>
      <c r="L2041" s="2275"/>
      <c r="M2041" s="2275">
        <f t="shared" si="202"/>
        <v>0</v>
      </c>
      <c r="N2041" s="2275"/>
      <c r="O2041" s="2275"/>
      <c r="P2041" s="2275"/>
      <c r="Q2041" s="2276"/>
      <c r="S2041" s="364"/>
      <c r="Z2041" s="609" t="s">
        <v>849</v>
      </c>
      <c r="AA2041" s="609" t="s">
        <v>3401</v>
      </c>
    </row>
    <row r="2042" spans="1:29" ht="18">
      <c r="A2042" s="2714"/>
      <c r="B2042" s="371">
        <v>101.00700000000001</v>
      </c>
      <c r="C2042" s="371"/>
      <c r="D2042" s="2716">
        <f t="shared" si="200"/>
        <v>1</v>
      </c>
      <c r="E2042" s="2721" t="s">
        <v>2939</v>
      </c>
      <c r="F2042" s="293"/>
      <c r="G2042" s="1474" t="s">
        <v>932</v>
      </c>
      <c r="H2042" s="2299">
        <v>0</v>
      </c>
      <c r="I2042" s="2275"/>
      <c r="J2042" s="2275">
        <f t="shared" si="201"/>
        <v>0</v>
      </c>
      <c r="K2042" s="2275"/>
      <c r="L2042" s="2275"/>
      <c r="M2042" s="2275">
        <f t="shared" si="202"/>
        <v>0</v>
      </c>
      <c r="N2042" s="2275"/>
      <c r="O2042" s="2275"/>
      <c r="P2042" s="2275"/>
      <c r="Q2042" s="2276"/>
      <c r="S2042" s="364"/>
      <c r="Z2042" s="609" t="s">
        <v>849</v>
      </c>
      <c r="AA2042" s="609" t="s">
        <v>3401</v>
      </c>
    </row>
    <row r="2043" spans="1:29" ht="18">
      <c r="A2043" s="2714"/>
      <c r="B2043" s="371">
        <v>101.008</v>
      </c>
      <c r="C2043" s="371" t="s">
        <v>2791</v>
      </c>
      <c r="D2043" s="2716">
        <f t="shared" si="200"/>
        <v>0</v>
      </c>
      <c r="E2043" s="2721" t="s">
        <v>2939</v>
      </c>
      <c r="F2043" s="293"/>
      <c r="G2043" s="2284" t="s">
        <v>2792</v>
      </c>
      <c r="H2043" s="2299">
        <v>0</v>
      </c>
      <c r="I2043" s="2275"/>
      <c r="J2043" s="2275">
        <f t="shared" si="201"/>
        <v>0</v>
      </c>
      <c r="K2043" s="2275"/>
      <c r="L2043" s="2275"/>
      <c r="M2043" s="2275">
        <f t="shared" si="202"/>
        <v>0</v>
      </c>
      <c r="N2043" s="2275"/>
      <c r="O2043" s="2275"/>
      <c r="P2043" s="2275"/>
      <c r="Q2043" s="2276"/>
      <c r="S2043" s="364"/>
      <c r="Z2043" s="609" t="s">
        <v>849</v>
      </c>
      <c r="AA2043" s="609" t="s">
        <v>3401</v>
      </c>
    </row>
    <row r="2044" spans="1:29" ht="18">
      <c r="A2044" s="2714"/>
      <c r="B2044" s="371">
        <v>102</v>
      </c>
      <c r="C2044" s="371" t="s">
        <v>2793</v>
      </c>
      <c r="D2044" s="2716">
        <f t="shared" si="200"/>
        <v>1</v>
      </c>
      <c r="E2044" s="2721">
        <v>1</v>
      </c>
      <c r="F2044" s="293"/>
      <c r="G2044" s="1474" t="s">
        <v>2939</v>
      </c>
      <c r="H2044" s="2335">
        <v>0</v>
      </c>
      <c r="I2044" s="1476">
        <f t="shared" ref="I2044:P2044" si="203">SUMIF($E$2034:$E$2045,$G2044,I$2034:I$2045)</f>
        <v>0</v>
      </c>
      <c r="J2044" s="1476">
        <f t="shared" si="203"/>
        <v>0</v>
      </c>
      <c r="K2044" s="1476">
        <f t="shared" si="203"/>
        <v>0</v>
      </c>
      <c r="L2044" s="1476">
        <f t="shared" si="203"/>
        <v>0</v>
      </c>
      <c r="M2044" s="1476">
        <f t="shared" si="203"/>
        <v>0</v>
      </c>
      <c r="N2044" s="1476">
        <f t="shared" si="203"/>
        <v>0</v>
      </c>
      <c r="O2044" s="1476">
        <f t="shared" si="203"/>
        <v>0</v>
      </c>
      <c r="P2044" s="1476">
        <f t="shared" si="203"/>
        <v>0</v>
      </c>
      <c r="Q2044" s="2276"/>
      <c r="S2044" s="364"/>
      <c r="Z2044" s="609" t="s">
        <v>849</v>
      </c>
      <c r="AA2044" s="609" t="s">
        <v>3401</v>
      </c>
    </row>
    <row r="2045" spans="1:29" ht="24">
      <c r="A2045" s="2714"/>
      <c r="B2045" s="371">
        <v>103</v>
      </c>
      <c r="C2045" s="371"/>
      <c r="D2045" s="2716">
        <f t="shared" si="200"/>
        <v>1</v>
      </c>
      <c r="E2045" s="2721">
        <v>-1</v>
      </c>
      <c r="F2045" s="293"/>
      <c r="G2045" s="1474" t="s">
        <v>3421</v>
      </c>
      <c r="H2045" s="2275"/>
      <c r="I2045" s="2275"/>
      <c r="J2045" s="2275">
        <f t="shared" si="201"/>
        <v>0</v>
      </c>
      <c r="K2045" s="2275"/>
      <c r="L2045" s="2275"/>
      <c r="M2045" s="2275">
        <f t="shared" si="202"/>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6574</v>
      </c>
    </row>
    <row r="2046" spans="1:29" ht="18.75" thickBot="1">
      <c r="A2046" s="2714"/>
      <c r="B2046" s="371"/>
      <c r="C2046" s="371"/>
      <c r="D2046" s="2716">
        <f t="shared" si="200"/>
        <v>1</v>
      </c>
      <c r="E2046" s="2721" t="s">
        <v>2751</v>
      </c>
      <c r="F2046" s="293"/>
      <c r="G2046" s="2234" t="s">
        <v>5141</v>
      </c>
      <c r="H2046" s="2336">
        <v>0</v>
      </c>
      <c r="I2046" s="2235">
        <f t="shared" ref="I2046:P2046" si="204">SUMPRODUCT($E2034:$E2045,I2034:I2045)</f>
        <v>0</v>
      </c>
      <c r="J2046" s="2235">
        <f t="shared" si="204"/>
        <v>0</v>
      </c>
      <c r="K2046" s="2235">
        <f t="shared" si="204"/>
        <v>0</v>
      </c>
      <c r="L2046" s="2235">
        <f t="shared" si="204"/>
        <v>0</v>
      </c>
      <c r="M2046" s="2235">
        <f t="shared" si="204"/>
        <v>0</v>
      </c>
      <c r="N2046" s="2235">
        <f t="shared" si="204"/>
        <v>0</v>
      </c>
      <c r="O2046" s="2235">
        <f t="shared" si="204"/>
        <v>0</v>
      </c>
      <c r="P2046" s="2235">
        <f t="shared" si="204"/>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227" t="s">
        <v>5134</v>
      </c>
      <c r="H2051" s="3173" t="str">
        <f>$V$2</f>
        <v>2019年12月31日</v>
      </c>
      <c r="I2051" s="3174"/>
      <c r="J2051" s="3174"/>
      <c r="K2051" s="3175"/>
      <c r="L2051" s="3176" t="str">
        <f>$V$3</f>
        <v>2018年12月31日</v>
      </c>
      <c r="M2051" s="3177"/>
      <c r="N2051" s="3177"/>
      <c r="O2051" s="3177"/>
      <c r="P2051" s="355" t="s">
        <v>5280</v>
      </c>
      <c r="Q2051" s="442"/>
      <c r="R2051" s="443"/>
      <c r="S2051" s="364"/>
      <c r="Z2051" s="609" t="s">
        <v>849</v>
      </c>
      <c r="AA2051" s="609" t="s">
        <v>3401</v>
      </c>
    </row>
    <row r="2052" spans="1:27" ht="18">
      <c r="A2052" s="2714"/>
      <c r="B2052" s="371"/>
      <c r="C2052" s="371"/>
      <c r="D2052" s="2716"/>
      <c r="E2052" s="586" t="s">
        <v>2749</v>
      </c>
      <c r="F2052" s="414"/>
      <c r="G2052" s="3228"/>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5">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5"/>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5"/>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5"/>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5"/>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5"/>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5"/>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5"/>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5"/>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6468</v>
      </c>
      <c r="I2064" s="371" t="s">
        <v>6528</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6393</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06">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06"/>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06"/>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06"/>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06"/>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6529</v>
      </c>
      <c r="I2080" s="547" t="s">
        <v>2947</v>
      </c>
      <c r="J2080" s="371" t="s">
        <v>2948</v>
      </c>
      <c r="K2080" s="547" t="s">
        <v>6530</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6407</v>
      </c>
      <c r="H2081" s="2310" t="s">
        <v>6408</v>
      </c>
      <c r="I2081" s="2687" t="s">
        <v>3360</v>
      </c>
      <c r="J2081" s="2687" t="s">
        <v>3097</v>
      </c>
      <c r="K2081" s="2689" t="s">
        <v>6409</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07">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07"/>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07"/>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07"/>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07"/>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07"/>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07"/>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07"/>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07"/>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6574</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6529</v>
      </c>
      <c r="I2093" s="371" t="s">
        <v>2947</v>
      </c>
      <c r="J2093" s="371" t="s">
        <v>2948</v>
      </c>
      <c r="K2093" s="547" t="s">
        <v>6530</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6410</v>
      </c>
      <c r="H2094" s="2310" t="s">
        <v>6411</v>
      </c>
      <c r="I2094" s="2687" t="s">
        <v>3148</v>
      </c>
      <c r="J2094" s="2687" t="s">
        <v>3097</v>
      </c>
      <c r="K2094" s="2689" t="s">
        <v>6412</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08">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08"/>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08"/>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08"/>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08"/>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08"/>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08"/>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08"/>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08"/>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6574</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6529</v>
      </c>
      <c r="I2106" s="371" t="s">
        <v>2947</v>
      </c>
      <c r="J2106" s="371" t="s">
        <v>2948</v>
      </c>
      <c r="K2106" s="547" t="s">
        <v>6530</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6413</v>
      </c>
      <c r="H2107" s="2310" t="s">
        <v>6414</v>
      </c>
      <c r="I2107" s="2687" t="s">
        <v>3148</v>
      </c>
      <c r="J2107" s="2687" t="s">
        <v>3097</v>
      </c>
      <c r="K2107" s="2689" t="s">
        <v>6415</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09">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09"/>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09"/>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09"/>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09"/>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09"/>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09"/>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09"/>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09"/>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6574</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227" t="s">
        <v>5117</v>
      </c>
      <c r="H2121" s="3168" t="str">
        <f>$V$3</f>
        <v>2018年12月31日</v>
      </c>
      <c r="I2121" s="3170" t="s">
        <v>5209</v>
      </c>
      <c r="J2121" s="3168" t="str">
        <f>$X$3</f>
        <v>2019年1月1日</v>
      </c>
      <c r="K2121" s="3172" t="s">
        <v>2919</v>
      </c>
      <c r="L2121" s="3172"/>
      <c r="M2121" s="3172"/>
      <c r="N2121" s="3151"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228"/>
      <c r="H2122" s="3169"/>
      <c r="I2122" s="3171"/>
      <c r="J2122" s="3169"/>
      <c r="K2122" s="2239" t="s">
        <v>5210</v>
      </c>
      <c r="L2122" s="2239" t="s">
        <v>5211</v>
      </c>
      <c r="M2122" s="2294" t="s">
        <v>5212</v>
      </c>
      <c r="N2122" s="3152"/>
      <c r="O2122" s="434"/>
      <c r="P2122" s="435"/>
      <c r="Q2122" s="442"/>
      <c r="R2122" s="443"/>
      <c r="S2122" s="364"/>
      <c r="Z2122" s="609" t="s">
        <v>849</v>
      </c>
      <c r="AA2122" s="609" t="s">
        <v>3401</v>
      </c>
    </row>
    <row r="2123" spans="1:29" ht="18">
      <c r="A2123" s="2714"/>
      <c r="B2123" s="371">
        <v>101</v>
      </c>
      <c r="C2123" s="371" t="s">
        <v>2791</v>
      </c>
      <c r="D2123" s="2716">
        <f t="shared" ref="D2123:D2128" si="210">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0"/>
        <v>0</v>
      </c>
      <c r="E2124" s="2721">
        <v>1</v>
      </c>
      <c r="F2124" s="293"/>
      <c r="G2124" s="2284" t="s">
        <v>5146</v>
      </c>
      <c r="H2124" s="2275"/>
      <c r="I2124" s="2275"/>
      <c r="J2124" s="1476">
        <f t="shared" ref="J2124:J2127" si="211">SUM(H2124:I2124)</f>
        <v>0</v>
      </c>
      <c r="K2124" s="2275"/>
      <c r="L2124" s="2275"/>
      <c r="M2124" s="2275"/>
      <c r="N2124" s="1477">
        <f t="shared" ref="N2124:N2127" si="212">SUM(J2124:K2124,-L2124,-M2124)</f>
        <v>0</v>
      </c>
      <c r="O2124" s="437"/>
      <c r="P2124" s="438"/>
      <c r="Q2124" s="442"/>
      <c r="R2124" s="443"/>
      <c r="S2124" s="364"/>
      <c r="Z2124" s="609" t="s">
        <v>849</v>
      </c>
      <c r="AA2124" s="609" t="s">
        <v>3401</v>
      </c>
    </row>
    <row r="2125" spans="1:29" ht="18">
      <c r="A2125" s="2714"/>
      <c r="B2125" s="371">
        <v>103</v>
      </c>
      <c r="C2125" s="371" t="s">
        <v>2791</v>
      </c>
      <c r="D2125" s="2716">
        <f t="shared" si="210"/>
        <v>0</v>
      </c>
      <c r="E2125" s="2721">
        <v>1</v>
      </c>
      <c r="F2125" s="293"/>
      <c r="G2125" s="2284" t="s">
        <v>5146</v>
      </c>
      <c r="H2125" s="2275"/>
      <c r="I2125" s="2275"/>
      <c r="J2125" s="1476">
        <f t="shared" si="211"/>
        <v>0</v>
      </c>
      <c r="K2125" s="2275"/>
      <c r="L2125" s="2275"/>
      <c r="M2125" s="2275"/>
      <c r="N2125" s="1477">
        <f t="shared" si="212"/>
        <v>0</v>
      </c>
      <c r="O2125" s="437"/>
      <c r="P2125" s="438"/>
      <c r="Q2125" s="442"/>
      <c r="R2125" s="443"/>
      <c r="S2125" s="364"/>
      <c r="Z2125" s="609" t="s">
        <v>849</v>
      </c>
      <c r="AA2125" s="609" t="s">
        <v>3401</v>
      </c>
    </row>
    <row r="2126" spans="1:29" ht="18">
      <c r="A2126" s="2714"/>
      <c r="B2126" s="371">
        <v>104</v>
      </c>
      <c r="C2126" s="371" t="s">
        <v>2791</v>
      </c>
      <c r="D2126" s="2716">
        <f t="shared" si="210"/>
        <v>0</v>
      </c>
      <c r="E2126" s="2721">
        <v>1</v>
      </c>
      <c r="F2126" s="293"/>
      <c r="G2126" s="2284" t="s">
        <v>5146</v>
      </c>
      <c r="H2126" s="2275"/>
      <c r="I2126" s="2341"/>
      <c r="J2126" s="1476">
        <f t="shared" si="211"/>
        <v>0</v>
      </c>
      <c r="K2126" s="2275"/>
      <c r="L2126" s="2275"/>
      <c r="M2126" s="2275"/>
      <c r="N2126" s="1477">
        <f t="shared" si="212"/>
        <v>0</v>
      </c>
      <c r="O2126" s="437"/>
      <c r="P2126" s="438"/>
      <c r="Q2126" s="442"/>
      <c r="R2126" s="443"/>
      <c r="S2126" s="364"/>
      <c r="Z2126" s="609" t="s">
        <v>849</v>
      </c>
      <c r="AA2126" s="609" t="s">
        <v>3401</v>
      </c>
      <c r="AC2126" s="369" t="s">
        <v>2794</v>
      </c>
    </row>
    <row r="2127" spans="1:29" ht="18">
      <c r="A2127" s="2714"/>
      <c r="B2127" s="371">
        <v>105</v>
      </c>
      <c r="C2127" s="371" t="s">
        <v>2791</v>
      </c>
      <c r="D2127" s="2716">
        <f t="shared" si="210"/>
        <v>0</v>
      </c>
      <c r="E2127" s="2721">
        <v>1</v>
      </c>
      <c r="F2127" s="293"/>
      <c r="G2127" s="2284" t="s">
        <v>5146</v>
      </c>
      <c r="H2127" s="2275"/>
      <c r="I2127" s="2275"/>
      <c r="J2127" s="1476">
        <f t="shared" si="211"/>
        <v>0</v>
      </c>
      <c r="K2127" s="2275"/>
      <c r="L2127" s="2275"/>
      <c r="M2127" s="2275"/>
      <c r="N2127" s="1477">
        <f t="shared" si="212"/>
        <v>0</v>
      </c>
      <c r="O2127" s="437"/>
      <c r="P2127" s="438"/>
      <c r="Q2127" s="442"/>
      <c r="R2127" s="443"/>
      <c r="S2127" s="364"/>
      <c r="Z2127" s="609" t="s">
        <v>849</v>
      </c>
      <c r="AA2127" s="609" t="s">
        <v>3401</v>
      </c>
    </row>
    <row r="2128" spans="1:29" ht="18.75" thickBot="1">
      <c r="A2128" s="2714"/>
      <c r="B2128" s="371"/>
      <c r="C2128" s="371"/>
      <c r="D2128" s="2716">
        <f t="shared" si="210"/>
        <v>1</v>
      </c>
      <c r="E2128" s="2721" t="s">
        <v>2751</v>
      </c>
      <c r="F2128" s="293"/>
      <c r="G2128" s="2234" t="s">
        <v>2752</v>
      </c>
      <c r="H2128" s="2235">
        <f t="shared" ref="H2128:N2128" si="213">SUMPRODUCT($E2122:$E2127,H2122:H2127)</f>
        <v>0</v>
      </c>
      <c r="I2128" s="2235">
        <f t="shared" si="213"/>
        <v>0</v>
      </c>
      <c r="J2128" s="2235">
        <f t="shared" si="213"/>
        <v>0</v>
      </c>
      <c r="K2128" s="2235">
        <f t="shared" si="213"/>
        <v>0</v>
      </c>
      <c r="L2128" s="2235">
        <f t="shared" si="213"/>
        <v>0</v>
      </c>
      <c r="M2128" s="2235">
        <f t="shared" si="213"/>
        <v>0</v>
      </c>
      <c r="N2128" s="2236">
        <f t="shared" si="213"/>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187" t="s">
        <v>5853</v>
      </c>
      <c r="H2140" s="2291" t="s">
        <v>3348</v>
      </c>
      <c r="I2140" s="2291" t="s">
        <v>3349</v>
      </c>
      <c r="J2140" s="2291" t="s">
        <v>3350</v>
      </c>
      <c r="K2140" s="3178"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226"/>
      <c r="H2141" s="2294" t="s">
        <v>3352</v>
      </c>
      <c r="I2141" s="2294" t="s">
        <v>3353</v>
      </c>
      <c r="J2141" s="2294" t="s">
        <v>3354</v>
      </c>
      <c r="K2141" s="3179"/>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4">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4"/>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4"/>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4"/>
        <v>1</v>
      </c>
      <c r="E2145" s="2721">
        <v>1</v>
      </c>
      <c r="F2145" s="293"/>
      <c r="G2145" s="578" t="s">
        <v>5203</v>
      </c>
      <c r="H2145" s="309"/>
      <c r="I2145" s="309"/>
      <c r="J2145" s="1465">
        <v>0</v>
      </c>
      <c r="K2145" s="361">
        <f t="shared" ref="K2145:K2153" si="215">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4"/>
        <v>1</v>
      </c>
      <c r="E2146" s="2721">
        <v>1</v>
      </c>
      <c r="F2146" s="293"/>
      <c r="G2146" s="578" t="s">
        <v>5204</v>
      </c>
      <c r="H2146" s="1465">
        <v>0</v>
      </c>
      <c r="I2146" s="1465">
        <v>0</v>
      </c>
      <c r="J2146" s="309"/>
      <c r="K2146" s="361">
        <f t="shared" si="215"/>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4"/>
        <v>1</v>
      </c>
      <c r="E2147" s="2721">
        <v>1</v>
      </c>
      <c r="F2147" s="293"/>
      <c r="G2147" s="578" t="s">
        <v>5205</v>
      </c>
      <c r="H2147" s="1465">
        <v>0</v>
      </c>
      <c r="I2147" s="309"/>
      <c r="J2147" s="309"/>
      <c r="K2147" s="361">
        <f t="shared" si="215"/>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4"/>
        <v>1</v>
      </c>
      <c r="E2148" s="2721">
        <v>1</v>
      </c>
      <c r="F2148" s="293"/>
      <c r="G2148" s="1486" t="s">
        <v>5206</v>
      </c>
      <c r="H2148" s="309"/>
      <c r="I2148" s="422"/>
      <c r="J2148" s="309"/>
      <c r="K2148" s="361">
        <f t="shared" si="215"/>
        <v>0</v>
      </c>
      <c r="L2148" s="437"/>
      <c r="M2148" s="438"/>
      <c r="N2148" s="439"/>
      <c r="O2148" s="437"/>
      <c r="P2148" s="438"/>
      <c r="Q2148" s="442"/>
      <c r="R2148" s="443"/>
      <c r="S2148" s="364"/>
      <c r="Z2148" s="609" t="s">
        <v>849</v>
      </c>
      <c r="AA2148" s="609" t="s">
        <v>3401</v>
      </c>
    </row>
    <row r="2149" spans="1:27" ht="18">
      <c r="A2149" s="2714"/>
      <c r="B2149" s="371">
        <v>108</v>
      </c>
      <c r="C2149" s="371"/>
      <c r="D2149" s="2716">
        <f t="shared" si="214"/>
        <v>1</v>
      </c>
      <c r="E2149" s="2721">
        <v>-1</v>
      </c>
      <c r="F2149" s="293"/>
      <c r="G2149" s="1486" t="s">
        <v>5207</v>
      </c>
      <c r="H2149" s="309"/>
      <c r="I2149" s="422"/>
      <c r="J2149" s="309"/>
      <c r="K2149" s="361">
        <f t="shared" si="215"/>
        <v>0</v>
      </c>
      <c r="L2149" s="437"/>
      <c r="M2149" s="438"/>
      <c r="N2149" s="439"/>
      <c r="O2149" s="437"/>
      <c r="P2149" s="438"/>
      <c r="Q2149" s="442"/>
      <c r="R2149" s="443"/>
      <c r="S2149" s="364"/>
      <c r="Z2149" s="609" t="s">
        <v>849</v>
      </c>
      <c r="AA2149" s="609" t="s">
        <v>3401</v>
      </c>
    </row>
    <row r="2150" spans="1:27" ht="18">
      <c r="A2150" s="2714"/>
      <c r="B2150" s="371">
        <v>109</v>
      </c>
      <c r="C2150" s="371"/>
      <c r="D2150" s="2716">
        <f t="shared" si="214"/>
        <v>1</v>
      </c>
      <c r="E2150" s="2721">
        <v>-1</v>
      </c>
      <c r="F2150" s="293"/>
      <c r="G2150" s="578" t="s">
        <v>3356</v>
      </c>
      <c r="H2150" s="309"/>
      <c r="I2150" s="422"/>
      <c r="J2150" s="309"/>
      <c r="K2150" s="361">
        <f t="shared" si="215"/>
        <v>0</v>
      </c>
      <c r="L2150" s="437"/>
      <c r="M2150" s="438"/>
      <c r="N2150" s="439"/>
      <c r="O2150" s="437"/>
      <c r="P2150" s="438"/>
      <c r="Q2150" s="442"/>
      <c r="R2150" s="443"/>
      <c r="S2150" s="364"/>
      <c r="Z2150" s="609" t="s">
        <v>849</v>
      </c>
      <c r="AA2150" s="609" t="s">
        <v>3401</v>
      </c>
    </row>
    <row r="2151" spans="1:27" ht="18">
      <c r="A2151" s="2714"/>
      <c r="B2151" s="371">
        <v>110</v>
      </c>
      <c r="C2151" s="371"/>
      <c r="D2151" s="2716">
        <f t="shared" si="214"/>
        <v>1</v>
      </c>
      <c r="E2151" s="2721">
        <v>-1</v>
      </c>
      <c r="F2151" s="293"/>
      <c r="G2151" s="578" t="s">
        <v>3357</v>
      </c>
      <c r="H2151" s="309"/>
      <c r="I2151" s="422"/>
      <c r="J2151" s="309"/>
      <c r="K2151" s="361">
        <f t="shared" si="215"/>
        <v>0</v>
      </c>
      <c r="L2151" s="437"/>
      <c r="M2151" s="438"/>
      <c r="N2151" s="439"/>
      <c r="O2151" s="437"/>
      <c r="P2151" s="438"/>
      <c r="Q2151" s="442"/>
      <c r="R2151" s="443"/>
      <c r="S2151" s="364"/>
      <c r="Z2151" s="609" t="s">
        <v>849</v>
      </c>
      <c r="AA2151" s="609" t="s">
        <v>3401</v>
      </c>
    </row>
    <row r="2152" spans="1:27" ht="24">
      <c r="A2152" s="2714"/>
      <c r="B2152" s="371">
        <v>111</v>
      </c>
      <c r="C2152" s="371"/>
      <c r="D2152" s="2716">
        <f t="shared" si="214"/>
        <v>1</v>
      </c>
      <c r="E2152" s="2721">
        <v>1</v>
      </c>
      <c r="F2152" s="293"/>
      <c r="G2152" s="1486" t="s">
        <v>5208</v>
      </c>
      <c r="H2152" s="309"/>
      <c r="I2152" s="422"/>
      <c r="J2152" s="309"/>
      <c r="K2152" s="361">
        <f t="shared" si="215"/>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4"/>
        <v>0</v>
      </c>
      <c r="E2153" s="2721">
        <v>1</v>
      </c>
      <c r="F2153" s="293"/>
      <c r="G2153" s="1464" t="s">
        <v>5147</v>
      </c>
      <c r="H2153" s="309"/>
      <c r="I2153" s="422"/>
      <c r="J2153" s="309"/>
      <c r="K2153" s="361">
        <f t="shared" si="215"/>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4"/>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259" t="s">
        <v>47</v>
      </c>
      <c r="H2160" s="3180" t="str">
        <f>$V$2</f>
        <v>2019年12月31日</v>
      </c>
      <c r="I2160" s="3181"/>
      <c r="J2160" s="3182"/>
      <c r="K2160" s="3235" t="str">
        <f>$V$3</f>
        <v>2018年12月31日</v>
      </c>
      <c r="L2160" s="3181"/>
      <c r="M2160" s="3181"/>
      <c r="N2160" s="355" t="s">
        <v>5281</v>
      </c>
      <c r="S2160" s="364"/>
      <c r="Z2160" s="609" t="s">
        <v>904</v>
      </c>
      <c r="AA2160" s="609" t="s">
        <v>5661</v>
      </c>
    </row>
    <row r="2161" spans="1:27" ht="18">
      <c r="A2161" s="2714"/>
      <c r="B2161" s="371"/>
      <c r="C2161" s="371"/>
      <c r="D2161" s="371"/>
      <c r="E2161" s="2716" t="s">
        <v>2749</v>
      </c>
      <c r="F2161" s="294"/>
      <c r="G2161" s="3260"/>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16">IF(OR(G2162="*",G2162="",G2162=0),0,COUNTIF($G$2162:$G$2169,G2162))</f>
        <v>0</v>
      </c>
      <c r="E2162" s="2721">
        <v>1</v>
      </c>
      <c r="F2162" s="294"/>
      <c r="G2162" s="409" t="s">
        <v>2792</v>
      </c>
      <c r="H2162" s="2329">
        <v>0</v>
      </c>
      <c r="I2162" s="2329">
        <v>0</v>
      </c>
      <c r="J2162" s="2329">
        <v>0</v>
      </c>
      <c r="K2162" s="383"/>
      <c r="L2162" s="383"/>
      <c r="M2162" s="401">
        <f t="shared" ref="M2162:M2168" si="217">K2162-L2162</f>
        <v>0</v>
      </c>
      <c r="S2162" s="364"/>
      <c r="Z2162" s="609" t="s">
        <v>904</v>
      </c>
      <c r="AA2162" s="609" t="s">
        <v>5661</v>
      </c>
    </row>
    <row r="2163" spans="1:27" ht="18">
      <c r="A2163" s="2714"/>
      <c r="B2163" s="371">
        <v>102</v>
      </c>
      <c r="C2163" s="371" t="s">
        <v>2791</v>
      </c>
      <c r="D2163" s="2716">
        <f t="shared" si="216"/>
        <v>0</v>
      </c>
      <c r="E2163" s="2721">
        <v>1</v>
      </c>
      <c r="F2163" s="294"/>
      <c r="G2163" s="409" t="s">
        <v>2792</v>
      </c>
      <c r="H2163" s="2329">
        <v>0</v>
      </c>
      <c r="I2163" s="2329">
        <v>0</v>
      </c>
      <c r="J2163" s="2329">
        <v>0</v>
      </c>
      <c r="K2163" s="383"/>
      <c r="L2163" s="383"/>
      <c r="M2163" s="401">
        <f t="shared" si="217"/>
        <v>0</v>
      </c>
      <c r="S2163" s="364"/>
      <c r="Z2163" s="609" t="s">
        <v>904</v>
      </c>
      <c r="AA2163" s="609" t="s">
        <v>5661</v>
      </c>
    </row>
    <row r="2164" spans="1:27" ht="18">
      <c r="A2164" s="2714"/>
      <c r="B2164" s="371">
        <v>103</v>
      </c>
      <c r="C2164" s="371" t="s">
        <v>2791</v>
      </c>
      <c r="D2164" s="2716">
        <f t="shared" si="216"/>
        <v>0</v>
      </c>
      <c r="E2164" s="2721">
        <v>1</v>
      </c>
      <c r="F2164" s="294"/>
      <c r="G2164" s="409" t="s">
        <v>2792</v>
      </c>
      <c r="H2164" s="2329">
        <v>0</v>
      </c>
      <c r="I2164" s="2329">
        <v>0</v>
      </c>
      <c r="J2164" s="2329">
        <v>0</v>
      </c>
      <c r="K2164" s="383"/>
      <c r="L2164" s="383"/>
      <c r="M2164" s="401">
        <f t="shared" si="217"/>
        <v>0</v>
      </c>
      <c r="S2164" s="364"/>
      <c r="Z2164" s="609" t="s">
        <v>904</v>
      </c>
      <c r="AA2164" s="609" t="s">
        <v>5661</v>
      </c>
    </row>
    <row r="2165" spans="1:27" ht="18">
      <c r="A2165" s="2714"/>
      <c r="B2165" s="371">
        <v>104</v>
      </c>
      <c r="C2165" s="371" t="s">
        <v>2791</v>
      </c>
      <c r="D2165" s="2716">
        <f t="shared" si="216"/>
        <v>0</v>
      </c>
      <c r="E2165" s="2721">
        <v>1</v>
      </c>
      <c r="F2165" s="294"/>
      <c r="G2165" s="409" t="s">
        <v>2792</v>
      </c>
      <c r="H2165" s="2329">
        <v>0</v>
      </c>
      <c r="I2165" s="2329">
        <v>0</v>
      </c>
      <c r="J2165" s="2329">
        <v>0</v>
      </c>
      <c r="K2165" s="383"/>
      <c r="L2165" s="383"/>
      <c r="M2165" s="401">
        <f t="shared" si="217"/>
        <v>0</v>
      </c>
      <c r="S2165" s="364"/>
      <c r="Z2165" s="609" t="s">
        <v>904</v>
      </c>
      <c r="AA2165" s="609" t="s">
        <v>5661</v>
      </c>
    </row>
    <row r="2166" spans="1:27" ht="18">
      <c r="A2166" s="2714"/>
      <c r="B2166" s="371">
        <v>105</v>
      </c>
      <c r="C2166" s="371" t="s">
        <v>2791</v>
      </c>
      <c r="D2166" s="2716">
        <f t="shared" si="216"/>
        <v>0</v>
      </c>
      <c r="E2166" s="2721">
        <v>1</v>
      </c>
      <c r="F2166" s="294"/>
      <c r="G2166" s="409" t="s">
        <v>2792</v>
      </c>
      <c r="H2166" s="2329">
        <v>0</v>
      </c>
      <c r="I2166" s="2329">
        <v>0</v>
      </c>
      <c r="J2166" s="2329">
        <v>0</v>
      </c>
      <c r="K2166" s="383"/>
      <c r="L2166" s="383"/>
      <c r="M2166" s="401">
        <f t="shared" si="217"/>
        <v>0</v>
      </c>
      <c r="S2166" s="364"/>
      <c r="Z2166" s="609" t="s">
        <v>904</v>
      </c>
      <c r="AA2166" s="609" t="s">
        <v>5661</v>
      </c>
    </row>
    <row r="2167" spans="1:27" ht="18">
      <c r="A2167" s="2714"/>
      <c r="B2167" s="371">
        <v>106</v>
      </c>
      <c r="C2167" s="371" t="s">
        <v>2791</v>
      </c>
      <c r="D2167" s="2716">
        <f t="shared" si="216"/>
        <v>0</v>
      </c>
      <c r="E2167" s="2721">
        <v>1</v>
      </c>
      <c r="F2167" s="294"/>
      <c r="G2167" s="409" t="s">
        <v>2792</v>
      </c>
      <c r="H2167" s="2329">
        <v>0</v>
      </c>
      <c r="I2167" s="2329">
        <v>0</v>
      </c>
      <c r="J2167" s="2329">
        <v>0</v>
      </c>
      <c r="K2167" s="386"/>
      <c r="L2167" s="386"/>
      <c r="M2167" s="401">
        <f t="shared" si="217"/>
        <v>0</v>
      </c>
      <c r="S2167" s="364"/>
      <c r="Z2167" s="609" t="s">
        <v>904</v>
      </c>
      <c r="AA2167" s="609" t="s">
        <v>5661</v>
      </c>
    </row>
    <row r="2168" spans="1:27" ht="18">
      <c r="A2168" s="2714"/>
      <c r="B2168" s="371">
        <v>107</v>
      </c>
      <c r="C2168" s="371" t="s">
        <v>2791</v>
      </c>
      <c r="D2168" s="2716">
        <f t="shared" si="216"/>
        <v>0</v>
      </c>
      <c r="E2168" s="2721">
        <v>1</v>
      </c>
      <c r="F2168" s="294"/>
      <c r="G2168" s="409" t="s">
        <v>2792</v>
      </c>
      <c r="H2168" s="2329">
        <v>0</v>
      </c>
      <c r="I2168" s="2329">
        <v>0</v>
      </c>
      <c r="J2168" s="2329">
        <v>0</v>
      </c>
      <c r="K2168" s="383"/>
      <c r="L2168" s="383"/>
      <c r="M2168" s="401">
        <f t="shared" si="217"/>
        <v>0</v>
      </c>
      <c r="S2168" s="364"/>
      <c r="Z2168" s="609" t="s">
        <v>904</v>
      </c>
      <c r="AA2168" s="609" t="s">
        <v>5661</v>
      </c>
    </row>
    <row r="2169" spans="1:27" ht="18.75" thickBot="1">
      <c r="A2169" s="2714"/>
      <c r="B2169" s="371"/>
      <c r="C2169" s="371"/>
      <c r="D2169" s="2716">
        <f t="shared" si="216"/>
        <v>1</v>
      </c>
      <c r="E2169" s="2721" t="s">
        <v>3032</v>
      </c>
      <c r="F2169" s="294"/>
      <c r="G2169" s="403" t="s">
        <v>2752</v>
      </c>
      <c r="H2169" s="404">
        <f t="shared" ref="H2169:M2169" si="218">SUMPRODUCT($E2161:$E2168,H2161:H2168)</f>
        <v>0</v>
      </c>
      <c r="I2169" s="404">
        <f t="shared" si="218"/>
        <v>0</v>
      </c>
      <c r="J2169" s="404">
        <f t="shared" si="218"/>
        <v>0</v>
      </c>
      <c r="K2169" s="404">
        <f t="shared" si="218"/>
        <v>0</v>
      </c>
      <c r="L2169" s="404">
        <f t="shared" si="218"/>
        <v>0</v>
      </c>
      <c r="M2169" s="413">
        <f t="shared" si="218"/>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71"/>
      <c r="L2171" s="315"/>
      <c r="M2171" s="301"/>
      <c r="N2171" s="3071"/>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19">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19"/>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19"/>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19"/>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19"/>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19"/>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6532</v>
      </c>
      <c r="F2181" s="294"/>
      <c r="G2181" s="372" t="str">
        <f>"("&amp;B2181&amp;")"&amp;D2181</f>
        <v>(3)本期重分类的持有至到期投资</v>
      </c>
      <c r="H2181" s="1517" t="str">
        <f>$A2181</f>
        <v>1501e</v>
      </c>
      <c r="I2181" s="343" t="s">
        <v>5965</v>
      </c>
      <c r="J2181" s="301"/>
      <c r="K2181" s="3071"/>
      <c r="L2181" s="315"/>
      <c r="M2181" s="301"/>
      <c r="N2181" s="3071"/>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0">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0"/>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0"/>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0"/>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0"/>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0"/>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6532</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1">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1"/>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1"/>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1"/>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1"/>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1"/>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220" t="s">
        <v>47</v>
      </c>
      <c r="H2205" s="3183" t="str">
        <f>$V$2</f>
        <v>2019年12月31日</v>
      </c>
      <c r="I2205" s="3184"/>
      <c r="J2205" s="3185"/>
      <c r="K2205" s="3183" t="str">
        <f>$V$3</f>
        <v>2018年12月31日</v>
      </c>
      <c r="L2205" s="3184"/>
      <c r="M2205" s="3185"/>
      <c r="N2205" s="3149" t="s">
        <v>3444</v>
      </c>
      <c r="O2205" s="355" t="s">
        <v>5282</v>
      </c>
      <c r="S2205" s="364"/>
      <c r="Z2205" s="609" t="s">
        <v>925</v>
      </c>
      <c r="AA2205" s="609" t="s">
        <v>3451</v>
      </c>
    </row>
    <row r="2206" spans="1:27" ht="18">
      <c r="A2206" s="2714"/>
      <c r="B2206" s="371"/>
      <c r="C2206" s="371"/>
      <c r="D2206" s="371"/>
      <c r="E2206" s="586" t="s">
        <v>2749</v>
      </c>
      <c r="F2206" s="363"/>
      <c r="G2206" s="3221"/>
      <c r="H2206" s="2283" t="s">
        <v>2861</v>
      </c>
      <c r="I2206" s="2283" t="s">
        <v>2862</v>
      </c>
      <c r="J2206" s="2283" t="s">
        <v>2863</v>
      </c>
      <c r="K2206" s="2283" t="s">
        <v>2861</v>
      </c>
      <c r="L2206" s="2283" t="s">
        <v>2862</v>
      </c>
      <c r="M2206" s="2283" t="s">
        <v>2863</v>
      </c>
      <c r="N2206" s="3150"/>
      <c r="S2206" s="364"/>
      <c r="Z2206" s="609" t="s">
        <v>925</v>
      </c>
      <c r="AA2206" s="609" t="s">
        <v>3451</v>
      </c>
    </row>
    <row r="2207" spans="1:27" ht="18">
      <c r="A2207" s="2714"/>
      <c r="B2207" s="371">
        <v>101</v>
      </c>
      <c r="C2207" s="371"/>
      <c r="D2207" s="2716">
        <f t="shared" ref="D2207:D2216" si="222">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2"/>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2"/>
        <v>1</v>
      </c>
      <c r="E2209" s="2721">
        <v>1</v>
      </c>
      <c r="F2209" s="294"/>
      <c r="G2209" s="1474" t="s">
        <v>3447</v>
      </c>
      <c r="H2209" s="2275"/>
      <c r="I2209" s="2275"/>
      <c r="J2209" s="1476">
        <f t="shared" ref="J2209:J2214" si="223">H2209-I2209</f>
        <v>0</v>
      </c>
      <c r="K2209" s="2275"/>
      <c r="L2209" s="2275"/>
      <c r="M2209" s="1476">
        <f t="shared" ref="M2209:M2214" si="224">K2209-L2209</f>
        <v>0</v>
      </c>
      <c r="N2209" s="2276"/>
      <c r="S2209" s="364"/>
      <c r="Z2209" s="609" t="s">
        <v>925</v>
      </c>
      <c r="AA2209" s="609" t="s">
        <v>3451</v>
      </c>
    </row>
    <row r="2210" spans="1:29" ht="18">
      <c r="A2210" s="2714"/>
      <c r="B2210" s="371">
        <v>104</v>
      </c>
      <c r="C2210" s="371"/>
      <c r="D2210" s="2716">
        <f t="shared" si="222"/>
        <v>1</v>
      </c>
      <c r="E2210" s="2721">
        <v>1</v>
      </c>
      <c r="F2210" s="294"/>
      <c r="G2210" s="1474" t="s">
        <v>3448</v>
      </c>
      <c r="H2210" s="2275"/>
      <c r="I2210" s="2275"/>
      <c r="J2210" s="1476">
        <f t="shared" si="223"/>
        <v>0</v>
      </c>
      <c r="K2210" s="2275"/>
      <c r="L2210" s="2275"/>
      <c r="M2210" s="1476">
        <f t="shared" si="224"/>
        <v>0</v>
      </c>
      <c r="N2210" s="2276"/>
      <c r="S2210" s="364"/>
      <c r="Z2210" s="609" t="s">
        <v>925</v>
      </c>
      <c r="AA2210" s="609" t="s">
        <v>3451</v>
      </c>
    </row>
    <row r="2211" spans="1:29" ht="18">
      <c r="A2211" s="2714"/>
      <c r="B2211" s="371">
        <v>105</v>
      </c>
      <c r="C2211" s="371"/>
      <c r="D2211" s="2716">
        <f t="shared" si="222"/>
        <v>1</v>
      </c>
      <c r="E2211" s="2721">
        <v>1</v>
      </c>
      <c r="F2211" s="294"/>
      <c r="G2211" s="1474" t="s">
        <v>3449</v>
      </c>
      <c r="H2211" s="2275"/>
      <c r="I2211" s="2275"/>
      <c r="J2211" s="1476">
        <f t="shared" si="223"/>
        <v>0</v>
      </c>
      <c r="K2211" s="2275"/>
      <c r="L2211" s="2275"/>
      <c r="M2211" s="1476">
        <f t="shared" si="224"/>
        <v>0</v>
      </c>
      <c r="N2211" s="2276"/>
      <c r="S2211" s="364"/>
      <c r="Z2211" s="609" t="s">
        <v>925</v>
      </c>
      <c r="AA2211" s="609" t="s">
        <v>3451</v>
      </c>
    </row>
    <row r="2212" spans="1:29" ht="18">
      <c r="A2212" s="2714"/>
      <c r="B2212" s="371">
        <v>106</v>
      </c>
      <c r="C2212" s="371"/>
      <c r="D2212" s="2716">
        <f t="shared" si="222"/>
        <v>1</v>
      </c>
      <c r="E2212" s="2721">
        <v>1</v>
      </c>
      <c r="F2212" s="294"/>
      <c r="G2212" s="1474" t="s">
        <v>3450</v>
      </c>
      <c r="H2212" s="2275"/>
      <c r="I2212" s="2275"/>
      <c r="J2212" s="1476">
        <f t="shared" si="223"/>
        <v>0</v>
      </c>
      <c r="K2212" s="2275"/>
      <c r="L2212" s="2275"/>
      <c r="M2212" s="1476">
        <f t="shared" si="224"/>
        <v>0</v>
      </c>
      <c r="N2212" s="2276"/>
      <c r="S2212" s="364"/>
      <c r="Z2212" s="609" t="s">
        <v>925</v>
      </c>
      <c r="AA2212" s="609" t="s">
        <v>3451</v>
      </c>
    </row>
    <row r="2213" spans="1:29" ht="18">
      <c r="A2213" s="2714"/>
      <c r="B2213" s="371">
        <v>107</v>
      </c>
      <c r="C2213" s="371" t="s">
        <v>2791</v>
      </c>
      <c r="D2213" s="2716">
        <f t="shared" si="222"/>
        <v>0</v>
      </c>
      <c r="E2213" s="2721">
        <v>1</v>
      </c>
      <c r="F2213" s="294"/>
      <c r="G2213" s="2284" t="s">
        <v>2792</v>
      </c>
      <c r="H2213" s="2275"/>
      <c r="I2213" s="2275"/>
      <c r="J2213" s="1476">
        <f t="shared" si="223"/>
        <v>0</v>
      </c>
      <c r="K2213" s="2275"/>
      <c r="L2213" s="2275"/>
      <c r="M2213" s="1476">
        <f t="shared" si="224"/>
        <v>0</v>
      </c>
      <c r="N2213" s="2276"/>
      <c r="S2213" s="364"/>
      <c r="Z2213" s="609" t="s">
        <v>925</v>
      </c>
      <c r="AA2213" s="609" t="s">
        <v>3451</v>
      </c>
    </row>
    <row r="2214" spans="1:29" ht="18">
      <c r="A2214" s="2714"/>
      <c r="B2214" s="371">
        <v>108</v>
      </c>
      <c r="C2214" s="371" t="s">
        <v>2791</v>
      </c>
      <c r="D2214" s="2716">
        <f t="shared" si="222"/>
        <v>0</v>
      </c>
      <c r="E2214" s="2721">
        <v>1</v>
      </c>
      <c r="F2214" s="294"/>
      <c r="G2214" s="2284" t="s">
        <v>2792</v>
      </c>
      <c r="H2214" s="2275"/>
      <c r="I2214" s="2275"/>
      <c r="J2214" s="1476">
        <f t="shared" si="223"/>
        <v>0</v>
      </c>
      <c r="K2214" s="2275"/>
      <c r="L2214" s="2275"/>
      <c r="M2214" s="1476">
        <f t="shared" si="224"/>
        <v>0</v>
      </c>
      <c r="N2214" s="2276"/>
      <c r="S2214" s="364"/>
      <c r="Z2214" s="609" t="s">
        <v>925</v>
      </c>
      <c r="AA2214" s="609" t="s">
        <v>3451</v>
      </c>
    </row>
    <row r="2215" spans="1:29" ht="18">
      <c r="A2215" s="2714"/>
      <c r="B2215" s="371">
        <v>109</v>
      </c>
      <c r="C2215" s="371" t="s">
        <v>2791</v>
      </c>
      <c r="D2215" s="2716">
        <f t="shared" si="222"/>
        <v>1</v>
      </c>
      <c r="E2215" s="2721">
        <v>-1</v>
      </c>
      <c r="F2215" s="294"/>
      <c r="G2215" s="2692" t="s">
        <v>6402</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6574</v>
      </c>
    </row>
    <row r="2216" spans="1:29" ht="18.75" thickBot="1">
      <c r="A2216" s="2714"/>
      <c r="B2216" s="371"/>
      <c r="C2216" s="371"/>
      <c r="D2216" s="2716">
        <f t="shared" si="222"/>
        <v>1</v>
      </c>
      <c r="E2216" s="2721" t="s">
        <v>2751</v>
      </c>
      <c r="F2216" s="294"/>
      <c r="G2216" s="374" t="s">
        <v>2752</v>
      </c>
      <c r="H2216" s="1478">
        <f t="shared" ref="H2216:M2216" si="225">SUMPRODUCT($E2206:$E2215,H2206:H2215)</f>
        <v>0</v>
      </c>
      <c r="I2216" s="1478">
        <f t="shared" si="225"/>
        <v>0</v>
      </c>
      <c r="J2216" s="1478">
        <f t="shared" si="225"/>
        <v>0</v>
      </c>
      <c r="K2216" s="1478">
        <f t="shared" si="225"/>
        <v>0</v>
      </c>
      <c r="L2216" s="1478">
        <f t="shared" si="225"/>
        <v>0</v>
      </c>
      <c r="M2216" s="1478">
        <f t="shared" si="225"/>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6574</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6532</v>
      </c>
      <c r="F2218" s="293"/>
      <c r="G2218" s="372" t="str">
        <f>"("&amp;B2218&amp;")"&amp;D2218</f>
        <v>(2.1)长期应收款按坏账计提方法分类披露（三阶段模型）</v>
      </c>
      <c r="H2218" s="1517" t="str">
        <f>$A2218</f>
        <v>1531t</v>
      </c>
      <c r="I2218" s="343" t="s">
        <v>5950</v>
      </c>
      <c r="J2218" s="301" t="s">
        <v>5951</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26">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26"/>
        <v>1</v>
      </c>
      <c r="E2222" s="2721">
        <v>1</v>
      </c>
      <c r="F2222" s="293"/>
      <c r="G2222" s="1474" t="s">
        <v>6031</v>
      </c>
      <c r="H2222" s="2275"/>
      <c r="I2222" s="2275"/>
      <c r="J2222" s="1477">
        <f t="shared" ref="J2222:J2224" si="227">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26"/>
        <v>1</v>
      </c>
      <c r="E2223" s="2721">
        <v>1</v>
      </c>
      <c r="F2223" s="293"/>
      <c r="G2223" s="1474" t="s">
        <v>6032</v>
      </c>
      <c r="H2223" s="2275"/>
      <c r="I2223" s="2275"/>
      <c r="J2223" s="1477">
        <f t="shared" si="227"/>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26"/>
        <v>0</v>
      </c>
      <c r="E2224" s="2721">
        <v>1</v>
      </c>
      <c r="F2224" s="293"/>
      <c r="G2224" s="2284" t="s">
        <v>2792</v>
      </c>
      <c r="H2224" s="2275"/>
      <c r="I2224" s="2275"/>
      <c r="J2224" s="1477">
        <f t="shared" si="227"/>
        <v>0</v>
      </c>
      <c r="K2224" s="391"/>
      <c r="L2224" s="456"/>
      <c r="M2224" s="456"/>
      <c r="N2224" s="456"/>
      <c r="O2224" s="456"/>
      <c r="P2224" s="301"/>
      <c r="S2224" s="364"/>
      <c r="Z2224" s="609" t="s">
        <v>925</v>
      </c>
      <c r="AA2224" s="609" t="s">
        <v>3451</v>
      </c>
    </row>
    <row r="2225" spans="1:27" ht="18.75" thickBot="1">
      <c r="A2225" s="2714"/>
      <c r="B2225" s="371"/>
      <c r="C2225" s="371"/>
      <c r="D2225" s="2716">
        <f t="shared" si="226"/>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28">SUM(L2221:L2224)</f>
        <v>0</v>
      </c>
      <c r="M2225" s="1531">
        <f t="shared" ca="1" si="228"/>
        <v>0</v>
      </c>
      <c r="N2225" s="1531">
        <f t="shared" ca="1" si="228"/>
        <v>0</v>
      </c>
      <c r="O2225" s="1531">
        <f t="shared" si="228"/>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29">I2225</f>
        <v>0</v>
      </c>
      <c r="J2229" s="456">
        <f t="shared" si="229"/>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6557</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0">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0"/>
        <v>0</v>
      </c>
      <c r="E2238" s="2721">
        <v>0</v>
      </c>
      <c r="F2238" s="293"/>
      <c r="G2238" s="2284" t="s">
        <v>2792</v>
      </c>
      <c r="H2238" s="2275"/>
      <c r="I2238" s="2298"/>
      <c r="J2238" s="2275"/>
      <c r="K2238" s="1476">
        <f t="shared" ref="K2238:K2244" si="231">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0"/>
        <v>0</v>
      </c>
      <c r="E2239" s="2721">
        <v>0</v>
      </c>
      <c r="F2239" s="293"/>
      <c r="G2239" s="2284" t="s">
        <v>2792</v>
      </c>
      <c r="H2239" s="2275"/>
      <c r="I2239" s="2298"/>
      <c r="J2239" s="2275"/>
      <c r="K2239" s="1476">
        <f t="shared" si="231"/>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0"/>
        <v>0</v>
      </c>
      <c r="E2240" s="2721">
        <v>0</v>
      </c>
      <c r="F2240" s="293"/>
      <c r="G2240" s="2284" t="s">
        <v>2792</v>
      </c>
      <c r="H2240" s="2275"/>
      <c r="I2240" s="2298"/>
      <c r="J2240" s="2275"/>
      <c r="K2240" s="1476">
        <f t="shared" si="231"/>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0"/>
        <v>1</v>
      </c>
      <c r="E2241" s="2721">
        <v>1</v>
      </c>
      <c r="F2241" s="293"/>
      <c r="G2241" s="1474" t="s">
        <v>2892</v>
      </c>
      <c r="H2241" s="2275">
        <f>SUM(H2242:H2244)</f>
        <v>0</v>
      </c>
      <c r="I2241" s="2298"/>
      <c r="J2241" s="2275">
        <f>SUM(J2242:J2244)</f>
        <v>0</v>
      </c>
      <c r="K2241" s="1476">
        <f t="shared" si="231"/>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0"/>
        <v>0</v>
      </c>
      <c r="E2242" s="2721">
        <v>0</v>
      </c>
      <c r="F2242" s="293"/>
      <c r="G2242" s="2284" t="s">
        <v>2792</v>
      </c>
      <c r="H2242" s="2275"/>
      <c r="I2242" s="2298"/>
      <c r="J2242" s="2275"/>
      <c r="K2242" s="1476">
        <f t="shared" si="231"/>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0"/>
        <v>0</v>
      </c>
      <c r="E2243" s="2721">
        <v>0</v>
      </c>
      <c r="F2243" s="293"/>
      <c r="G2243" s="2284" t="s">
        <v>2792</v>
      </c>
      <c r="H2243" s="2275"/>
      <c r="I2243" s="2298"/>
      <c r="J2243" s="2275"/>
      <c r="K2243" s="1476">
        <f t="shared" si="231"/>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0"/>
        <v>0</v>
      </c>
      <c r="E2244" s="2721">
        <v>0</v>
      </c>
      <c r="F2244" s="293"/>
      <c r="G2244" s="2284" t="s">
        <v>2792</v>
      </c>
      <c r="H2244" s="2275"/>
      <c r="I2244" s="2298"/>
      <c r="J2244" s="2275"/>
      <c r="K2244" s="1476">
        <f t="shared" si="231"/>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0"/>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6574</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6558</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2">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2"/>
        <v>0</v>
      </c>
      <c r="E2251" s="2721">
        <v>0</v>
      </c>
      <c r="F2251" s="293"/>
      <c r="G2251" s="2284" t="s">
        <v>2792</v>
      </c>
      <c r="H2251" s="2275"/>
      <c r="I2251" s="2298"/>
      <c r="J2251" s="2275"/>
      <c r="K2251" s="1476">
        <f t="shared" ref="K2251:K2257" si="233">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2"/>
        <v>0</v>
      </c>
      <c r="E2252" s="2721">
        <v>0</v>
      </c>
      <c r="F2252" s="293"/>
      <c r="G2252" s="2284" t="s">
        <v>2792</v>
      </c>
      <c r="H2252" s="2275"/>
      <c r="I2252" s="2298"/>
      <c r="J2252" s="2275"/>
      <c r="K2252" s="1476">
        <f t="shared" si="233"/>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2"/>
        <v>0</v>
      </c>
      <c r="E2253" s="2721">
        <v>0</v>
      </c>
      <c r="F2253" s="293"/>
      <c r="G2253" s="2284" t="s">
        <v>2792</v>
      </c>
      <c r="H2253" s="2275"/>
      <c r="I2253" s="2298"/>
      <c r="J2253" s="2275"/>
      <c r="K2253" s="1476">
        <f t="shared" si="233"/>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2"/>
        <v>1</v>
      </c>
      <c r="E2254" s="2721">
        <v>1</v>
      </c>
      <c r="F2254" s="293"/>
      <c r="G2254" s="1474" t="s">
        <v>2892</v>
      </c>
      <c r="H2254" s="2275">
        <f>SUM(H2255:H2257)</f>
        <v>0</v>
      </c>
      <c r="I2254" s="2298"/>
      <c r="J2254" s="2275">
        <f>SUM(J2255:J2257)</f>
        <v>0</v>
      </c>
      <c r="K2254" s="1476">
        <f t="shared" si="233"/>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2"/>
        <v>0</v>
      </c>
      <c r="E2255" s="2721">
        <v>0</v>
      </c>
      <c r="F2255" s="293"/>
      <c r="G2255" s="2284" t="s">
        <v>2792</v>
      </c>
      <c r="H2255" s="2275"/>
      <c r="I2255" s="2298"/>
      <c r="J2255" s="2275"/>
      <c r="K2255" s="1476">
        <f t="shared" si="233"/>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2"/>
        <v>0</v>
      </c>
      <c r="E2256" s="2721">
        <v>0</v>
      </c>
      <c r="F2256" s="293"/>
      <c r="G2256" s="2284" t="s">
        <v>2792</v>
      </c>
      <c r="H2256" s="2275"/>
      <c r="I2256" s="2298"/>
      <c r="J2256" s="2275"/>
      <c r="K2256" s="1476">
        <f t="shared" si="233"/>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2"/>
        <v>0</v>
      </c>
      <c r="E2257" s="2721">
        <v>0</v>
      </c>
      <c r="F2257" s="293"/>
      <c r="G2257" s="2284" t="s">
        <v>2792</v>
      </c>
      <c r="H2257" s="2275"/>
      <c r="I2257" s="2298"/>
      <c r="J2257" s="2275"/>
      <c r="K2257" s="1476">
        <f t="shared" si="233"/>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2"/>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6574</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6559</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4">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4"/>
        <v>0</v>
      </c>
      <c r="E2264" s="2721">
        <v>0</v>
      </c>
      <c r="F2264" s="293"/>
      <c r="G2264" s="2284" t="s">
        <v>2792</v>
      </c>
      <c r="H2264" s="2275"/>
      <c r="I2264" s="2298"/>
      <c r="J2264" s="2275"/>
      <c r="K2264" s="1476">
        <f t="shared" ref="K2264:K2270" si="235">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4"/>
        <v>0</v>
      </c>
      <c r="E2265" s="2721">
        <v>0</v>
      </c>
      <c r="F2265" s="293"/>
      <c r="G2265" s="2284" t="s">
        <v>2792</v>
      </c>
      <c r="H2265" s="2275"/>
      <c r="I2265" s="2298"/>
      <c r="J2265" s="2275"/>
      <c r="K2265" s="1476">
        <f t="shared" si="235"/>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4"/>
        <v>0</v>
      </c>
      <c r="E2266" s="2721">
        <v>0</v>
      </c>
      <c r="F2266" s="293"/>
      <c r="G2266" s="2284" t="s">
        <v>2792</v>
      </c>
      <c r="H2266" s="2275"/>
      <c r="I2266" s="2298"/>
      <c r="J2266" s="2275"/>
      <c r="K2266" s="1476">
        <f t="shared" si="235"/>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4"/>
        <v>1</v>
      </c>
      <c r="E2267" s="2721">
        <v>1</v>
      </c>
      <c r="F2267" s="293"/>
      <c r="G2267" s="1474" t="s">
        <v>2892</v>
      </c>
      <c r="H2267" s="2275">
        <f>SUM(H2268:H2270)</f>
        <v>0</v>
      </c>
      <c r="I2267" s="2298"/>
      <c r="J2267" s="2275">
        <f>SUM(J2268:J2270)</f>
        <v>0</v>
      </c>
      <c r="K2267" s="1476">
        <f t="shared" si="235"/>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4"/>
        <v>0</v>
      </c>
      <c r="E2268" s="2721">
        <v>0</v>
      </c>
      <c r="F2268" s="293"/>
      <c r="G2268" s="2284" t="s">
        <v>2792</v>
      </c>
      <c r="H2268" s="2275"/>
      <c r="I2268" s="2298"/>
      <c r="J2268" s="2275"/>
      <c r="K2268" s="1476">
        <f t="shared" si="235"/>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4"/>
        <v>0</v>
      </c>
      <c r="E2269" s="2721">
        <v>0</v>
      </c>
      <c r="F2269" s="293"/>
      <c r="G2269" s="2284" t="s">
        <v>2792</v>
      </c>
      <c r="H2269" s="2275"/>
      <c r="I2269" s="2298"/>
      <c r="J2269" s="2275"/>
      <c r="K2269" s="1476">
        <f t="shared" si="235"/>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4"/>
        <v>0</v>
      </c>
      <c r="E2270" s="2721">
        <v>0</v>
      </c>
      <c r="F2270" s="293"/>
      <c r="G2270" s="2284" t="s">
        <v>2792</v>
      </c>
      <c r="H2270" s="2275"/>
      <c r="I2270" s="2298"/>
      <c r="J2270" s="2275"/>
      <c r="K2270" s="1476">
        <f t="shared" si="235"/>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4"/>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6574</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227" t="s">
        <v>5135</v>
      </c>
      <c r="H2276" s="3186" t="str">
        <f>$W$3&amp;"账面余额"</f>
        <v>2018年12月31日账面余额</v>
      </c>
      <c r="I2276" s="3187"/>
      <c r="J2276" s="3186" t="str">
        <f>$W$3&amp;"坏账准备"</f>
        <v>2018年12月31日坏账准备</v>
      </c>
      <c r="K2276" s="3187"/>
      <c r="L2276" s="3143"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228"/>
      <c r="H2277" s="2294" t="s">
        <v>2887</v>
      </c>
      <c r="I2277" s="2294" t="s">
        <v>2888</v>
      </c>
      <c r="J2277" s="2294" t="s">
        <v>2887</v>
      </c>
      <c r="K2277" s="2239" t="s">
        <v>2889</v>
      </c>
      <c r="L2277" s="3144"/>
      <c r="M2277" s="435"/>
      <c r="N2277" s="434"/>
      <c r="O2277" s="434"/>
      <c r="P2277" s="435"/>
      <c r="Q2277" s="442"/>
      <c r="R2277" s="443"/>
      <c r="S2277" s="364"/>
      <c r="Z2277" s="609" t="s">
        <v>925</v>
      </c>
      <c r="AA2277" s="609" t="s">
        <v>3451</v>
      </c>
    </row>
    <row r="2278" spans="1:29" ht="24">
      <c r="A2278" s="2714"/>
      <c r="B2278" s="371">
        <v>101</v>
      </c>
      <c r="C2278" s="371"/>
      <c r="D2278" s="2716">
        <f t="shared" ref="D2278:D2284" si="236">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6574</v>
      </c>
    </row>
    <row r="2279" spans="1:29" ht="24">
      <c r="A2279" s="2714"/>
      <c r="B2279" s="371">
        <v>102</v>
      </c>
      <c r="C2279" s="371"/>
      <c r="D2279" s="2716">
        <f t="shared" si="236"/>
        <v>1</v>
      </c>
      <c r="E2279" s="2721">
        <v>1</v>
      </c>
      <c r="F2279" s="293"/>
      <c r="G2279" s="1474" t="s">
        <v>3461</v>
      </c>
      <c r="H2279" s="2275"/>
      <c r="I2279" s="2298"/>
      <c r="J2279" s="2275"/>
      <c r="K2279" s="2298"/>
      <c r="L2279" s="1477">
        <f t="shared" ref="L2279:L2283" si="237">H2279-J2279</f>
        <v>0</v>
      </c>
      <c r="M2279" s="438"/>
      <c r="N2279" s="439"/>
      <c r="O2279" s="437"/>
      <c r="P2279" s="438"/>
      <c r="Q2279" s="442"/>
      <c r="R2279" s="443"/>
      <c r="S2279" s="364"/>
      <c r="Z2279" s="609" t="s">
        <v>925</v>
      </c>
      <c r="AA2279" s="609" t="s">
        <v>3451</v>
      </c>
    </row>
    <row r="2280" spans="1:29" ht="24">
      <c r="A2280" s="2714"/>
      <c r="B2280" s="371">
        <v>103</v>
      </c>
      <c r="C2280" s="371"/>
      <c r="D2280" s="2716">
        <f t="shared" si="236"/>
        <v>1</v>
      </c>
      <c r="E2280" s="2721">
        <v>1</v>
      </c>
      <c r="F2280" s="293"/>
      <c r="G2280" s="1474" t="s">
        <v>3462</v>
      </c>
      <c r="H2280" s="2275"/>
      <c r="I2280" s="2298"/>
      <c r="J2280" s="2275"/>
      <c r="K2280" s="2298"/>
      <c r="L2280" s="1477">
        <f t="shared" si="237"/>
        <v>0</v>
      </c>
      <c r="M2280" s="438"/>
      <c r="N2280" s="439"/>
      <c r="O2280" s="437"/>
      <c r="P2280" s="438"/>
      <c r="Q2280" s="442"/>
      <c r="R2280" s="443"/>
      <c r="S2280" s="364"/>
      <c r="Z2280" s="609" t="s">
        <v>925</v>
      </c>
      <c r="AA2280" s="609" t="s">
        <v>3451</v>
      </c>
    </row>
    <row r="2281" spans="1:29" ht="18">
      <c r="A2281" s="2714"/>
      <c r="B2281" s="371">
        <v>104</v>
      </c>
      <c r="C2281" s="371" t="s">
        <v>2791</v>
      </c>
      <c r="D2281" s="2716">
        <f t="shared" si="236"/>
        <v>0</v>
      </c>
      <c r="E2281" s="2721">
        <v>1</v>
      </c>
      <c r="F2281" s="293"/>
      <c r="G2281" s="2284" t="s">
        <v>2792</v>
      </c>
      <c r="H2281" s="2275"/>
      <c r="I2281" s="2298"/>
      <c r="J2281" s="2275"/>
      <c r="K2281" s="2298"/>
      <c r="L2281" s="1477">
        <f t="shared" si="237"/>
        <v>0</v>
      </c>
      <c r="M2281" s="438"/>
      <c r="N2281" s="439"/>
      <c r="O2281" s="437"/>
      <c r="P2281" s="438"/>
      <c r="Q2281" s="442"/>
      <c r="R2281" s="443"/>
      <c r="S2281" s="364"/>
      <c r="Z2281" s="609" t="s">
        <v>925</v>
      </c>
      <c r="AA2281" s="609" t="s">
        <v>3451</v>
      </c>
    </row>
    <row r="2282" spans="1:29" ht="18">
      <c r="A2282" s="2714"/>
      <c r="B2282" s="371">
        <v>105</v>
      </c>
      <c r="C2282" s="371" t="s">
        <v>2791</v>
      </c>
      <c r="D2282" s="2716">
        <f t="shared" si="236"/>
        <v>0</v>
      </c>
      <c r="E2282" s="2721">
        <v>1</v>
      </c>
      <c r="F2282" s="293"/>
      <c r="G2282" s="2284" t="s">
        <v>2792</v>
      </c>
      <c r="H2282" s="2275"/>
      <c r="I2282" s="2298"/>
      <c r="J2282" s="2275"/>
      <c r="K2282" s="2298"/>
      <c r="L2282" s="1477">
        <f t="shared" si="237"/>
        <v>0</v>
      </c>
      <c r="M2282" s="438"/>
      <c r="N2282" s="439"/>
      <c r="O2282" s="437"/>
      <c r="P2282" s="438"/>
      <c r="Q2282" s="442"/>
      <c r="R2282" s="443"/>
      <c r="S2282" s="364"/>
      <c r="Z2282" s="609" t="s">
        <v>925</v>
      </c>
      <c r="AA2282" s="609" t="s">
        <v>3451</v>
      </c>
    </row>
    <row r="2283" spans="1:29" ht="18">
      <c r="A2283" s="2714"/>
      <c r="B2283" s="371">
        <v>106</v>
      </c>
      <c r="C2283" s="371" t="s">
        <v>2791</v>
      </c>
      <c r="D2283" s="2716">
        <f t="shared" si="236"/>
        <v>0</v>
      </c>
      <c r="E2283" s="2721">
        <v>1</v>
      </c>
      <c r="F2283" s="293"/>
      <c r="G2283" s="2284" t="s">
        <v>2792</v>
      </c>
      <c r="H2283" s="2275"/>
      <c r="I2283" s="2298"/>
      <c r="J2283" s="2275"/>
      <c r="K2283" s="2298"/>
      <c r="L2283" s="1477">
        <f t="shared" si="237"/>
        <v>0</v>
      </c>
      <c r="M2283" s="438"/>
      <c r="N2283" s="439"/>
      <c r="O2283" s="437"/>
      <c r="P2283" s="438"/>
      <c r="Q2283" s="442"/>
      <c r="R2283" s="443"/>
      <c r="S2283" s="364"/>
      <c r="Z2283" s="609" t="s">
        <v>925</v>
      </c>
      <c r="AA2283" s="609" t="s">
        <v>3451</v>
      </c>
    </row>
    <row r="2284" spans="1:29" ht="18.75" thickBot="1">
      <c r="A2284" s="2714"/>
      <c r="B2284" s="371"/>
      <c r="C2284" s="371"/>
      <c r="D2284" s="2716">
        <f t="shared" si="236"/>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6560</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227" t="s">
        <v>6140</v>
      </c>
      <c r="H2296" s="3173" t="str">
        <f>$V$3</f>
        <v>2018年12月31日</v>
      </c>
      <c r="I2296" s="3174"/>
      <c r="J2296" s="3174"/>
      <c r="K2296" s="3174"/>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228"/>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38">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38"/>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38"/>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38"/>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38"/>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38"/>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38"/>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38"/>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38"/>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6561</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267" t="s">
        <v>5948</v>
      </c>
      <c r="H2318" s="3146" t="str">
        <f>$V$3</f>
        <v>2018年12月31日</v>
      </c>
      <c r="I2318" s="3147"/>
      <c r="J2318" s="3147"/>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268"/>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39">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39"/>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39"/>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39"/>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39"/>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39"/>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39"/>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39"/>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39"/>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227" t="s">
        <v>6009</v>
      </c>
      <c r="H2333" s="3168" t="str">
        <f>$V$3</f>
        <v>2018年12月31日</v>
      </c>
      <c r="I2333" s="3170" t="s">
        <v>6010</v>
      </c>
      <c r="J2333" s="3168" t="str">
        <f>$X$3</f>
        <v>2019年1月1日</v>
      </c>
      <c r="K2333" s="3172" t="s">
        <v>2919</v>
      </c>
      <c r="L2333" s="3172"/>
      <c r="M2333" s="3172"/>
      <c r="N2333" s="3151"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228"/>
      <c r="H2334" s="3169"/>
      <c r="I2334" s="3171"/>
      <c r="J2334" s="3169"/>
      <c r="K2334" s="2239" t="s">
        <v>6027</v>
      </c>
      <c r="L2334" s="2239" t="s">
        <v>6012</v>
      </c>
      <c r="M2334" s="2294" t="s">
        <v>6034</v>
      </c>
      <c r="N2334" s="3152"/>
      <c r="O2334" s="434"/>
      <c r="P2334" s="435"/>
      <c r="Q2334" s="442"/>
      <c r="R2334" s="443"/>
      <c r="S2334" s="364"/>
      <c r="Z2334" s="609" t="s">
        <v>925</v>
      </c>
      <c r="AA2334" s="609" t="s">
        <v>3451</v>
      </c>
    </row>
    <row r="2335" spans="1:27" ht="18">
      <c r="A2335" s="2714"/>
      <c r="B2335" s="371">
        <v>101</v>
      </c>
      <c r="C2335" s="371" t="s">
        <v>2791</v>
      </c>
      <c r="D2335" s="2716">
        <f t="shared" ref="D2335:D2340" si="240">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0"/>
        <v>0</v>
      </c>
      <c r="E2336" s="2721">
        <v>1</v>
      </c>
      <c r="F2336" s="293"/>
      <c r="G2336" s="2284" t="s">
        <v>2792</v>
      </c>
      <c r="H2336" s="2275"/>
      <c r="I2336" s="2275"/>
      <c r="J2336" s="1476">
        <f t="shared" ref="J2336:J2339" si="241">SUM(H2336:I2336)</f>
        <v>0</v>
      </c>
      <c r="K2336" s="2275"/>
      <c r="L2336" s="2275"/>
      <c r="M2336" s="2275"/>
      <c r="N2336" s="1477">
        <f t="shared" ref="N2336:N2339" si="242">SUM(J2336:K2336,-L2336,-M2336)</f>
        <v>0</v>
      </c>
      <c r="O2336" s="437"/>
      <c r="P2336" s="438"/>
      <c r="Q2336" s="442"/>
      <c r="R2336" s="443"/>
      <c r="S2336" s="364"/>
      <c r="Z2336" s="609" t="s">
        <v>925</v>
      </c>
      <c r="AA2336" s="609" t="s">
        <v>3451</v>
      </c>
    </row>
    <row r="2337" spans="1:27" ht="18">
      <c r="A2337" s="2714"/>
      <c r="B2337" s="371">
        <v>103</v>
      </c>
      <c r="C2337" s="371" t="s">
        <v>2791</v>
      </c>
      <c r="D2337" s="2716">
        <f t="shared" si="240"/>
        <v>0</v>
      </c>
      <c r="E2337" s="2721">
        <v>1</v>
      </c>
      <c r="F2337" s="293"/>
      <c r="G2337" s="2284" t="s">
        <v>2792</v>
      </c>
      <c r="H2337" s="2275"/>
      <c r="I2337" s="2275"/>
      <c r="J2337" s="1476">
        <f t="shared" si="241"/>
        <v>0</v>
      </c>
      <c r="K2337" s="2275"/>
      <c r="L2337" s="2275"/>
      <c r="M2337" s="2275"/>
      <c r="N2337" s="1477">
        <f t="shared" si="242"/>
        <v>0</v>
      </c>
      <c r="O2337" s="437"/>
      <c r="P2337" s="438"/>
      <c r="Q2337" s="442"/>
      <c r="R2337" s="443"/>
      <c r="S2337" s="364"/>
      <c r="Z2337" s="609" t="s">
        <v>925</v>
      </c>
      <c r="AA2337" s="609" t="s">
        <v>3451</v>
      </c>
    </row>
    <row r="2338" spans="1:27" ht="18">
      <c r="A2338" s="2714"/>
      <c r="B2338" s="371">
        <v>104</v>
      </c>
      <c r="C2338" s="371" t="s">
        <v>2791</v>
      </c>
      <c r="D2338" s="2716">
        <f t="shared" si="240"/>
        <v>0</v>
      </c>
      <c r="E2338" s="2721">
        <v>1</v>
      </c>
      <c r="F2338" s="293"/>
      <c r="G2338" s="2284" t="s">
        <v>2792</v>
      </c>
      <c r="H2338" s="2275"/>
      <c r="I2338" s="2275"/>
      <c r="J2338" s="1476">
        <f t="shared" si="241"/>
        <v>0</v>
      </c>
      <c r="K2338" s="2275"/>
      <c r="L2338" s="2275"/>
      <c r="M2338" s="2275"/>
      <c r="N2338" s="1477">
        <f t="shared" si="242"/>
        <v>0</v>
      </c>
      <c r="O2338" s="437"/>
      <c r="P2338" s="438"/>
      <c r="Q2338" s="442"/>
      <c r="R2338" s="443"/>
      <c r="S2338" s="364"/>
      <c r="Z2338" s="609" t="s">
        <v>925</v>
      </c>
      <c r="AA2338" s="609" t="s">
        <v>3451</v>
      </c>
    </row>
    <row r="2339" spans="1:27" ht="18">
      <c r="A2339" s="2714"/>
      <c r="B2339" s="371">
        <v>105</v>
      </c>
      <c r="C2339" s="371" t="s">
        <v>2791</v>
      </c>
      <c r="D2339" s="2716">
        <f t="shared" si="240"/>
        <v>0</v>
      </c>
      <c r="E2339" s="2721">
        <v>1</v>
      </c>
      <c r="F2339" s="293"/>
      <c r="G2339" s="2284" t="s">
        <v>2792</v>
      </c>
      <c r="H2339" s="2275"/>
      <c r="I2339" s="2275"/>
      <c r="J2339" s="1476">
        <f t="shared" si="241"/>
        <v>0</v>
      </c>
      <c r="K2339" s="2275"/>
      <c r="L2339" s="2275"/>
      <c r="M2339" s="2275"/>
      <c r="N2339" s="1477">
        <f t="shared" si="242"/>
        <v>0</v>
      </c>
      <c r="O2339" s="437"/>
      <c r="P2339" s="438"/>
      <c r="Q2339" s="442"/>
      <c r="R2339" s="443"/>
      <c r="S2339" s="364"/>
      <c r="Z2339" s="609" t="s">
        <v>925</v>
      </c>
      <c r="AA2339" s="609" t="s">
        <v>3451</v>
      </c>
    </row>
    <row r="2340" spans="1:27" ht="18.75" thickBot="1">
      <c r="A2340" s="2714"/>
      <c r="B2340" s="371"/>
      <c r="C2340" s="371"/>
      <c r="D2340" s="2716">
        <f t="shared" si="240"/>
        <v>1</v>
      </c>
      <c r="E2340" s="2721" t="s">
        <v>2751</v>
      </c>
      <c r="F2340" s="293"/>
      <c r="G2340" s="2234" t="s">
        <v>5141</v>
      </c>
      <c r="H2340" s="2235">
        <f t="shared" ref="H2340:N2340" si="243">SUMPRODUCT($E2334:$E2339,H2334:H2339)</f>
        <v>0</v>
      </c>
      <c r="I2340" s="2235">
        <f t="shared" si="243"/>
        <v>0</v>
      </c>
      <c r="J2340" s="2235">
        <f t="shared" si="243"/>
        <v>0</v>
      </c>
      <c r="K2340" s="2235">
        <f t="shared" si="243"/>
        <v>0</v>
      </c>
      <c r="L2340" s="2235">
        <f t="shared" si="243"/>
        <v>0</v>
      </c>
      <c r="M2340" s="2235">
        <f t="shared" si="243"/>
        <v>0</v>
      </c>
      <c r="N2340" s="2236">
        <f t="shared" si="243"/>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187" t="s">
        <v>2862</v>
      </c>
      <c r="H2352" s="2291" t="s">
        <v>3348</v>
      </c>
      <c r="I2352" s="2291" t="s">
        <v>3349</v>
      </c>
      <c r="J2352" s="2291" t="s">
        <v>3350</v>
      </c>
      <c r="K2352" s="3178"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226"/>
      <c r="H2353" s="2294" t="s">
        <v>3352</v>
      </c>
      <c r="I2353" s="2294" t="s">
        <v>3353</v>
      </c>
      <c r="J2353" s="2294" t="s">
        <v>3354</v>
      </c>
      <c r="K2353" s="3179"/>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4">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4"/>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4"/>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4"/>
        <v>1</v>
      </c>
      <c r="E2357" s="2721">
        <v>1</v>
      </c>
      <c r="F2357" s="293"/>
      <c r="G2357" s="578" t="s">
        <v>5203</v>
      </c>
      <c r="H2357" s="309"/>
      <c r="I2357" s="309"/>
      <c r="J2357" s="1465">
        <v>0</v>
      </c>
      <c r="K2357" s="361">
        <f t="shared" ref="K2357:K2365" si="245">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4"/>
        <v>1</v>
      </c>
      <c r="E2358" s="2721">
        <v>1</v>
      </c>
      <c r="F2358" s="293"/>
      <c r="G2358" s="578" t="s">
        <v>5204</v>
      </c>
      <c r="H2358" s="1465">
        <v>0</v>
      </c>
      <c r="I2358" s="1465">
        <v>0</v>
      </c>
      <c r="J2358" s="309"/>
      <c r="K2358" s="361">
        <f t="shared" si="245"/>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4"/>
        <v>1</v>
      </c>
      <c r="E2359" s="2721">
        <v>1</v>
      </c>
      <c r="F2359" s="293"/>
      <c r="G2359" s="578" t="s">
        <v>5205</v>
      </c>
      <c r="H2359" s="1465">
        <v>0</v>
      </c>
      <c r="I2359" s="309"/>
      <c r="J2359" s="309"/>
      <c r="K2359" s="361">
        <f t="shared" si="245"/>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4"/>
        <v>1</v>
      </c>
      <c r="E2360" s="2721">
        <v>1</v>
      </c>
      <c r="F2360" s="293"/>
      <c r="G2360" s="1486" t="s">
        <v>5206</v>
      </c>
      <c r="H2360" s="309"/>
      <c r="I2360" s="422"/>
      <c r="J2360" s="309"/>
      <c r="K2360" s="361">
        <f t="shared" si="245"/>
        <v>0</v>
      </c>
      <c r="L2360" s="437"/>
      <c r="M2360" s="438"/>
      <c r="N2360" s="439"/>
      <c r="O2360" s="437"/>
      <c r="P2360" s="438"/>
      <c r="Q2360" s="442"/>
      <c r="R2360" s="443"/>
      <c r="S2360" s="364"/>
      <c r="Z2360" s="609" t="s">
        <v>925</v>
      </c>
      <c r="AA2360" s="609" t="s">
        <v>3451</v>
      </c>
    </row>
    <row r="2361" spans="1:27" ht="18">
      <c r="A2361" s="2714"/>
      <c r="B2361" s="371">
        <v>108</v>
      </c>
      <c r="C2361" s="371"/>
      <c r="D2361" s="2716">
        <f t="shared" si="244"/>
        <v>1</v>
      </c>
      <c r="E2361" s="2721">
        <v>-1</v>
      </c>
      <c r="F2361" s="293"/>
      <c r="G2361" s="1486" t="s">
        <v>5207</v>
      </c>
      <c r="H2361" s="309"/>
      <c r="I2361" s="422"/>
      <c r="J2361" s="309"/>
      <c r="K2361" s="361">
        <f t="shared" si="245"/>
        <v>0</v>
      </c>
      <c r="L2361" s="437"/>
      <c r="M2361" s="438"/>
      <c r="N2361" s="439"/>
      <c r="O2361" s="437"/>
      <c r="P2361" s="438"/>
      <c r="Q2361" s="442"/>
      <c r="R2361" s="443"/>
      <c r="S2361" s="364"/>
      <c r="Z2361" s="609" t="s">
        <v>925</v>
      </c>
      <c r="AA2361" s="609" t="s">
        <v>3451</v>
      </c>
    </row>
    <row r="2362" spans="1:27" ht="18">
      <c r="A2362" s="2714"/>
      <c r="B2362" s="371">
        <v>109</v>
      </c>
      <c r="C2362" s="371"/>
      <c r="D2362" s="2716">
        <f t="shared" si="244"/>
        <v>1</v>
      </c>
      <c r="E2362" s="2721">
        <v>-1</v>
      </c>
      <c r="F2362" s="293"/>
      <c r="G2362" s="578" t="s">
        <v>3356</v>
      </c>
      <c r="H2362" s="309"/>
      <c r="I2362" s="422"/>
      <c r="J2362" s="309"/>
      <c r="K2362" s="361">
        <f t="shared" si="245"/>
        <v>0</v>
      </c>
      <c r="L2362" s="437"/>
      <c r="M2362" s="438"/>
      <c r="N2362" s="439"/>
      <c r="O2362" s="437"/>
      <c r="P2362" s="438"/>
      <c r="Q2362" s="442"/>
      <c r="R2362" s="443"/>
      <c r="S2362" s="364"/>
      <c r="Z2362" s="609" t="s">
        <v>925</v>
      </c>
      <c r="AA2362" s="609" t="s">
        <v>3451</v>
      </c>
    </row>
    <row r="2363" spans="1:27" ht="18">
      <c r="A2363" s="2714"/>
      <c r="B2363" s="371">
        <v>110</v>
      </c>
      <c r="C2363" s="371"/>
      <c r="D2363" s="2716">
        <f t="shared" si="244"/>
        <v>1</v>
      </c>
      <c r="E2363" s="2721">
        <v>-1</v>
      </c>
      <c r="F2363" s="293"/>
      <c r="G2363" s="578" t="s">
        <v>3357</v>
      </c>
      <c r="H2363" s="309"/>
      <c r="I2363" s="422"/>
      <c r="J2363" s="309"/>
      <c r="K2363" s="361">
        <f t="shared" si="245"/>
        <v>0</v>
      </c>
      <c r="L2363" s="437"/>
      <c r="M2363" s="438"/>
      <c r="N2363" s="439"/>
      <c r="O2363" s="437"/>
      <c r="P2363" s="438"/>
      <c r="Q2363" s="442"/>
      <c r="R2363" s="443"/>
      <c r="S2363" s="364"/>
      <c r="Z2363" s="609" t="s">
        <v>925</v>
      </c>
      <c r="AA2363" s="609" t="s">
        <v>3451</v>
      </c>
    </row>
    <row r="2364" spans="1:27" ht="24">
      <c r="A2364" s="2714"/>
      <c r="B2364" s="371">
        <v>111</v>
      </c>
      <c r="C2364" s="371"/>
      <c r="D2364" s="2716">
        <f t="shared" si="244"/>
        <v>1</v>
      </c>
      <c r="E2364" s="2721">
        <v>1</v>
      </c>
      <c r="F2364" s="293"/>
      <c r="G2364" s="1486" t="s">
        <v>5208</v>
      </c>
      <c r="H2364" s="309"/>
      <c r="I2364" s="422"/>
      <c r="J2364" s="309"/>
      <c r="K2364" s="361">
        <f t="shared" si="245"/>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4"/>
        <v>0</v>
      </c>
      <c r="E2365" s="2721">
        <v>1</v>
      </c>
      <c r="F2365" s="293"/>
      <c r="G2365" s="1472" t="s">
        <v>5148</v>
      </c>
      <c r="H2365" s="309"/>
      <c r="I2365" s="422"/>
      <c r="J2365" s="309"/>
      <c r="K2365" s="361">
        <f t="shared" si="245"/>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4"/>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6532</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46">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46"/>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46"/>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46"/>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46"/>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46"/>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47">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47"/>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47"/>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47"/>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47"/>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47"/>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47"/>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47"/>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47"/>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6532</v>
      </c>
      <c r="F2391" s="294"/>
      <c r="G2391" s="307" t="str">
        <f>"("&amp;B2391&amp;")"&amp;D2391</f>
        <v>(6)长期应收款逾期情况分析</v>
      </c>
      <c r="H2391" s="1517" t="str">
        <f>$A2391</f>
        <v>1531b</v>
      </c>
      <c r="I2391" s="343" t="s">
        <v>5965</v>
      </c>
      <c r="J2391" s="301" t="s">
        <v>5963</v>
      </c>
      <c r="K2391" s="2210">
        <f>H2399</f>
        <v>0</v>
      </c>
      <c r="L2391" s="345" t="str">
        <f>IF($I2391="适用",IF(ROUND(K$2201-K2391,2)=0,"F/S",ROUND(K$2201-K2391,2)),"#N/A")</f>
        <v>F/S</v>
      </c>
      <c r="M2391" s="301" t="s">
        <v>5964</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48">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48"/>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48"/>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48"/>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48"/>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48"/>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6532</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49">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49"/>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49"/>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49"/>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49"/>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49"/>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445619464.50999999</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6531</v>
      </c>
      <c r="F2412" s="293"/>
      <c r="G2412" s="372" t="str">
        <f>"("&amp;B2412&amp;")"&amp;D2412</f>
        <v>(1)长期股权投资情况</v>
      </c>
      <c r="H2412" s="1517" t="str">
        <f>$A2412</f>
        <v>1511c</v>
      </c>
      <c r="I2412" s="343" t="s">
        <v>5863</v>
      </c>
      <c r="J2412" s="301" t="s">
        <v>5864</v>
      </c>
      <c r="K2412" s="2210">
        <f>H2422</f>
        <v>0</v>
      </c>
      <c r="L2412" s="349" t="str">
        <f>IF($I2412="适用",IF(ROUND(K$2411-K2412,2)=0,"F/S",ROUND(K$2411-K2412,2)),"#N/A")</f>
        <v>F/S</v>
      </c>
      <c r="M2412" s="301" t="s">
        <v>5865</v>
      </c>
      <c r="N2412" s="2210">
        <f>I2422</f>
        <v>0</v>
      </c>
      <c r="O2412" s="349">
        <f>IF($I2412="适用",IF(ROUND(N$2411-N2412,2)=0,"F/S",ROUND(N$2411-N2412,2)),"#N/A")</f>
        <v>445619464.50999999</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305" t="s">
        <v>47</v>
      </c>
      <c r="H2415" s="3302" t="str">
        <f>$V$2</f>
        <v>2019年12月31日</v>
      </c>
      <c r="I2415" s="3303"/>
      <c r="J2415" s="3304"/>
      <c r="K2415" s="3302" t="str">
        <f>$V$3</f>
        <v>2018年12月31日</v>
      </c>
      <c r="L2415" s="3303"/>
      <c r="M2415" s="3303"/>
      <c r="N2415" s="355" t="s">
        <v>6176</v>
      </c>
      <c r="O2415" s="349"/>
      <c r="P2415" s="301"/>
      <c r="S2415" s="364"/>
      <c r="Z2415" s="609" t="s">
        <v>983</v>
      </c>
      <c r="AA2415" s="609" t="s">
        <v>5662</v>
      </c>
    </row>
    <row r="2416" spans="1:27" ht="18">
      <c r="A2416" s="2714"/>
      <c r="B2416" s="371"/>
      <c r="C2416" s="371"/>
      <c r="D2416" s="2716"/>
      <c r="E2416" s="2716" t="s">
        <v>2749</v>
      </c>
      <c r="F2416" s="293"/>
      <c r="G2416" s="3306"/>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0">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0"/>
        <v>1</v>
      </c>
      <c r="E2418" s="2721">
        <v>1</v>
      </c>
      <c r="F2418" s="293"/>
      <c r="G2418" s="2631" t="s">
        <v>6357</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0"/>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0"/>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0"/>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0"/>
        <v>1</v>
      </c>
      <c r="E2422" s="2721" t="s">
        <v>2751</v>
      </c>
      <c r="F2422" s="293"/>
      <c r="G2422" s="1529" t="s">
        <v>2752</v>
      </c>
      <c r="H2422" s="1527">
        <f t="shared" ref="H2422:M2422" si="251">SUMPRODUCT($E2416:$E2421,H2416:H2421)</f>
        <v>0</v>
      </c>
      <c r="I2422" s="1527">
        <f t="shared" si="251"/>
        <v>0</v>
      </c>
      <c r="J2422" s="1527">
        <f t="shared" si="251"/>
        <v>0</v>
      </c>
      <c r="K2422" s="1527">
        <f t="shared" si="251"/>
        <v>0</v>
      </c>
      <c r="L2422" s="1527">
        <f t="shared" si="251"/>
        <v>0</v>
      </c>
      <c r="M2422" s="1528">
        <f t="shared" si="251"/>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6574</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6534</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f>IF($I2431="适用",IF(ROUND(N$2411-N2431,2)=0,"F/S",ROUND(N$2411-N2431,2)),"#N/A")</f>
        <v>445619464.50999999</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2">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2"/>
        <v>0</v>
      </c>
      <c r="E2435" s="2721">
        <v>1</v>
      </c>
      <c r="F2435" s="293"/>
      <c r="G2435" s="2190" t="s">
        <v>2792</v>
      </c>
      <c r="H2435" s="1577"/>
      <c r="I2435" s="422"/>
      <c r="J2435" s="309"/>
      <c r="K2435" s="1476">
        <f t="shared" ref="K2435:K2453" si="253">H2435+I2435-J2435</f>
        <v>0</v>
      </c>
      <c r="L2435" s="309"/>
      <c r="M2435" s="346"/>
      <c r="N2435" s="391"/>
      <c r="O2435" s="349"/>
      <c r="P2435" s="301"/>
      <c r="S2435" s="364"/>
      <c r="Z2435" s="609" t="s">
        <v>983</v>
      </c>
      <c r="AA2435" s="609" t="s">
        <v>5662</v>
      </c>
    </row>
    <row r="2436" spans="1:27" ht="18">
      <c r="A2436" s="2714"/>
      <c r="B2436" s="371">
        <v>103</v>
      </c>
      <c r="C2436" s="371" t="s">
        <v>2791</v>
      </c>
      <c r="D2436" s="2716">
        <f t="shared" si="252"/>
        <v>0</v>
      </c>
      <c r="E2436" s="2721">
        <v>1</v>
      </c>
      <c r="F2436" s="293"/>
      <c r="G2436" s="2190" t="s">
        <v>2792</v>
      </c>
      <c r="H2436" s="1577"/>
      <c r="I2436" s="422"/>
      <c r="J2436" s="309"/>
      <c r="K2436" s="1476">
        <f t="shared" si="253"/>
        <v>0</v>
      </c>
      <c r="L2436" s="309"/>
      <c r="M2436" s="346"/>
      <c r="N2436" s="391"/>
      <c r="O2436" s="349"/>
      <c r="P2436" s="301"/>
      <c r="S2436" s="364"/>
      <c r="Z2436" s="609" t="s">
        <v>983</v>
      </c>
      <c r="AA2436" s="609" t="s">
        <v>5662</v>
      </c>
    </row>
    <row r="2437" spans="1:27" ht="18">
      <c r="A2437" s="2714"/>
      <c r="B2437" s="371">
        <v>104</v>
      </c>
      <c r="C2437" s="371" t="s">
        <v>2791</v>
      </c>
      <c r="D2437" s="2716">
        <f t="shared" si="252"/>
        <v>0</v>
      </c>
      <c r="E2437" s="2721">
        <v>1</v>
      </c>
      <c r="F2437" s="293"/>
      <c r="G2437" s="2190" t="s">
        <v>2792</v>
      </c>
      <c r="H2437" s="1577"/>
      <c r="I2437" s="422"/>
      <c r="J2437" s="309"/>
      <c r="K2437" s="1476">
        <f t="shared" si="253"/>
        <v>0</v>
      </c>
      <c r="L2437" s="309"/>
      <c r="M2437" s="346"/>
      <c r="N2437" s="391"/>
      <c r="O2437" s="349"/>
      <c r="P2437" s="301"/>
      <c r="S2437" s="364"/>
      <c r="Z2437" s="609" t="s">
        <v>983</v>
      </c>
      <c r="AA2437" s="609" t="s">
        <v>5662</v>
      </c>
    </row>
    <row r="2438" spans="1:27" ht="18">
      <c r="A2438" s="2714"/>
      <c r="B2438" s="371">
        <v>105</v>
      </c>
      <c r="C2438" s="371" t="s">
        <v>2791</v>
      </c>
      <c r="D2438" s="2716">
        <f t="shared" si="252"/>
        <v>0</v>
      </c>
      <c r="E2438" s="2721">
        <v>1</v>
      </c>
      <c r="F2438" s="293"/>
      <c r="G2438" s="2190" t="s">
        <v>2792</v>
      </c>
      <c r="H2438" s="1577"/>
      <c r="I2438" s="422"/>
      <c r="J2438" s="309"/>
      <c r="K2438" s="1476">
        <f t="shared" si="253"/>
        <v>0</v>
      </c>
      <c r="L2438" s="309"/>
      <c r="M2438" s="346"/>
      <c r="N2438" s="391"/>
      <c r="O2438" s="349"/>
      <c r="P2438" s="301"/>
      <c r="S2438" s="364"/>
      <c r="Z2438" s="609" t="s">
        <v>983</v>
      </c>
      <c r="AA2438" s="609" t="s">
        <v>5662</v>
      </c>
    </row>
    <row r="2439" spans="1:27" ht="18">
      <c r="A2439" s="2714"/>
      <c r="B2439" s="371">
        <v>106</v>
      </c>
      <c r="C2439" s="371" t="s">
        <v>2791</v>
      </c>
      <c r="D2439" s="2716">
        <f t="shared" si="252"/>
        <v>0</v>
      </c>
      <c r="E2439" s="2721">
        <v>1</v>
      </c>
      <c r="F2439" s="293"/>
      <c r="G2439" s="2190" t="s">
        <v>2792</v>
      </c>
      <c r="H2439" s="1577"/>
      <c r="I2439" s="422"/>
      <c r="J2439" s="309"/>
      <c r="K2439" s="1476">
        <f t="shared" si="253"/>
        <v>0</v>
      </c>
      <c r="L2439" s="309"/>
      <c r="M2439" s="346"/>
      <c r="N2439" s="391"/>
      <c r="O2439" s="349"/>
      <c r="P2439" s="301"/>
      <c r="S2439" s="364"/>
      <c r="Z2439" s="609" t="s">
        <v>983</v>
      </c>
      <c r="AA2439" s="609" t="s">
        <v>5662</v>
      </c>
    </row>
    <row r="2440" spans="1:27" ht="18">
      <c r="A2440" s="2714"/>
      <c r="B2440" s="371">
        <v>107</v>
      </c>
      <c r="C2440" s="371" t="s">
        <v>2791</v>
      </c>
      <c r="D2440" s="2716">
        <f t="shared" si="252"/>
        <v>0</v>
      </c>
      <c r="E2440" s="2721">
        <v>1</v>
      </c>
      <c r="F2440" s="293"/>
      <c r="G2440" s="2190" t="s">
        <v>2792</v>
      </c>
      <c r="H2440" s="1577"/>
      <c r="I2440" s="422"/>
      <c r="J2440" s="309"/>
      <c r="K2440" s="1476">
        <f t="shared" si="253"/>
        <v>0</v>
      </c>
      <c r="L2440" s="309"/>
      <c r="M2440" s="346"/>
      <c r="N2440" s="391"/>
      <c r="O2440" s="349"/>
      <c r="P2440" s="301"/>
      <c r="S2440" s="364"/>
      <c r="Z2440" s="609" t="s">
        <v>983</v>
      </c>
      <c r="AA2440" s="609" t="s">
        <v>5662</v>
      </c>
    </row>
    <row r="2441" spans="1:27" ht="18">
      <c r="A2441" s="2714"/>
      <c r="B2441" s="371">
        <v>108</v>
      </c>
      <c r="C2441" s="371" t="s">
        <v>2791</v>
      </c>
      <c r="D2441" s="2716">
        <f t="shared" si="252"/>
        <v>0</v>
      </c>
      <c r="E2441" s="2721">
        <v>1</v>
      </c>
      <c r="F2441" s="293"/>
      <c r="G2441" s="2190" t="s">
        <v>2792</v>
      </c>
      <c r="H2441" s="1577"/>
      <c r="I2441" s="422"/>
      <c r="J2441" s="309"/>
      <c r="K2441" s="1476">
        <f t="shared" si="253"/>
        <v>0</v>
      </c>
      <c r="L2441" s="309"/>
      <c r="M2441" s="346"/>
      <c r="N2441" s="391"/>
      <c r="O2441" s="349"/>
      <c r="P2441" s="301"/>
      <c r="S2441" s="364"/>
      <c r="Z2441" s="609" t="s">
        <v>983</v>
      </c>
      <c r="AA2441" s="609" t="s">
        <v>5662</v>
      </c>
    </row>
    <row r="2442" spans="1:27" ht="18">
      <c r="A2442" s="2714"/>
      <c r="B2442" s="371">
        <v>109</v>
      </c>
      <c r="C2442" s="371" t="s">
        <v>2791</v>
      </c>
      <c r="D2442" s="2716">
        <f t="shared" si="252"/>
        <v>0</v>
      </c>
      <c r="E2442" s="2721">
        <v>1</v>
      </c>
      <c r="F2442" s="293"/>
      <c r="G2442" s="2190" t="s">
        <v>2792</v>
      </c>
      <c r="H2442" s="1577"/>
      <c r="I2442" s="422"/>
      <c r="J2442" s="309"/>
      <c r="K2442" s="1476">
        <f t="shared" si="253"/>
        <v>0</v>
      </c>
      <c r="L2442" s="309"/>
      <c r="M2442" s="346"/>
      <c r="N2442" s="391"/>
      <c r="O2442" s="349"/>
      <c r="P2442" s="301"/>
      <c r="S2442" s="364"/>
      <c r="Z2442" s="609" t="s">
        <v>983</v>
      </c>
      <c r="AA2442" s="609" t="s">
        <v>5662</v>
      </c>
    </row>
    <row r="2443" spans="1:27" ht="18">
      <c r="A2443" s="2714"/>
      <c r="B2443" s="371">
        <v>110</v>
      </c>
      <c r="C2443" s="371" t="s">
        <v>2791</v>
      </c>
      <c r="D2443" s="2716">
        <f t="shared" si="252"/>
        <v>0</v>
      </c>
      <c r="E2443" s="2721">
        <v>1</v>
      </c>
      <c r="F2443" s="293"/>
      <c r="G2443" s="2190" t="s">
        <v>2792</v>
      </c>
      <c r="H2443" s="1577"/>
      <c r="I2443" s="422"/>
      <c r="J2443" s="309"/>
      <c r="K2443" s="1476">
        <f t="shared" si="253"/>
        <v>0</v>
      </c>
      <c r="L2443" s="309"/>
      <c r="M2443" s="346"/>
      <c r="N2443" s="391"/>
      <c r="O2443" s="349"/>
      <c r="P2443" s="301"/>
      <c r="S2443" s="364"/>
      <c r="Z2443" s="609" t="s">
        <v>983</v>
      </c>
      <c r="AA2443" s="609" t="s">
        <v>5662</v>
      </c>
    </row>
    <row r="2444" spans="1:27" ht="18">
      <c r="A2444" s="2714"/>
      <c r="B2444" s="371">
        <v>111</v>
      </c>
      <c r="C2444" s="371" t="s">
        <v>2791</v>
      </c>
      <c r="D2444" s="2716">
        <f t="shared" si="252"/>
        <v>0</v>
      </c>
      <c r="E2444" s="2721">
        <v>1</v>
      </c>
      <c r="F2444" s="293"/>
      <c r="G2444" s="2190" t="s">
        <v>2792</v>
      </c>
      <c r="H2444" s="1577"/>
      <c r="I2444" s="422"/>
      <c r="J2444" s="309"/>
      <c r="K2444" s="1476">
        <f t="shared" si="253"/>
        <v>0</v>
      </c>
      <c r="L2444" s="309"/>
      <c r="M2444" s="346"/>
      <c r="N2444" s="391"/>
      <c r="O2444" s="349"/>
      <c r="P2444" s="301"/>
      <c r="S2444" s="364"/>
      <c r="Z2444" s="609" t="s">
        <v>983</v>
      </c>
      <c r="AA2444" s="609" t="s">
        <v>5662</v>
      </c>
    </row>
    <row r="2445" spans="1:27" ht="18">
      <c r="A2445" s="2714"/>
      <c r="B2445" s="371">
        <v>112</v>
      </c>
      <c r="C2445" s="371" t="s">
        <v>2791</v>
      </c>
      <c r="D2445" s="2716">
        <f t="shared" si="252"/>
        <v>0</v>
      </c>
      <c r="E2445" s="2721">
        <v>1</v>
      </c>
      <c r="F2445" s="293"/>
      <c r="G2445" s="2190" t="s">
        <v>2792</v>
      </c>
      <c r="H2445" s="1577"/>
      <c r="I2445" s="422"/>
      <c r="J2445" s="309"/>
      <c r="K2445" s="1476">
        <f t="shared" si="253"/>
        <v>0</v>
      </c>
      <c r="L2445" s="309"/>
      <c r="M2445" s="346"/>
      <c r="N2445" s="391"/>
      <c r="O2445" s="349"/>
      <c r="P2445" s="301"/>
      <c r="S2445" s="364"/>
      <c r="Z2445" s="609" t="s">
        <v>983</v>
      </c>
      <c r="AA2445" s="609" t="s">
        <v>5662</v>
      </c>
    </row>
    <row r="2446" spans="1:27" ht="18">
      <c r="A2446" s="2714"/>
      <c r="B2446" s="371">
        <v>113</v>
      </c>
      <c r="C2446" s="371" t="s">
        <v>2791</v>
      </c>
      <c r="D2446" s="2716">
        <f t="shared" si="252"/>
        <v>0</v>
      </c>
      <c r="E2446" s="2721">
        <v>1</v>
      </c>
      <c r="F2446" s="293"/>
      <c r="G2446" s="2190" t="s">
        <v>2792</v>
      </c>
      <c r="H2446" s="1577"/>
      <c r="I2446" s="422"/>
      <c r="J2446" s="309"/>
      <c r="K2446" s="1476">
        <f t="shared" si="253"/>
        <v>0</v>
      </c>
      <c r="L2446" s="309"/>
      <c r="M2446" s="346"/>
      <c r="N2446" s="391"/>
      <c r="O2446" s="349"/>
      <c r="P2446" s="301"/>
      <c r="S2446" s="364"/>
      <c r="Z2446" s="609" t="s">
        <v>983</v>
      </c>
      <c r="AA2446" s="609" t="s">
        <v>5662</v>
      </c>
    </row>
    <row r="2447" spans="1:27" ht="18">
      <c r="A2447" s="2714"/>
      <c r="B2447" s="371">
        <v>114</v>
      </c>
      <c r="C2447" s="371" t="s">
        <v>2791</v>
      </c>
      <c r="D2447" s="2716">
        <f t="shared" si="252"/>
        <v>0</v>
      </c>
      <c r="E2447" s="2721">
        <v>1</v>
      </c>
      <c r="F2447" s="293"/>
      <c r="G2447" s="2190" t="s">
        <v>2792</v>
      </c>
      <c r="H2447" s="1577"/>
      <c r="I2447" s="422"/>
      <c r="J2447" s="309"/>
      <c r="K2447" s="1476">
        <f t="shared" si="253"/>
        <v>0</v>
      </c>
      <c r="L2447" s="309"/>
      <c r="M2447" s="346"/>
      <c r="N2447" s="391"/>
      <c r="O2447" s="349"/>
      <c r="P2447" s="301"/>
      <c r="S2447" s="364"/>
      <c r="Z2447" s="609" t="s">
        <v>983</v>
      </c>
      <c r="AA2447" s="609" t="s">
        <v>5662</v>
      </c>
    </row>
    <row r="2448" spans="1:27" ht="18">
      <c r="A2448" s="2714"/>
      <c r="B2448" s="371">
        <v>115</v>
      </c>
      <c r="C2448" s="371" t="s">
        <v>2791</v>
      </c>
      <c r="D2448" s="2716">
        <f t="shared" si="252"/>
        <v>0</v>
      </c>
      <c r="E2448" s="2721">
        <v>1</v>
      </c>
      <c r="F2448" s="293"/>
      <c r="G2448" s="2190" t="s">
        <v>2792</v>
      </c>
      <c r="H2448" s="1577"/>
      <c r="I2448" s="422"/>
      <c r="J2448" s="309"/>
      <c r="K2448" s="1476">
        <f t="shared" si="253"/>
        <v>0</v>
      </c>
      <c r="L2448" s="309"/>
      <c r="M2448" s="346"/>
      <c r="N2448" s="391"/>
      <c r="O2448" s="349"/>
      <c r="P2448" s="301"/>
      <c r="S2448" s="364"/>
      <c r="Z2448" s="609" t="s">
        <v>983</v>
      </c>
      <c r="AA2448" s="609" t="s">
        <v>5662</v>
      </c>
    </row>
    <row r="2449" spans="1:34" ht="18">
      <c r="A2449" s="2714"/>
      <c r="B2449" s="371">
        <v>116</v>
      </c>
      <c r="C2449" s="371" t="s">
        <v>2791</v>
      </c>
      <c r="D2449" s="2716">
        <f t="shared" si="252"/>
        <v>0</v>
      </c>
      <c r="E2449" s="2721">
        <v>1</v>
      </c>
      <c r="F2449" s="293"/>
      <c r="G2449" s="2190" t="s">
        <v>2792</v>
      </c>
      <c r="H2449" s="1577"/>
      <c r="I2449" s="422"/>
      <c r="J2449" s="309"/>
      <c r="K2449" s="1476">
        <f t="shared" si="253"/>
        <v>0</v>
      </c>
      <c r="L2449" s="309"/>
      <c r="M2449" s="346"/>
      <c r="N2449" s="391"/>
      <c r="O2449" s="349"/>
      <c r="P2449" s="301"/>
      <c r="S2449" s="364"/>
      <c r="Z2449" s="609" t="s">
        <v>983</v>
      </c>
      <c r="AA2449" s="609" t="s">
        <v>5662</v>
      </c>
    </row>
    <row r="2450" spans="1:34" ht="18">
      <c r="A2450" s="2714"/>
      <c r="B2450" s="371">
        <v>117</v>
      </c>
      <c r="C2450" s="371" t="s">
        <v>2791</v>
      </c>
      <c r="D2450" s="2716">
        <f t="shared" si="252"/>
        <v>0</v>
      </c>
      <c r="E2450" s="2721">
        <v>1</v>
      </c>
      <c r="F2450" s="293"/>
      <c r="G2450" s="2190" t="s">
        <v>2792</v>
      </c>
      <c r="H2450" s="1577"/>
      <c r="I2450" s="422"/>
      <c r="J2450" s="309"/>
      <c r="K2450" s="1476">
        <f t="shared" si="253"/>
        <v>0</v>
      </c>
      <c r="L2450" s="309"/>
      <c r="M2450" s="346"/>
      <c r="N2450" s="391"/>
      <c r="O2450" s="349"/>
      <c r="P2450" s="301"/>
      <c r="S2450" s="364"/>
      <c r="Z2450" s="609" t="s">
        <v>983</v>
      </c>
      <c r="AA2450" s="609" t="s">
        <v>5662</v>
      </c>
    </row>
    <row r="2451" spans="1:34" ht="18">
      <c r="A2451" s="2714"/>
      <c r="B2451" s="371">
        <v>118</v>
      </c>
      <c r="C2451" s="371" t="s">
        <v>6533</v>
      </c>
      <c r="D2451" s="2716">
        <f t="shared" si="252"/>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2"/>
        <v>0</v>
      </c>
      <c r="E2452" s="2721">
        <v>1</v>
      </c>
      <c r="F2452" s="293"/>
      <c r="G2452" s="2190" t="s">
        <v>2792</v>
      </c>
      <c r="H2452" s="1577"/>
      <c r="I2452" s="422"/>
      <c r="J2452" s="309"/>
      <c r="K2452" s="1476">
        <f t="shared" si="253"/>
        <v>0</v>
      </c>
      <c r="L2452" s="309"/>
      <c r="M2452" s="346"/>
      <c r="N2452" s="391"/>
      <c r="O2452" s="349"/>
      <c r="P2452" s="301"/>
      <c r="S2452" s="364"/>
      <c r="Z2452" s="609" t="s">
        <v>983</v>
      </c>
      <c r="AA2452" s="609" t="s">
        <v>5662</v>
      </c>
    </row>
    <row r="2453" spans="1:34" ht="18">
      <c r="A2453" s="2714"/>
      <c r="B2453" s="371">
        <v>120</v>
      </c>
      <c r="C2453" s="371" t="s">
        <v>2791</v>
      </c>
      <c r="D2453" s="2716">
        <f t="shared" si="252"/>
        <v>0</v>
      </c>
      <c r="E2453" s="2721">
        <v>1</v>
      </c>
      <c r="F2453" s="293"/>
      <c r="G2453" s="2190" t="s">
        <v>2792</v>
      </c>
      <c r="H2453" s="1577"/>
      <c r="I2453" s="422"/>
      <c r="J2453" s="309"/>
      <c r="K2453" s="1476">
        <f t="shared" si="253"/>
        <v>0</v>
      </c>
      <c r="L2453" s="309"/>
      <c r="M2453" s="346"/>
      <c r="N2453" s="391"/>
      <c r="O2453" s="349"/>
      <c r="P2453" s="301"/>
      <c r="S2453" s="364"/>
      <c r="Z2453" s="609" t="s">
        <v>983</v>
      </c>
      <c r="AA2453" s="609" t="s">
        <v>5662</v>
      </c>
    </row>
    <row r="2454" spans="1:34" ht="18.75" thickBot="1">
      <c r="A2454" s="2714"/>
      <c r="B2454" s="371"/>
      <c r="C2454" s="371"/>
      <c r="D2454" s="2716">
        <f t="shared" si="252"/>
        <v>1</v>
      </c>
      <c r="E2454" s="2721" t="s">
        <v>2751</v>
      </c>
      <c r="F2454" s="293"/>
      <c r="G2454" s="1529" t="s">
        <v>2752</v>
      </c>
      <c r="H2454" s="1527">
        <f t="shared" ref="H2454:M2454" si="254">SUMPRODUCT($E2433:$E2453,H2433:H2453)</f>
        <v>0</v>
      </c>
      <c r="I2454" s="1527">
        <f t="shared" si="254"/>
        <v>0</v>
      </c>
      <c r="J2454" s="1527">
        <f t="shared" si="254"/>
        <v>0</v>
      </c>
      <c r="K2454" s="1527">
        <f t="shared" si="254"/>
        <v>0</v>
      </c>
      <c r="L2454" s="1527">
        <f t="shared" si="254"/>
        <v>0</v>
      </c>
      <c r="M2454" s="1528">
        <f t="shared" si="254"/>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220" t="s">
        <v>3376</v>
      </c>
      <c r="H2466" s="3141" t="str">
        <f>$V$3</f>
        <v>2018年12月31日</v>
      </c>
      <c r="I2466" s="3188" t="s">
        <v>3510</v>
      </c>
      <c r="J2466" s="3188"/>
      <c r="K2466" s="3188"/>
      <c r="L2466" s="3188"/>
      <c r="M2466" s="3188"/>
      <c r="N2466" s="3188"/>
      <c r="O2466" s="3188"/>
      <c r="P2466" s="3188"/>
      <c r="Q2466" s="3141" t="str">
        <f>$V$2</f>
        <v>2019年12月31日</v>
      </c>
      <c r="R2466" s="3149"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221"/>
      <c r="H2467" s="3142"/>
      <c r="I2467" s="2283" t="s">
        <v>3512</v>
      </c>
      <c r="J2467" s="2283" t="s">
        <v>3513</v>
      </c>
      <c r="K2467" s="2283" t="s">
        <v>3514</v>
      </c>
      <c r="L2467" s="2283" t="s">
        <v>3515</v>
      </c>
      <c r="M2467" s="2283" t="s">
        <v>3516</v>
      </c>
      <c r="N2467" s="2283" t="s">
        <v>3517</v>
      </c>
      <c r="O2467" s="2283" t="s">
        <v>3518</v>
      </c>
      <c r="P2467" s="2283" t="s">
        <v>3519</v>
      </c>
      <c r="Q2467" s="3142"/>
      <c r="R2467" s="3150"/>
      <c r="S2467" s="367"/>
      <c r="Z2467" s="609" t="s">
        <v>983</v>
      </c>
      <c r="AA2467" s="609" t="s">
        <v>5662</v>
      </c>
    </row>
    <row r="2468" spans="1:34" ht="18">
      <c r="A2468" s="2714"/>
      <c r="B2468" s="371">
        <v>101</v>
      </c>
      <c r="C2468" s="371"/>
      <c r="D2468" s="2716">
        <f t="shared" ref="D2468:D2494" si="255">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5"/>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5"/>
        <v>0</v>
      </c>
      <c r="E2470" s="2721" t="s">
        <v>3521</v>
      </c>
      <c r="F2470" s="294"/>
      <c r="G2470" s="2284" t="s">
        <v>2792</v>
      </c>
      <c r="H2470" s="2275"/>
      <c r="I2470" s="2275"/>
      <c r="J2470" s="2275"/>
      <c r="K2470" s="2275"/>
      <c r="L2470" s="2275"/>
      <c r="M2470" s="2275"/>
      <c r="N2470" s="2275"/>
      <c r="O2470" s="2275"/>
      <c r="P2470" s="2275"/>
      <c r="Q2470" s="1476">
        <f t="shared" ref="Q2470:Q2478" si="256">SUM(H2470:I2470,-J2470,K2470:M2470,-N2470,-O2470,P2470)</f>
        <v>0</v>
      </c>
      <c r="R2470" s="2296"/>
      <c r="S2470" s="367"/>
      <c r="Z2470" s="609" t="s">
        <v>983</v>
      </c>
      <c r="AA2470" s="609" t="s">
        <v>5662</v>
      </c>
    </row>
    <row r="2471" spans="1:34" ht="18">
      <c r="A2471" s="2714"/>
      <c r="B2471" s="371">
        <v>101.003</v>
      </c>
      <c r="C2471" s="371" t="s">
        <v>2791</v>
      </c>
      <c r="D2471" s="2716">
        <f t="shared" si="255"/>
        <v>0</v>
      </c>
      <c r="E2471" s="2721" t="s">
        <v>3521</v>
      </c>
      <c r="F2471" s="294"/>
      <c r="G2471" s="2284" t="s">
        <v>2792</v>
      </c>
      <c r="H2471" s="2275"/>
      <c r="I2471" s="2275"/>
      <c r="J2471" s="2275"/>
      <c r="K2471" s="2275"/>
      <c r="L2471" s="2275"/>
      <c r="M2471" s="2275"/>
      <c r="N2471" s="2275"/>
      <c r="O2471" s="2275"/>
      <c r="P2471" s="2275"/>
      <c r="Q2471" s="1476">
        <f t="shared" si="256"/>
        <v>0</v>
      </c>
      <c r="R2471" s="2296"/>
      <c r="S2471" s="367"/>
      <c r="Z2471" s="609" t="s">
        <v>983</v>
      </c>
      <c r="AA2471" s="609" t="s">
        <v>5662</v>
      </c>
    </row>
    <row r="2472" spans="1:34" ht="18">
      <c r="A2472" s="2714"/>
      <c r="B2472" s="371">
        <v>101.004</v>
      </c>
      <c r="C2472" s="371" t="s">
        <v>2791</v>
      </c>
      <c r="D2472" s="2716">
        <f t="shared" si="255"/>
        <v>0</v>
      </c>
      <c r="E2472" s="2721" t="s">
        <v>3521</v>
      </c>
      <c r="F2472" s="294"/>
      <c r="G2472" s="2284" t="s">
        <v>2792</v>
      </c>
      <c r="H2472" s="2275"/>
      <c r="I2472" s="2275"/>
      <c r="J2472" s="2275"/>
      <c r="K2472" s="2275"/>
      <c r="L2472" s="2275"/>
      <c r="M2472" s="2275"/>
      <c r="N2472" s="2275"/>
      <c r="O2472" s="2275"/>
      <c r="P2472" s="2275"/>
      <c r="Q2472" s="1476">
        <f t="shared" si="256"/>
        <v>0</v>
      </c>
      <c r="R2472" s="2296"/>
      <c r="S2472" s="367"/>
      <c r="Z2472" s="609" t="s">
        <v>983</v>
      </c>
      <c r="AA2472" s="609" t="s">
        <v>5662</v>
      </c>
    </row>
    <row r="2473" spans="1:34" ht="18">
      <c r="A2473" s="2714"/>
      <c r="B2473" s="371">
        <v>101.005</v>
      </c>
      <c r="C2473" s="371" t="s">
        <v>2791</v>
      </c>
      <c r="D2473" s="2716">
        <f t="shared" si="255"/>
        <v>0</v>
      </c>
      <c r="E2473" s="2721" t="s">
        <v>3521</v>
      </c>
      <c r="F2473" s="294"/>
      <c r="G2473" s="2284" t="s">
        <v>2792</v>
      </c>
      <c r="H2473" s="2275"/>
      <c r="I2473" s="2275"/>
      <c r="J2473" s="2275"/>
      <c r="K2473" s="2275"/>
      <c r="L2473" s="2275"/>
      <c r="M2473" s="2275"/>
      <c r="N2473" s="2275"/>
      <c r="O2473" s="2275"/>
      <c r="P2473" s="2275"/>
      <c r="Q2473" s="1476">
        <f t="shared" si="256"/>
        <v>0</v>
      </c>
      <c r="R2473" s="2296"/>
      <c r="S2473" s="367"/>
      <c r="Z2473" s="609" t="s">
        <v>983</v>
      </c>
      <c r="AA2473" s="609" t="s">
        <v>5662</v>
      </c>
    </row>
    <row r="2474" spans="1:34" ht="18">
      <c r="A2474" s="2714"/>
      <c r="B2474" s="371">
        <v>101.006</v>
      </c>
      <c r="C2474" s="371" t="s">
        <v>2791</v>
      </c>
      <c r="D2474" s="2716">
        <f t="shared" si="255"/>
        <v>0</v>
      </c>
      <c r="E2474" s="2721" t="s">
        <v>3521</v>
      </c>
      <c r="F2474" s="294"/>
      <c r="G2474" s="2284" t="s">
        <v>2792</v>
      </c>
      <c r="H2474" s="2275"/>
      <c r="I2474" s="2275"/>
      <c r="J2474" s="2275"/>
      <c r="K2474" s="2275"/>
      <c r="L2474" s="2275"/>
      <c r="M2474" s="2275"/>
      <c r="N2474" s="2275"/>
      <c r="O2474" s="2275"/>
      <c r="P2474" s="2275"/>
      <c r="Q2474" s="1476">
        <f t="shared" si="256"/>
        <v>0</v>
      </c>
      <c r="R2474" s="2296"/>
      <c r="S2474" s="367"/>
      <c r="Z2474" s="609" t="s">
        <v>983</v>
      </c>
      <c r="AA2474" s="609" t="s">
        <v>5662</v>
      </c>
    </row>
    <row r="2475" spans="1:34" ht="18">
      <c r="A2475" s="2714"/>
      <c r="B2475" s="371">
        <v>101.00700000000001</v>
      </c>
      <c r="C2475" s="371" t="s">
        <v>2791</v>
      </c>
      <c r="D2475" s="2716">
        <f t="shared" si="255"/>
        <v>0</v>
      </c>
      <c r="E2475" s="2721" t="s">
        <v>3521</v>
      </c>
      <c r="F2475" s="294"/>
      <c r="G2475" s="2284" t="s">
        <v>2792</v>
      </c>
      <c r="H2475" s="2275"/>
      <c r="I2475" s="2275"/>
      <c r="J2475" s="2275"/>
      <c r="K2475" s="2275"/>
      <c r="L2475" s="2275"/>
      <c r="M2475" s="2275"/>
      <c r="N2475" s="2275"/>
      <c r="O2475" s="2275"/>
      <c r="P2475" s="2275"/>
      <c r="Q2475" s="1476">
        <f t="shared" si="256"/>
        <v>0</v>
      </c>
      <c r="R2475" s="2296"/>
      <c r="S2475" s="367"/>
      <c r="Z2475" s="609" t="s">
        <v>983</v>
      </c>
      <c r="AA2475" s="609" t="s">
        <v>5662</v>
      </c>
    </row>
    <row r="2476" spans="1:34" ht="18">
      <c r="A2476" s="2714"/>
      <c r="B2476" s="371">
        <v>101.008</v>
      </c>
      <c r="C2476" s="371" t="s">
        <v>2791</v>
      </c>
      <c r="D2476" s="2716">
        <f t="shared" si="255"/>
        <v>0</v>
      </c>
      <c r="E2476" s="2721" t="s">
        <v>3521</v>
      </c>
      <c r="F2476" s="294"/>
      <c r="G2476" s="2284" t="s">
        <v>2792</v>
      </c>
      <c r="H2476" s="2275"/>
      <c r="I2476" s="2275"/>
      <c r="J2476" s="2275"/>
      <c r="K2476" s="2275"/>
      <c r="L2476" s="2275"/>
      <c r="M2476" s="2275"/>
      <c r="N2476" s="2275"/>
      <c r="O2476" s="2275"/>
      <c r="P2476" s="2275"/>
      <c r="Q2476" s="1476">
        <f t="shared" si="256"/>
        <v>0</v>
      </c>
      <c r="R2476" s="2296"/>
      <c r="S2476" s="367"/>
      <c r="Z2476" s="609" t="s">
        <v>983</v>
      </c>
      <c r="AA2476" s="609" t="s">
        <v>5662</v>
      </c>
    </row>
    <row r="2477" spans="1:34" ht="18">
      <c r="A2477" s="2714"/>
      <c r="B2477" s="371">
        <v>101.009</v>
      </c>
      <c r="C2477" s="371" t="s">
        <v>2791</v>
      </c>
      <c r="D2477" s="2716">
        <f t="shared" si="255"/>
        <v>0</v>
      </c>
      <c r="E2477" s="2721" t="s">
        <v>3521</v>
      </c>
      <c r="F2477" s="294"/>
      <c r="G2477" s="2284" t="s">
        <v>2792</v>
      </c>
      <c r="H2477" s="2275"/>
      <c r="I2477" s="2275"/>
      <c r="J2477" s="2275"/>
      <c r="K2477" s="2275"/>
      <c r="L2477" s="2275"/>
      <c r="M2477" s="2275"/>
      <c r="N2477" s="2275"/>
      <c r="O2477" s="2275"/>
      <c r="P2477" s="2275"/>
      <c r="Q2477" s="1476">
        <f t="shared" si="256"/>
        <v>0</v>
      </c>
      <c r="R2477" s="2296"/>
      <c r="S2477" s="367"/>
      <c r="Z2477" s="609" t="s">
        <v>983</v>
      </c>
      <c r="AA2477" s="609" t="s">
        <v>5662</v>
      </c>
    </row>
    <row r="2478" spans="1:34" ht="18">
      <c r="A2478" s="2714"/>
      <c r="B2478" s="371">
        <v>101.01</v>
      </c>
      <c r="C2478" s="371" t="s">
        <v>2791</v>
      </c>
      <c r="D2478" s="2716">
        <f t="shared" si="255"/>
        <v>0</v>
      </c>
      <c r="E2478" s="2721" t="s">
        <v>3521</v>
      </c>
      <c r="F2478" s="294"/>
      <c r="G2478" s="2284" t="s">
        <v>2792</v>
      </c>
      <c r="H2478" s="2275"/>
      <c r="I2478" s="2275"/>
      <c r="J2478" s="2275"/>
      <c r="K2478" s="2275"/>
      <c r="L2478" s="2275"/>
      <c r="M2478" s="2275"/>
      <c r="N2478" s="2275"/>
      <c r="O2478" s="2275"/>
      <c r="P2478" s="2275"/>
      <c r="Q2478" s="1476">
        <f t="shared" si="256"/>
        <v>0</v>
      </c>
      <c r="R2478" s="2296"/>
      <c r="S2478" s="367"/>
      <c r="Z2478" s="609" t="s">
        <v>983</v>
      </c>
      <c r="AA2478" s="609" t="s">
        <v>5662</v>
      </c>
    </row>
    <row r="2479" spans="1:34" ht="18">
      <c r="A2479" s="2714"/>
      <c r="B2479" s="371">
        <v>101.999</v>
      </c>
      <c r="C2479" s="371" t="s">
        <v>2793</v>
      </c>
      <c r="D2479" s="2716">
        <f t="shared" si="255"/>
        <v>1</v>
      </c>
      <c r="E2479" s="2721">
        <v>1</v>
      </c>
      <c r="F2479" s="294"/>
      <c r="G2479" s="1474" t="s">
        <v>3521</v>
      </c>
      <c r="H2479" s="1476">
        <f t="shared" ref="H2479:R2479" si="257">SUMIF($E$2467:$E$2493,$G2479,H$2467:H$2493)</f>
        <v>0</v>
      </c>
      <c r="I2479" s="1476">
        <f t="shared" si="257"/>
        <v>0</v>
      </c>
      <c r="J2479" s="1476">
        <f t="shared" si="257"/>
        <v>0</v>
      </c>
      <c r="K2479" s="1476">
        <f t="shared" si="257"/>
        <v>0</v>
      </c>
      <c r="L2479" s="1476">
        <f t="shared" si="257"/>
        <v>0</v>
      </c>
      <c r="M2479" s="1476">
        <f t="shared" si="257"/>
        <v>0</v>
      </c>
      <c r="N2479" s="1476">
        <f t="shared" si="257"/>
        <v>0</v>
      </c>
      <c r="O2479" s="1476">
        <f t="shared" si="257"/>
        <v>0</v>
      </c>
      <c r="P2479" s="1476">
        <f t="shared" si="257"/>
        <v>0</v>
      </c>
      <c r="Q2479" s="1476">
        <f t="shared" si="257"/>
        <v>0</v>
      </c>
      <c r="R2479" s="1477">
        <f t="shared" si="257"/>
        <v>0</v>
      </c>
      <c r="S2479" s="367"/>
      <c r="Z2479" s="609" t="s">
        <v>983</v>
      </c>
      <c r="AA2479" s="609" t="s">
        <v>5662</v>
      </c>
    </row>
    <row r="2480" spans="1:34" ht="18">
      <c r="A2480" s="2714"/>
      <c r="B2480" s="371">
        <v>102</v>
      </c>
      <c r="C2480" s="371"/>
      <c r="D2480" s="2716">
        <f t="shared" si="255"/>
        <v>1</v>
      </c>
      <c r="E2480" s="2721" t="s">
        <v>41</v>
      </c>
      <c r="F2480" s="294"/>
      <c r="G2480" s="1474" t="s">
        <v>3522</v>
      </c>
      <c r="H2480" s="2275"/>
      <c r="I2480" s="2275"/>
      <c r="J2480" s="2275"/>
      <c r="K2480" s="2275"/>
      <c r="L2480" s="2275"/>
      <c r="M2480" s="2275"/>
      <c r="N2480" s="2275"/>
      <c r="O2480" s="2275"/>
      <c r="P2480" s="2275"/>
      <c r="Q2480" s="1476">
        <f t="shared" ref="Q2480:Q2490" si="258">SUM(H2480:I2480,-J2480,K2480:M2480,-N2480,-O2480,P2480)</f>
        <v>0</v>
      </c>
      <c r="R2480" s="2296"/>
      <c r="S2480" s="367"/>
      <c r="Z2480" s="609" t="s">
        <v>983</v>
      </c>
      <c r="AA2480" s="609" t="s">
        <v>5662</v>
      </c>
    </row>
    <row r="2481" spans="1:29" ht="18">
      <c r="A2481" s="2714"/>
      <c r="B2481" s="371">
        <v>102.001</v>
      </c>
      <c r="C2481" s="371" t="s">
        <v>2791</v>
      </c>
      <c r="D2481" s="2716">
        <f t="shared" si="255"/>
        <v>0</v>
      </c>
      <c r="E2481" s="2721" t="s">
        <v>3523</v>
      </c>
      <c r="F2481" s="294"/>
      <c r="G2481" s="2284" t="s">
        <v>2792</v>
      </c>
      <c r="H2481" s="2275"/>
      <c r="I2481" s="2275"/>
      <c r="J2481" s="2275"/>
      <c r="K2481" s="2275"/>
      <c r="L2481" s="2275"/>
      <c r="M2481" s="2275"/>
      <c r="N2481" s="2275"/>
      <c r="O2481" s="2275"/>
      <c r="P2481" s="2275"/>
      <c r="Q2481" s="1476">
        <f t="shared" si="258"/>
        <v>0</v>
      </c>
      <c r="R2481" s="2296"/>
      <c r="S2481" s="367"/>
      <c r="Z2481" s="609" t="s">
        <v>983</v>
      </c>
      <c r="AA2481" s="609" t="s">
        <v>5662</v>
      </c>
    </row>
    <row r="2482" spans="1:29" ht="18">
      <c r="A2482" s="2714"/>
      <c r="B2482" s="371">
        <v>102.002</v>
      </c>
      <c r="C2482" s="371" t="s">
        <v>2791</v>
      </c>
      <c r="D2482" s="2716">
        <f t="shared" si="255"/>
        <v>0</v>
      </c>
      <c r="E2482" s="2721" t="s">
        <v>3523</v>
      </c>
      <c r="F2482" s="294"/>
      <c r="G2482" s="2284" t="s">
        <v>2792</v>
      </c>
      <c r="H2482" s="2275"/>
      <c r="I2482" s="2275"/>
      <c r="J2482" s="2275"/>
      <c r="K2482" s="2275"/>
      <c r="L2482" s="2275"/>
      <c r="M2482" s="2275"/>
      <c r="N2482" s="2275"/>
      <c r="O2482" s="2275"/>
      <c r="P2482" s="2275"/>
      <c r="Q2482" s="1476">
        <f t="shared" si="258"/>
        <v>0</v>
      </c>
      <c r="R2482" s="2296"/>
      <c r="S2482" s="367"/>
      <c r="Z2482" s="609" t="s">
        <v>983</v>
      </c>
      <c r="AA2482" s="609" t="s">
        <v>5662</v>
      </c>
    </row>
    <row r="2483" spans="1:29" ht="18">
      <c r="A2483" s="2714"/>
      <c r="B2483" s="371">
        <v>102.003</v>
      </c>
      <c r="C2483" s="371" t="s">
        <v>2791</v>
      </c>
      <c r="D2483" s="2716">
        <f t="shared" si="255"/>
        <v>0</v>
      </c>
      <c r="E2483" s="2721" t="s">
        <v>3523</v>
      </c>
      <c r="F2483" s="294"/>
      <c r="G2483" s="2284" t="s">
        <v>2792</v>
      </c>
      <c r="H2483" s="2275"/>
      <c r="I2483" s="2275"/>
      <c r="J2483" s="2275"/>
      <c r="K2483" s="2275"/>
      <c r="L2483" s="2275"/>
      <c r="M2483" s="2275"/>
      <c r="N2483" s="2275"/>
      <c r="O2483" s="2275"/>
      <c r="P2483" s="2275"/>
      <c r="Q2483" s="1476">
        <f t="shared" si="258"/>
        <v>0</v>
      </c>
      <c r="R2483" s="2296"/>
      <c r="S2483" s="367"/>
      <c r="Z2483" s="609" t="s">
        <v>983</v>
      </c>
      <c r="AA2483" s="609" t="s">
        <v>5662</v>
      </c>
    </row>
    <row r="2484" spans="1:29" ht="18">
      <c r="A2484" s="2714"/>
      <c r="B2484" s="371">
        <v>102.004</v>
      </c>
      <c r="C2484" s="371" t="s">
        <v>2791</v>
      </c>
      <c r="D2484" s="2716">
        <f t="shared" si="255"/>
        <v>0</v>
      </c>
      <c r="E2484" s="2721" t="s">
        <v>3523</v>
      </c>
      <c r="F2484" s="294"/>
      <c r="G2484" s="2284" t="s">
        <v>2792</v>
      </c>
      <c r="H2484" s="2275"/>
      <c r="I2484" s="2275"/>
      <c r="J2484" s="2275"/>
      <c r="K2484" s="2275"/>
      <c r="L2484" s="2275"/>
      <c r="M2484" s="2275"/>
      <c r="N2484" s="2275"/>
      <c r="O2484" s="2275"/>
      <c r="P2484" s="2275"/>
      <c r="Q2484" s="1476">
        <f t="shared" si="258"/>
        <v>0</v>
      </c>
      <c r="R2484" s="2296"/>
      <c r="S2484" s="367"/>
      <c r="Z2484" s="609" t="s">
        <v>983</v>
      </c>
      <c r="AA2484" s="609" t="s">
        <v>5662</v>
      </c>
    </row>
    <row r="2485" spans="1:29" ht="18">
      <c r="A2485" s="2714"/>
      <c r="B2485" s="371">
        <v>102.005</v>
      </c>
      <c r="C2485" s="371" t="s">
        <v>2791</v>
      </c>
      <c r="D2485" s="2716">
        <f t="shared" si="255"/>
        <v>0</v>
      </c>
      <c r="E2485" s="2721" t="s">
        <v>3523</v>
      </c>
      <c r="F2485" s="294"/>
      <c r="G2485" s="2284" t="s">
        <v>2792</v>
      </c>
      <c r="H2485" s="2275"/>
      <c r="I2485" s="2275"/>
      <c r="J2485" s="2275"/>
      <c r="K2485" s="2275"/>
      <c r="L2485" s="2275"/>
      <c r="M2485" s="2275"/>
      <c r="N2485" s="2275"/>
      <c r="O2485" s="2275"/>
      <c r="P2485" s="2275"/>
      <c r="Q2485" s="1476">
        <f t="shared" si="258"/>
        <v>0</v>
      </c>
      <c r="R2485" s="2296"/>
      <c r="S2485" s="367"/>
      <c r="Z2485" s="609" t="s">
        <v>983</v>
      </c>
      <c r="AA2485" s="609" t="s">
        <v>5662</v>
      </c>
    </row>
    <row r="2486" spans="1:29" ht="18">
      <c r="A2486" s="2714"/>
      <c r="B2486" s="371">
        <v>102.006</v>
      </c>
      <c r="C2486" s="371" t="s">
        <v>2791</v>
      </c>
      <c r="D2486" s="2716">
        <f t="shared" si="255"/>
        <v>0</v>
      </c>
      <c r="E2486" s="2721" t="s">
        <v>3523</v>
      </c>
      <c r="F2486" s="294"/>
      <c r="G2486" s="2284" t="s">
        <v>2792</v>
      </c>
      <c r="H2486" s="2275"/>
      <c r="I2486" s="2275"/>
      <c r="J2486" s="2275"/>
      <c r="K2486" s="2275"/>
      <c r="L2486" s="2275"/>
      <c r="M2486" s="2275"/>
      <c r="N2486" s="2275"/>
      <c r="O2486" s="2275"/>
      <c r="P2486" s="2275"/>
      <c r="Q2486" s="1476">
        <f t="shared" si="258"/>
        <v>0</v>
      </c>
      <c r="R2486" s="2296"/>
      <c r="S2486" s="367"/>
      <c r="Z2486" s="609" t="s">
        <v>983</v>
      </c>
      <c r="AA2486" s="609" t="s">
        <v>5662</v>
      </c>
    </row>
    <row r="2487" spans="1:29" ht="18">
      <c r="A2487" s="2714"/>
      <c r="B2487" s="371">
        <v>102.00700000000001</v>
      </c>
      <c r="C2487" s="371" t="s">
        <v>2791</v>
      </c>
      <c r="D2487" s="2716">
        <f t="shared" si="255"/>
        <v>0</v>
      </c>
      <c r="E2487" s="2721" t="s">
        <v>3523</v>
      </c>
      <c r="F2487" s="294"/>
      <c r="G2487" s="2284" t="s">
        <v>2792</v>
      </c>
      <c r="H2487" s="2275"/>
      <c r="I2487" s="2275"/>
      <c r="J2487" s="2275"/>
      <c r="K2487" s="2275"/>
      <c r="L2487" s="2275"/>
      <c r="M2487" s="2275"/>
      <c r="N2487" s="2275"/>
      <c r="O2487" s="2275"/>
      <c r="P2487" s="2275"/>
      <c r="Q2487" s="1476">
        <f t="shared" si="258"/>
        <v>0</v>
      </c>
      <c r="R2487" s="2296"/>
      <c r="S2487" s="367"/>
      <c r="Z2487" s="609" t="s">
        <v>983</v>
      </c>
      <c r="AA2487" s="609" t="s">
        <v>5662</v>
      </c>
    </row>
    <row r="2488" spans="1:29" ht="18">
      <c r="A2488" s="2714"/>
      <c r="B2488" s="371">
        <v>102.008</v>
      </c>
      <c r="C2488" s="371" t="s">
        <v>2791</v>
      </c>
      <c r="D2488" s="2716">
        <f t="shared" si="255"/>
        <v>0</v>
      </c>
      <c r="E2488" s="2721" t="s">
        <v>3523</v>
      </c>
      <c r="F2488" s="294"/>
      <c r="G2488" s="2284" t="s">
        <v>2792</v>
      </c>
      <c r="H2488" s="2275"/>
      <c r="I2488" s="2275"/>
      <c r="J2488" s="2275"/>
      <c r="K2488" s="2275"/>
      <c r="L2488" s="2275"/>
      <c r="M2488" s="2275"/>
      <c r="N2488" s="2275"/>
      <c r="O2488" s="2275"/>
      <c r="P2488" s="2275"/>
      <c r="Q2488" s="1476">
        <f t="shared" si="258"/>
        <v>0</v>
      </c>
      <c r="R2488" s="2296"/>
      <c r="S2488" s="367"/>
      <c r="Z2488" s="609" t="s">
        <v>983</v>
      </c>
      <c r="AA2488" s="609" t="s">
        <v>5662</v>
      </c>
    </row>
    <row r="2489" spans="1:29" ht="18">
      <c r="A2489" s="2714"/>
      <c r="B2489" s="371">
        <v>102.009</v>
      </c>
      <c r="C2489" s="371" t="s">
        <v>2791</v>
      </c>
      <c r="D2489" s="2716">
        <f t="shared" si="255"/>
        <v>0</v>
      </c>
      <c r="E2489" s="2721" t="s">
        <v>3523</v>
      </c>
      <c r="F2489" s="294"/>
      <c r="G2489" s="2284" t="s">
        <v>2792</v>
      </c>
      <c r="H2489" s="2275"/>
      <c r="I2489" s="2275"/>
      <c r="J2489" s="2275"/>
      <c r="K2489" s="2275"/>
      <c r="L2489" s="2275"/>
      <c r="M2489" s="2275"/>
      <c r="N2489" s="2275"/>
      <c r="O2489" s="2275"/>
      <c r="P2489" s="2275"/>
      <c r="Q2489" s="1476">
        <f t="shared" si="258"/>
        <v>0</v>
      </c>
      <c r="R2489" s="2296"/>
      <c r="S2489" s="367"/>
      <c r="Z2489" s="609" t="s">
        <v>983</v>
      </c>
      <c r="AA2489" s="609" t="s">
        <v>5662</v>
      </c>
    </row>
    <row r="2490" spans="1:29" ht="18">
      <c r="A2490" s="2714"/>
      <c r="B2490" s="371">
        <v>102.01</v>
      </c>
      <c r="C2490" s="371" t="s">
        <v>2791</v>
      </c>
      <c r="D2490" s="2716">
        <f t="shared" si="255"/>
        <v>0</v>
      </c>
      <c r="E2490" s="2721" t="s">
        <v>3523</v>
      </c>
      <c r="F2490" s="294"/>
      <c r="G2490" s="2284" t="s">
        <v>2792</v>
      </c>
      <c r="H2490" s="2275"/>
      <c r="I2490" s="2275"/>
      <c r="J2490" s="2275"/>
      <c r="K2490" s="2275"/>
      <c r="L2490" s="2275"/>
      <c r="M2490" s="2275"/>
      <c r="N2490" s="2275"/>
      <c r="O2490" s="2275"/>
      <c r="P2490" s="2275"/>
      <c r="Q2490" s="1476">
        <f t="shared" si="258"/>
        <v>0</v>
      </c>
      <c r="R2490" s="2296"/>
      <c r="S2490" s="367"/>
      <c r="Z2490" s="609" t="s">
        <v>983</v>
      </c>
      <c r="AA2490" s="609" t="s">
        <v>5662</v>
      </c>
    </row>
    <row r="2491" spans="1:29" ht="18">
      <c r="A2491" s="2714"/>
      <c r="B2491" s="371">
        <v>102.999</v>
      </c>
      <c r="C2491" s="371" t="s">
        <v>2793</v>
      </c>
      <c r="D2491" s="2716">
        <f t="shared" si="255"/>
        <v>1</v>
      </c>
      <c r="E2491" s="2721">
        <v>1</v>
      </c>
      <c r="F2491" s="294"/>
      <c r="G2491" s="1474" t="s">
        <v>3523</v>
      </c>
      <c r="H2491" s="1476">
        <f t="shared" ref="H2491:R2491" si="259">SUMIF($E$2467:$E$2493,$G2491,H$2467:H$2493)</f>
        <v>0</v>
      </c>
      <c r="I2491" s="1476">
        <f t="shared" si="259"/>
        <v>0</v>
      </c>
      <c r="J2491" s="1476">
        <f t="shared" si="259"/>
        <v>0</v>
      </c>
      <c r="K2491" s="1476">
        <f t="shared" si="259"/>
        <v>0</v>
      </c>
      <c r="L2491" s="1476">
        <f t="shared" si="259"/>
        <v>0</v>
      </c>
      <c r="M2491" s="1476">
        <f t="shared" si="259"/>
        <v>0</v>
      </c>
      <c r="N2491" s="1476">
        <f t="shared" si="259"/>
        <v>0</v>
      </c>
      <c r="O2491" s="1476">
        <f t="shared" si="259"/>
        <v>0</v>
      </c>
      <c r="P2491" s="1476">
        <f t="shared" si="259"/>
        <v>0</v>
      </c>
      <c r="Q2491" s="1476">
        <f t="shared" si="259"/>
        <v>0</v>
      </c>
      <c r="R2491" s="1477">
        <f t="shared" si="259"/>
        <v>0</v>
      </c>
      <c r="S2491" s="367"/>
      <c r="Z2491" s="609" t="s">
        <v>983</v>
      </c>
      <c r="AA2491" s="609" t="s">
        <v>5662</v>
      </c>
    </row>
    <row r="2492" spans="1:29" ht="18">
      <c r="A2492" s="2714"/>
      <c r="B2492" s="371">
        <v>103</v>
      </c>
      <c r="C2492" s="371" t="s">
        <v>6562</v>
      </c>
      <c r="D2492" s="2716">
        <f t="shared" si="255"/>
        <v>0</v>
      </c>
      <c r="E2492" s="2721">
        <v>1</v>
      </c>
      <c r="F2492" s="294"/>
      <c r="G2492" s="2284" t="s">
        <v>2792</v>
      </c>
      <c r="H2492" s="2275"/>
      <c r="I2492" s="2275"/>
      <c r="J2492" s="2275"/>
      <c r="K2492" s="2275"/>
      <c r="L2492" s="2275"/>
      <c r="M2492" s="2275"/>
      <c r="N2492" s="2275"/>
      <c r="O2492" s="2275"/>
      <c r="P2492" s="2275"/>
      <c r="Q2492" s="1476">
        <f t="shared" ref="Q2492:Q2493" si="260">SUM(H2492:I2492,-J2492,K2492:M2492,-N2492,-O2492,P2492)</f>
        <v>0</v>
      </c>
      <c r="R2492" s="2296"/>
      <c r="S2492" s="367"/>
      <c r="Z2492" s="609" t="s">
        <v>983</v>
      </c>
      <c r="AA2492" s="609" t="s">
        <v>5662</v>
      </c>
    </row>
    <row r="2493" spans="1:29" ht="18">
      <c r="A2493" s="2714"/>
      <c r="B2493" s="371">
        <v>104</v>
      </c>
      <c r="C2493" s="371" t="s">
        <v>2791</v>
      </c>
      <c r="D2493" s="2716">
        <f t="shared" si="255"/>
        <v>0</v>
      </c>
      <c r="E2493" s="2721">
        <v>1</v>
      </c>
      <c r="F2493" s="294"/>
      <c r="G2493" s="2284" t="s">
        <v>2792</v>
      </c>
      <c r="H2493" s="2275"/>
      <c r="I2493" s="2275"/>
      <c r="J2493" s="2275"/>
      <c r="K2493" s="2275"/>
      <c r="L2493" s="2275"/>
      <c r="M2493" s="2275"/>
      <c r="N2493" s="2275"/>
      <c r="O2493" s="2275"/>
      <c r="P2493" s="2275"/>
      <c r="Q2493" s="1476">
        <f t="shared" si="260"/>
        <v>0</v>
      </c>
      <c r="R2493" s="2296"/>
      <c r="S2493" s="367"/>
      <c r="Z2493" s="609" t="s">
        <v>983</v>
      </c>
      <c r="AA2493" s="609" t="s">
        <v>5662</v>
      </c>
    </row>
    <row r="2494" spans="1:29" ht="18.75" thickBot="1">
      <c r="A2494" s="2714"/>
      <c r="B2494" s="371"/>
      <c r="C2494" s="371"/>
      <c r="D2494" s="2716">
        <f t="shared" si="255"/>
        <v>1</v>
      </c>
      <c r="E2494" s="2721" t="s">
        <v>3032</v>
      </c>
      <c r="F2494" s="294"/>
      <c r="G2494" s="374" t="s">
        <v>2752</v>
      </c>
      <c r="H2494" s="1478">
        <f t="shared" ref="H2494:R2494" si="261">SUMPRODUCT($E2467:$E2493,H2467:H2493)</f>
        <v>0</v>
      </c>
      <c r="I2494" s="1478">
        <f t="shared" si="261"/>
        <v>0</v>
      </c>
      <c r="J2494" s="1478">
        <f t="shared" si="261"/>
        <v>0</v>
      </c>
      <c r="K2494" s="1478">
        <f t="shared" si="261"/>
        <v>0</v>
      </c>
      <c r="L2494" s="1478">
        <f t="shared" si="261"/>
        <v>0</v>
      </c>
      <c r="M2494" s="1478">
        <f t="shared" si="261"/>
        <v>0</v>
      </c>
      <c r="N2494" s="1478">
        <f t="shared" si="261"/>
        <v>0</v>
      </c>
      <c r="O2494" s="1478">
        <f t="shared" si="261"/>
        <v>0</v>
      </c>
      <c r="P2494" s="1478">
        <f t="shared" si="261"/>
        <v>0</v>
      </c>
      <c r="Q2494" s="1478">
        <f t="shared" si="261"/>
        <v>0</v>
      </c>
      <c r="R2494" s="1479">
        <f t="shared" si="261"/>
        <v>0</v>
      </c>
      <c r="S2494" s="1596" t="str">
        <f ca="1">HYPERLINK("#'"&amp;$G$1&amp;"'!"&amp;ADDRESS(ROW(Notes!L4883),COLUMN(Notes!L4883),4),"* 请勿删除此行！点击往勾稽单元格，F5+Enter返回")</f>
        <v>* 请勿删除此行！点击往勾稽单元格，F5+Enter返回</v>
      </c>
      <c r="Z2494" s="609" t="s">
        <v>983</v>
      </c>
      <c r="AA2494" s="609" t="s">
        <v>5662</v>
      </c>
      <c r="AC2494" s="369" t="s">
        <v>6574</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2">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2"/>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2"/>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2"/>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2"/>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2"/>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2"/>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2"/>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2"/>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3">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3"/>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3"/>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3"/>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3"/>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3"/>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6532</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4">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4"/>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4"/>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4"/>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4"/>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4"/>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4"/>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4"/>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4"/>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6532</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5">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5"/>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5"/>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5"/>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5"/>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5"/>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5"/>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5"/>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5"/>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66">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66"/>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66"/>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66"/>
        <v>1</v>
      </c>
      <c r="E2563" s="2721">
        <v>1</v>
      </c>
      <c r="F2563" s="293"/>
      <c r="G2563" s="308" t="s">
        <v>3546</v>
      </c>
      <c r="H2563" s="309"/>
      <c r="I2563" s="309"/>
      <c r="J2563" s="309"/>
      <c r="K2563" s="1477">
        <f t="shared" ref="K2563:K2568" si="267">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66"/>
        <v>1</v>
      </c>
      <c r="E2564" s="2721">
        <v>1</v>
      </c>
      <c r="F2564" s="293"/>
      <c r="G2564" s="308" t="s">
        <v>5214</v>
      </c>
      <c r="H2564" s="309"/>
      <c r="I2564" s="309"/>
      <c r="J2564" s="309"/>
      <c r="K2564" s="1477">
        <f t="shared" si="267"/>
        <v>0</v>
      </c>
      <c r="L2564" s="437"/>
      <c r="M2564" s="438"/>
      <c r="N2564" s="439"/>
      <c r="O2564" s="437"/>
      <c r="P2564" s="438"/>
      <c r="Q2564" s="442"/>
      <c r="R2564" s="443"/>
      <c r="S2564" s="364"/>
      <c r="Z2564" s="609" t="s">
        <v>1053</v>
      </c>
      <c r="AA2564" s="609" t="s">
        <v>3540</v>
      </c>
    </row>
    <row r="2565" spans="1:27" ht="18">
      <c r="A2565" s="2714"/>
      <c r="B2565" s="371">
        <v>106</v>
      </c>
      <c r="C2565" s="371"/>
      <c r="D2565" s="2716">
        <f t="shared" si="266"/>
        <v>1</v>
      </c>
      <c r="E2565" s="2721">
        <v>1</v>
      </c>
      <c r="F2565" s="293"/>
      <c r="G2565" s="308" t="s">
        <v>5215</v>
      </c>
      <c r="H2565" s="309"/>
      <c r="I2565" s="309"/>
      <c r="J2565" s="309"/>
      <c r="K2565" s="1477">
        <f t="shared" si="267"/>
        <v>0</v>
      </c>
      <c r="L2565" s="437"/>
      <c r="M2565" s="438"/>
      <c r="N2565" s="439"/>
      <c r="O2565" s="437"/>
      <c r="P2565" s="438"/>
      <c r="Q2565" s="442"/>
      <c r="R2565" s="443"/>
      <c r="S2565" s="364"/>
      <c r="Z2565" s="609" t="s">
        <v>1053</v>
      </c>
      <c r="AA2565" s="609" t="s">
        <v>3540</v>
      </c>
    </row>
    <row r="2566" spans="1:27" ht="18">
      <c r="A2566" s="2714"/>
      <c r="B2566" s="371">
        <v>107</v>
      </c>
      <c r="C2566" s="371"/>
      <c r="D2566" s="2716">
        <f t="shared" si="266"/>
        <v>1</v>
      </c>
      <c r="E2566" s="2721">
        <v>1</v>
      </c>
      <c r="F2566" s="293"/>
      <c r="G2566" s="308" t="s">
        <v>5216</v>
      </c>
      <c r="H2566" s="309"/>
      <c r="I2566" s="309"/>
      <c r="J2566" s="309"/>
      <c r="K2566" s="1477">
        <f t="shared" ref="K2566" si="268">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66"/>
        <v>1</v>
      </c>
      <c r="E2567" s="2721">
        <v>1</v>
      </c>
      <c r="F2567" s="293"/>
      <c r="G2567" s="308" t="s">
        <v>5217</v>
      </c>
      <c r="H2567" s="309"/>
      <c r="I2567" s="309"/>
      <c r="J2567" s="309"/>
      <c r="K2567" s="1477">
        <f t="shared" ref="K2567" si="269">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66"/>
        <v>0</v>
      </c>
      <c r="E2568" s="2721">
        <v>1</v>
      </c>
      <c r="F2568" s="293"/>
      <c r="G2568" s="1472" t="s">
        <v>2792</v>
      </c>
      <c r="H2568" s="309"/>
      <c r="I2568" s="309"/>
      <c r="J2568" s="309"/>
      <c r="K2568" s="1477">
        <f t="shared" si="267"/>
        <v>0</v>
      </c>
      <c r="L2568" s="437"/>
      <c r="M2568" s="438"/>
      <c r="N2568" s="439"/>
      <c r="O2568" s="437"/>
      <c r="P2568" s="438"/>
      <c r="Q2568" s="442"/>
      <c r="R2568" s="443"/>
      <c r="S2568" s="364"/>
      <c r="Z2568" s="609" t="s">
        <v>1053</v>
      </c>
      <c r="AA2568" s="609" t="s">
        <v>3540</v>
      </c>
    </row>
    <row r="2569" spans="1:27" ht="18">
      <c r="A2569" s="2714"/>
      <c r="B2569" s="371">
        <v>110</v>
      </c>
      <c r="C2569" s="371"/>
      <c r="D2569" s="2716">
        <f t="shared" si="266"/>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66"/>
        <v>1</v>
      </c>
      <c r="E2570" s="2721">
        <v>1</v>
      </c>
      <c r="F2570" s="293"/>
      <c r="G2570" s="308" t="s">
        <v>3549</v>
      </c>
      <c r="H2570" s="309"/>
      <c r="I2570" s="309"/>
      <c r="J2570" s="309"/>
      <c r="K2570" s="1477">
        <f t="shared" ref="K2570:K2572" si="270">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66"/>
        <v>1</v>
      </c>
      <c r="E2571" s="2721">
        <v>1</v>
      </c>
      <c r="F2571" s="293"/>
      <c r="G2571" s="308" t="s">
        <v>3550</v>
      </c>
      <c r="H2571" s="309"/>
      <c r="I2571" s="309"/>
      <c r="J2571" s="309"/>
      <c r="K2571" s="1477">
        <f t="shared" si="270"/>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66"/>
        <v>0</v>
      </c>
      <c r="E2572" s="2721">
        <v>1</v>
      </c>
      <c r="F2572" s="293"/>
      <c r="G2572" s="1472" t="s">
        <v>2792</v>
      </c>
      <c r="H2572" s="309"/>
      <c r="I2572" s="309"/>
      <c r="J2572" s="309"/>
      <c r="K2572" s="1477">
        <f t="shared" si="270"/>
        <v>0</v>
      </c>
      <c r="L2572" s="437"/>
      <c r="M2572" s="438"/>
      <c r="N2572" s="439"/>
      <c r="O2572" s="437"/>
      <c r="P2572" s="438"/>
      <c r="Q2572" s="442"/>
      <c r="R2572" s="443"/>
      <c r="S2572" s="364"/>
      <c r="Z2572" s="609" t="s">
        <v>1053</v>
      </c>
      <c r="AA2572" s="609" t="s">
        <v>3540</v>
      </c>
    </row>
    <row r="2573" spans="1:27" ht="18">
      <c r="A2573" s="2714"/>
      <c r="B2573" s="371">
        <v>114</v>
      </c>
      <c r="C2573" s="371"/>
      <c r="D2573" s="2716">
        <f t="shared" si="266"/>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66"/>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66"/>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66"/>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66"/>
        <v>1</v>
      </c>
      <c r="E2577" s="2721">
        <v>1</v>
      </c>
      <c r="F2577" s="293"/>
      <c r="G2577" s="308" t="s">
        <v>3553</v>
      </c>
      <c r="H2577" s="309"/>
      <c r="I2577" s="309"/>
      <c r="J2577" s="309"/>
      <c r="K2577" s="1477">
        <f t="shared" ref="K2577:K2578" si="271">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66"/>
        <v>0</v>
      </c>
      <c r="E2578" s="2721">
        <v>1</v>
      </c>
      <c r="F2578" s="293"/>
      <c r="G2578" s="1472" t="s">
        <v>2792</v>
      </c>
      <c r="H2578" s="309"/>
      <c r="I2578" s="309"/>
      <c r="J2578" s="309"/>
      <c r="K2578" s="1477">
        <f t="shared" si="271"/>
        <v>0</v>
      </c>
      <c r="L2578" s="437"/>
      <c r="M2578" s="438"/>
      <c r="N2578" s="439"/>
      <c r="O2578" s="437"/>
      <c r="P2578" s="438"/>
      <c r="Q2578" s="442"/>
      <c r="R2578" s="443"/>
      <c r="S2578" s="364"/>
      <c r="Z2578" s="609" t="s">
        <v>1053</v>
      </c>
      <c r="AA2578" s="609" t="s">
        <v>3540</v>
      </c>
    </row>
    <row r="2579" spans="1:29" ht="18">
      <c r="A2579" s="2714"/>
      <c r="B2579" s="371">
        <v>120</v>
      </c>
      <c r="C2579" s="371"/>
      <c r="D2579" s="2716">
        <f t="shared" si="266"/>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66"/>
        <v>1</v>
      </c>
      <c r="E2580" s="2721">
        <v>1</v>
      </c>
      <c r="F2580" s="293"/>
      <c r="G2580" s="308" t="s">
        <v>3555</v>
      </c>
      <c r="H2580" s="309"/>
      <c r="I2580" s="309"/>
      <c r="J2580" s="309"/>
      <c r="K2580" s="1477">
        <f t="shared" ref="K2580:K2582" si="272">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66"/>
        <v>1</v>
      </c>
      <c r="E2581" s="2721">
        <v>1</v>
      </c>
      <c r="F2581" s="293"/>
      <c r="G2581" s="308" t="s">
        <v>3556</v>
      </c>
      <c r="H2581" s="309"/>
      <c r="I2581" s="309"/>
      <c r="J2581" s="309"/>
      <c r="K2581" s="1477">
        <f t="shared" si="272"/>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66"/>
        <v>0</v>
      </c>
      <c r="E2582" s="2721">
        <v>1</v>
      </c>
      <c r="F2582" s="293"/>
      <c r="G2582" s="1472" t="s">
        <v>2792</v>
      </c>
      <c r="H2582" s="309"/>
      <c r="I2582" s="309"/>
      <c r="J2582" s="309"/>
      <c r="K2582" s="1477">
        <f t="shared" si="272"/>
        <v>0</v>
      </c>
      <c r="L2582" s="437"/>
      <c r="M2582" s="438"/>
      <c r="N2582" s="439"/>
      <c r="O2582" s="437"/>
      <c r="P2582" s="438"/>
      <c r="Q2582" s="442"/>
      <c r="R2582" s="443"/>
      <c r="S2582" s="364"/>
      <c r="Z2582" s="609" t="s">
        <v>1053</v>
      </c>
      <c r="AA2582" s="609" t="s">
        <v>3540</v>
      </c>
    </row>
    <row r="2583" spans="1:29" ht="18">
      <c r="A2583" s="2714"/>
      <c r="B2583" s="371">
        <v>124</v>
      </c>
      <c r="C2583" s="371"/>
      <c r="D2583" s="2716">
        <f t="shared" si="266"/>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66"/>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66"/>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66"/>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66"/>
        <v>1</v>
      </c>
      <c r="E2587" s="2721">
        <v>1</v>
      </c>
      <c r="F2587" s="293"/>
      <c r="G2587" s="308" t="s">
        <v>3559</v>
      </c>
      <c r="H2587" s="309"/>
      <c r="I2587" s="309"/>
      <c r="J2587" s="309"/>
      <c r="K2587" s="1477">
        <f t="shared" ref="K2587:K2588" si="273">SUM(H2587:J2587)</f>
        <v>0</v>
      </c>
      <c r="L2587" s="1589" t="str">
        <f ca="1">HYPERLINK("#'"&amp;$G$1&amp;"'!"&amp;ADDRESS(ROW(Notes!L4884),COLUMN(Notes!L4884),4),"*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66"/>
        <v>0</v>
      </c>
      <c r="E2588" s="2721">
        <v>1</v>
      </c>
      <c r="F2588" s="293"/>
      <c r="G2588" s="1472" t="s">
        <v>2792</v>
      </c>
      <c r="H2588" s="309"/>
      <c r="I2588" s="309"/>
      <c r="J2588" s="309"/>
      <c r="K2588" s="1477">
        <f t="shared" si="273"/>
        <v>0</v>
      </c>
      <c r="L2588" s="437"/>
      <c r="M2588" s="438"/>
      <c r="N2588" s="439"/>
      <c r="O2588" s="437"/>
      <c r="P2588" s="438"/>
      <c r="Q2588" s="442"/>
      <c r="R2588" s="443"/>
      <c r="S2588" s="364"/>
      <c r="Z2588" s="609" t="s">
        <v>1053</v>
      </c>
      <c r="AA2588" s="609" t="s">
        <v>3540</v>
      </c>
    </row>
    <row r="2589" spans="1:29" ht="18">
      <c r="A2589" s="2714"/>
      <c r="B2589" s="371">
        <v>130</v>
      </c>
      <c r="C2589" s="371"/>
      <c r="D2589" s="2716">
        <f t="shared" si="266"/>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66"/>
        <v>1</v>
      </c>
      <c r="E2590" s="2721">
        <v>1</v>
      </c>
      <c r="F2590" s="293"/>
      <c r="G2590" s="308" t="s">
        <v>3561</v>
      </c>
      <c r="H2590" s="309"/>
      <c r="I2590" s="309"/>
      <c r="J2590" s="309"/>
      <c r="K2590" s="1477">
        <f t="shared" ref="K2590:K2592" si="274">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66"/>
        <v>1</v>
      </c>
      <c r="E2591" s="2721">
        <v>1</v>
      </c>
      <c r="F2591" s="293"/>
      <c r="G2591" s="308" t="s">
        <v>3562</v>
      </c>
      <c r="H2591" s="309"/>
      <c r="I2591" s="309"/>
      <c r="J2591" s="309"/>
      <c r="K2591" s="1477">
        <f t="shared" si="274"/>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66"/>
        <v>0</v>
      </c>
      <c r="E2592" s="2721">
        <v>1</v>
      </c>
      <c r="F2592" s="293"/>
      <c r="G2592" s="1472" t="s">
        <v>2792</v>
      </c>
      <c r="H2592" s="309"/>
      <c r="I2592" s="309"/>
      <c r="J2592" s="309"/>
      <c r="K2592" s="1477">
        <f t="shared" si="274"/>
        <v>0</v>
      </c>
      <c r="L2592" s="437"/>
      <c r="M2592" s="438"/>
      <c r="N2592" s="439"/>
      <c r="O2592" s="437"/>
      <c r="P2592" s="438"/>
      <c r="Q2592" s="442"/>
      <c r="R2592" s="443"/>
      <c r="S2592" s="364"/>
      <c r="Z2592" s="609" t="s">
        <v>1053</v>
      </c>
      <c r="AA2592" s="609" t="s">
        <v>3540</v>
      </c>
    </row>
    <row r="2593" spans="1:27" ht="18">
      <c r="A2593" s="2714"/>
      <c r="B2593" s="371">
        <v>134</v>
      </c>
      <c r="C2593" s="371"/>
      <c r="D2593" s="2716">
        <f t="shared" si="266"/>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66"/>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66"/>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66"/>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66"/>
        <v>0</v>
      </c>
      <c r="E2597" s="2721" t="s">
        <v>6556</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5">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5"/>
        <v>1</v>
      </c>
      <c r="E2603" s="2721">
        <v>1</v>
      </c>
      <c r="F2603" s="294"/>
      <c r="G2603" s="308" t="s">
        <v>3558</v>
      </c>
      <c r="H2603" s="1476">
        <f>SUM(H2604:H2610)</f>
        <v>0</v>
      </c>
      <c r="I2603" s="1476">
        <f t="shared" ref="I2603:K2603" si="276">SUM(I2604:I2610)</f>
        <v>0</v>
      </c>
      <c r="J2603" s="1476">
        <f t="shared" si="276"/>
        <v>0</v>
      </c>
      <c r="K2603" s="1477">
        <f t="shared" si="276"/>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5"/>
        <v>1</v>
      </c>
      <c r="E2604" s="2721">
        <v>0</v>
      </c>
      <c r="F2604" s="294"/>
      <c r="G2604" s="308" t="s">
        <v>3546</v>
      </c>
      <c r="H2604" s="320"/>
      <c r="I2604" s="320"/>
      <c r="J2604" s="320"/>
      <c r="K2604" s="1477">
        <f t="shared" ref="K2604:K2610" si="277">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5"/>
        <v>1</v>
      </c>
      <c r="E2605" s="2721">
        <v>0</v>
      </c>
      <c r="F2605" s="294"/>
      <c r="G2605" s="308" t="s">
        <v>5214</v>
      </c>
      <c r="H2605" s="320"/>
      <c r="I2605" s="320"/>
      <c r="J2605" s="320"/>
      <c r="K2605" s="1477">
        <f t="shared" si="277"/>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5"/>
        <v>1</v>
      </c>
      <c r="E2606" s="2721">
        <v>0</v>
      </c>
      <c r="F2606" s="294"/>
      <c r="G2606" s="308" t="s">
        <v>5215</v>
      </c>
      <c r="H2606" s="320"/>
      <c r="I2606" s="320"/>
      <c r="J2606" s="320"/>
      <c r="K2606" s="1477">
        <f t="shared" si="277"/>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5"/>
        <v>1</v>
      </c>
      <c r="E2607" s="2721">
        <v>0</v>
      </c>
      <c r="F2607" s="294"/>
      <c r="G2607" s="308" t="s">
        <v>5216</v>
      </c>
      <c r="H2607" s="320"/>
      <c r="I2607" s="320"/>
      <c r="J2607" s="320"/>
      <c r="K2607" s="1477">
        <f t="shared" ref="K2607" si="278">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5"/>
        <v>1</v>
      </c>
      <c r="E2608" s="2721">
        <v>0</v>
      </c>
      <c r="F2608" s="294"/>
      <c r="G2608" s="308" t="s">
        <v>5217</v>
      </c>
      <c r="H2608" s="320"/>
      <c r="I2608" s="320"/>
      <c r="J2608" s="320"/>
      <c r="K2608" s="1477">
        <f t="shared" ref="K2608" si="279">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5"/>
        <v>1</v>
      </c>
      <c r="E2609" s="2721">
        <v>0</v>
      </c>
      <c r="F2609" s="294"/>
      <c r="G2609" s="308" t="s">
        <v>5218</v>
      </c>
      <c r="H2609" s="320"/>
      <c r="I2609" s="320"/>
      <c r="J2609" s="320"/>
      <c r="K2609" s="1477">
        <f t="shared" si="277"/>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5"/>
        <v>0</v>
      </c>
      <c r="E2610" s="2721">
        <v>0</v>
      </c>
      <c r="F2610" s="294"/>
      <c r="G2610" s="1472" t="s">
        <v>2792</v>
      </c>
      <c r="H2610" s="309"/>
      <c r="I2610" s="309"/>
      <c r="J2610" s="309"/>
      <c r="K2610" s="1477">
        <f t="shared" si="277"/>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5"/>
        <v>1</v>
      </c>
      <c r="E2611" s="2721">
        <v>-1</v>
      </c>
      <c r="F2611" s="294"/>
      <c r="G2611" s="308" t="s">
        <v>3560</v>
      </c>
      <c r="H2611" s="1476">
        <f>SUM(H2612:H2615)</f>
        <v>0</v>
      </c>
      <c r="I2611" s="1476">
        <f t="shared" ref="I2611:K2611" si="280">SUM(I2612:I2615)</f>
        <v>0</v>
      </c>
      <c r="J2611" s="1476">
        <f t="shared" si="280"/>
        <v>0</v>
      </c>
      <c r="K2611" s="1477">
        <f t="shared" si="280"/>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5"/>
        <v>1</v>
      </c>
      <c r="E2612" s="2721">
        <v>0</v>
      </c>
      <c r="F2612" s="294"/>
      <c r="G2612" s="308" t="s">
        <v>3561</v>
      </c>
      <c r="H2612" s="309"/>
      <c r="I2612" s="309"/>
      <c r="J2612" s="309"/>
      <c r="K2612" s="1477">
        <f t="shared" ref="K2612:K2615" si="281">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5"/>
        <v>1</v>
      </c>
      <c r="E2613" s="2721">
        <v>0</v>
      </c>
      <c r="F2613" s="294"/>
      <c r="G2613" s="308" t="s">
        <v>3562</v>
      </c>
      <c r="H2613" s="309"/>
      <c r="I2613" s="309"/>
      <c r="J2613" s="309"/>
      <c r="K2613" s="1477">
        <f t="shared" si="281"/>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5"/>
        <v>1</v>
      </c>
      <c r="E2614" s="2721">
        <v>0</v>
      </c>
      <c r="F2614" s="294"/>
      <c r="G2614" s="308" t="s">
        <v>3584</v>
      </c>
      <c r="H2614" s="309"/>
      <c r="I2614" s="309"/>
      <c r="J2614" s="309"/>
      <c r="K2614" s="1477">
        <f t="shared" si="281"/>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5"/>
        <v>0</v>
      </c>
      <c r="E2615" s="2721">
        <v>0</v>
      </c>
      <c r="F2615" s="294"/>
      <c r="G2615" s="1472" t="s">
        <v>2792</v>
      </c>
      <c r="H2615" s="309"/>
      <c r="I2615" s="309"/>
      <c r="J2615" s="309"/>
      <c r="K2615" s="1477">
        <f t="shared" si="281"/>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5"/>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71"/>
      <c r="L2618" s="315"/>
      <c r="M2618" s="301"/>
      <c r="N2618" s="3071"/>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2">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2"/>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2"/>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2"/>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2"/>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2"/>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6532</v>
      </c>
      <c r="F2628" s="294"/>
      <c r="G2628" s="307" t="str">
        <f>"("&amp;B2628&amp;")"&amp;D2628</f>
        <v>(4)投资性房地产抵押情况</v>
      </c>
      <c r="H2628" s="1517" t="str">
        <f>$A2628</f>
        <v>1521s</v>
      </c>
      <c r="I2628" s="343" t="s">
        <v>5965</v>
      </c>
      <c r="J2628" s="301"/>
      <c r="K2628" s="3071"/>
      <c r="L2628" s="315"/>
      <c r="M2628" s="301"/>
      <c r="N2628" s="3071"/>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3">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3"/>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3"/>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3"/>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3"/>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3"/>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0</v>
      </c>
      <c r="L2638" s="342"/>
      <c r="M2638" s="306" t="s">
        <v>2741</v>
      </c>
      <c r="N2638" s="341">
        <f>VLOOKUP($A2638,Sheet_Trialbal,10,0)</f>
        <v>221616.66</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0</v>
      </c>
      <c r="L2639" s="349" t="str">
        <f>IF($I2639="适用",IF(ROUND(K$2638-K2639,2)=0,"F/S",ROUND(K$2638-K2639,2)),"#N/A")</f>
        <v>F/S</v>
      </c>
      <c r="M2639" s="301" t="s">
        <v>2745</v>
      </c>
      <c r="N2639" s="2210">
        <f>I2645</f>
        <v>0</v>
      </c>
      <c r="O2639" s="349">
        <f>IF($I2639="适用",IF(ROUND(N$2638-N2639,2)=0,"F/S",ROUND(N$2638-N2639,2)),"#N/A")</f>
        <v>221616.66</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4">IF(OR(G2642="*",G2642="",G2642=0),0,COUNTIF($G$2642:$G$2645,G2642))</f>
        <v>1</v>
      </c>
      <c r="E2642" s="2721">
        <v>1</v>
      </c>
      <c r="F2642" s="371"/>
      <c r="G2642" s="308" t="s">
        <v>337</v>
      </c>
      <c r="H2642" s="309"/>
      <c r="I2642" s="394"/>
      <c r="J2642" s="301"/>
      <c r="K2642" s="2252">
        <f ca="1">HYPERLINK("#'"&amp;$G$1&amp;"'!"&amp;ADDRESS(ROW(Notes!P2696),COLUMN(Notes!P2696),4),P2696-H2642)</f>
        <v>0</v>
      </c>
      <c r="L2642" s="2252">
        <f ca="1">HYPERLINK("#'"&amp;$G$1&amp;"'!"&amp;ADDRESS(ROW(Notes!H2696),COLUMN(Notes!H2696),4),H2696-I2642)</f>
        <v>221616.66</v>
      </c>
      <c r="M2642" s="2632" t="str">
        <f>H2648</f>
        <v>1601k</v>
      </c>
      <c r="N2642" s="391"/>
      <c r="O2642" s="349"/>
      <c r="P2642" s="301"/>
      <c r="S2642" s="364"/>
      <c r="Z2642" s="609" t="s">
        <v>1100</v>
      </c>
      <c r="AA2642" s="609"/>
    </row>
    <row r="2643" spans="1:27" ht="18">
      <c r="A2643" s="2714"/>
      <c r="B2643" s="371">
        <v>102</v>
      </c>
      <c r="C2643" s="371"/>
      <c r="D2643" s="2716">
        <f t="shared" si="284"/>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4"/>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4"/>
        <v>1</v>
      </c>
      <c r="E2645" s="2721" t="s">
        <v>2751</v>
      </c>
      <c r="F2645" s="371"/>
      <c r="G2645" s="374" t="s">
        <v>2752</v>
      </c>
      <c r="H2645" s="1478">
        <f>SUMPRODUCT($E2641:$E2644,H2641:H2644)</f>
        <v>0</v>
      </c>
      <c r="I2645" s="1479">
        <f>SUMPRODUCT($E2641:$E2644,I2641:I2644)</f>
        <v>0</v>
      </c>
      <c r="J2645" s="301"/>
      <c r="K2645" s="1531">
        <f t="shared" ref="K2645:M2645" ca="1" si="285">SUM(K2642:K2644)</f>
        <v>0</v>
      </c>
      <c r="L2645" s="1531">
        <f t="shared" ca="1" si="285"/>
        <v>221616.66</v>
      </c>
      <c r="M2645" s="1531">
        <f t="shared" si="285"/>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0</v>
      </c>
      <c r="L2647" s="342"/>
      <c r="M2647" s="306" t="s">
        <v>2741</v>
      </c>
      <c r="N2647" s="341">
        <f>VLOOKUP($A2647,Sheet_Trialbal,10,0)</f>
        <v>221616.66</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0</v>
      </c>
      <c r="L2648" s="349" t="str">
        <f>IF($I2648="适用",IF(ROUND(K$2647-K2648,2)=0,"F/S",ROUND(K$2647-K2648,2)),"#N/A")</f>
        <v>F/S</v>
      </c>
      <c r="M2648" s="301" t="s">
        <v>2745</v>
      </c>
      <c r="N2648" s="2210">
        <f>H2696</f>
        <v>221616.66</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261" t="s">
        <v>47</v>
      </c>
      <c r="H2651" s="3145" t="s">
        <v>3574</v>
      </c>
      <c r="I2651" s="3145" t="s">
        <v>3558</v>
      </c>
      <c r="J2651" s="3145"/>
      <c r="K2651" s="3145"/>
      <c r="L2651" s="3145"/>
      <c r="M2651" s="3145"/>
      <c r="N2651" s="3145" t="s">
        <v>3560</v>
      </c>
      <c r="O2651" s="3145"/>
      <c r="P2651" s="3193" t="s">
        <v>3575</v>
      </c>
      <c r="Q2651" s="355" t="s">
        <v>5288</v>
      </c>
      <c r="R2651" s="443"/>
      <c r="S2651" s="364"/>
      <c r="Z2651" s="609" t="s">
        <v>1107</v>
      </c>
      <c r="AA2651" s="609" t="s">
        <v>3598</v>
      </c>
    </row>
    <row r="2652" spans="1:27" ht="24">
      <c r="A2652" s="2714"/>
      <c r="B2652" s="371"/>
      <c r="C2652" s="371"/>
      <c r="D2652" s="2716"/>
      <c r="E2652" s="2716" t="s">
        <v>2749</v>
      </c>
      <c r="F2652" s="293"/>
      <c r="G2652" s="3262"/>
      <c r="H2652" s="3148"/>
      <c r="I2652" s="2286" t="s">
        <v>3576</v>
      </c>
      <c r="J2652" s="2286" t="s">
        <v>3603</v>
      </c>
      <c r="K2652" s="2279" t="s">
        <v>3547</v>
      </c>
      <c r="L2652" s="2344" t="s">
        <v>5158</v>
      </c>
      <c r="M2652" s="2344" t="s">
        <v>5157</v>
      </c>
      <c r="N2652" s="2286" t="s">
        <v>3605</v>
      </c>
      <c r="O2652" s="2286" t="s">
        <v>3609</v>
      </c>
      <c r="P2652" s="3163"/>
      <c r="Q2652" s="442"/>
      <c r="R2652" s="443"/>
      <c r="S2652" s="364"/>
      <c r="Z2652" s="609" t="s">
        <v>1107</v>
      </c>
      <c r="AA2652" s="609" t="s">
        <v>3598</v>
      </c>
    </row>
    <row r="2653" spans="1:27" ht="18">
      <c r="A2653" s="2714"/>
      <c r="B2653" s="371">
        <v>101</v>
      </c>
      <c r="C2653" s="371"/>
      <c r="D2653" s="2716">
        <f t="shared" ref="D2653:D2696" si="286">IF(OR(G2653="*",G2653="",G2653=0),0,COUNTIF($G$2653:$G$2696,G2653))</f>
        <v>1</v>
      </c>
      <c r="E2653" s="2721" t="s">
        <v>6535</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86"/>
        <v>1</v>
      </c>
      <c r="E2654" s="2721" t="s">
        <v>5159</v>
      </c>
      <c r="F2654" s="294"/>
      <c r="G2654" s="308" t="s">
        <v>3600</v>
      </c>
      <c r="H2654" s="309"/>
      <c r="I2654" s="309"/>
      <c r="J2654" s="309"/>
      <c r="K2654" s="309"/>
      <c r="L2654" s="1465">
        <v>0</v>
      </c>
      <c r="M2654" s="309"/>
      <c r="N2654" s="320"/>
      <c r="O2654" s="309"/>
      <c r="P2654" s="1477">
        <f t="shared" ref="P2654:P2662" si="287">SUM(H2654:M2654,-N2654,-O2654)</f>
        <v>0</v>
      </c>
      <c r="Q2654" s="442"/>
      <c r="R2654" s="443"/>
      <c r="S2654" s="364"/>
      <c r="Z2654" s="609" t="s">
        <v>1107</v>
      </c>
      <c r="AA2654" s="609" t="s">
        <v>3598</v>
      </c>
    </row>
    <row r="2655" spans="1:27" ht="18">
      <c r="A2655" s="2714"/>
      <c r="B2655" s="371">
        <v>101.002</v>
      </c>
      <c r="C2655" s="371"/>
      <c r="D2655" s="2716">
        <f t="shared" si="286"/>
        <v>1</v>
      </c>
      <c r="E2655" s="2721" t="s">
        <v>5159</v>
      </c>
      <c r="F2655" s="294"/>
      <c r="G2655" s="308" t="s">
        <v>3601</v>
      </c>
      <c r="H2655" s="309"/>
      <c r="I2655" s="309"/>
      <c r="J2655" s="309"/>
      <c r="K2655" s="309"/>
      <c r="L2655" s="1465">
        <v>0</v>
      </c>
      <c r="M2655" s="309"/>
      <c r="N2655" s="320"/>
      <c r="O2655" s="309"/>
      <c r="P2655" s="1477">
        <f t="shared" si="287"/>
        <v>0</v>
      </c>
      <c r="Q2655" s="442"/>
      <c r="R2655" s="443"/>
      <c r="S2655" s="364"/>
      <c r="Z2655" s="609" t="s">
        <v>1107</v>
      </c>
      <c r="AA2655" s="609" t="s">
        <v>3598</v>
      </c>
    </row>
    <row r="2656" spans="1:27" ht="18">
      <c r="A2656" s="2714"/>
      <c r="B2656" s="371">
        <v>101.003</v>
      </c>
      <c r="C2656" s="371"/>
      <c r="D2656" s="2716">
        <f t="shared" si="286"/>
        <v>1</v>
      </c>
      <c r="E2656" s="2721" t="s">
        <v>5159</v>
      </c>
      <c r="F2656" s="294"/>
      <c r="G2656" s="308" t="s">
        <v>3602</v>
      </c>
      <c r="H2656" s="309"/>
      <c r="I2656" s="309"/>
      <c r="J2656" s="309"/>
      <c r="K2656" s="309"/>
      <c r="L2656" s="1465">
        <v>0</v>
      </c>
      <c r="M2656" s="309"/>
      <c r="N2656" s="320"/>
      <c r="O2656" s="309"/>
      <c r="P2656" s="1477">
        <f t="shared" si="287"/>
        <v>0</v>
      </c>
      <c r="Q2656" s="442"/>
      <c r="R2656" s="443"/>
      <c r="S2656" s="364"/>
      <c r="Z2656" s="609" t="s">
        <v>1107</v>
      </c>
      <c r="AA2656" s="609" t="s">
        <v>3598</v>
      </c>
    </row>
    <row r="2657" spans="1:27" ht="18">
      <c r="A2657" s="2714"/>
      <c r="B2657" s="371">
        <v>101.004</v>
      </c>
      <c r="C2657" s="371" t="s">
        <v>2791</v>
      </c>
      <c r="D2657" s="2716">
        <f t="shared" si="286"/>
        <v>1</v>
      </c>
      <c r="E2657" s="2721" t="s">
        <v>5159</v>
      </c>
      <c r="F2657" s="294"/>
      <c r="G2657" s="1506" t="s">
        <v>6841</v>
      </c>
      <c r="H2657" s="309">
        <v>227325.99</v>
      </c>
      <c r="I2657" s="309">
        <v>94766.7</v>
      </c>
      <c r="J2657" s="309"/>
      <c r="K2657" s="309"/>
      <c r="L2657" s="1465">
        <v>0</v>
      </c>
      <c r="M2657" s="309"/>
      <c r="N2657" s="320"/>
      <c r="O2657" s="309">
        <v>322092.69</v>
      </c>
      <c r="P2657" s="1477">
        <f t="shared" si="287"/>
        <v>0</v>
      </c>
      <c r="Q2657" s="442"/>
      <c r="R2657" s="443"/>
      <c r="S2657" s="364"/>
      <c r="Z2657" s="609" t="s">
        <v>1107</v>
      </c>
      <c r="AA2657" s="609" t="s">
        <v>3598</v>
      </c>
    </row>
    <row r="2658" spans="1:27" ht="18">
      <c r="A2658" s="2714"/>
      <c r="B2658" s="371">
        <v>101.005</v>
      </c>
      <c r="C2658" s="371" t="s">
        <v>2791</v>
      </c>
      <c r="D2658" s="2716">
        <f t="shared" si="286"/>
        <v>1</v>
      </c>
      <c r="E2658" s="2721" t="s">
        <v>5159</v>
      </c>
      <c r="F2658" s="294"/>
      <c r="G2658" s="1506" t="s">
        <v>5187</v>
      </c>
      <c r="H2658" s="309"/>
      <c r="I2658" s="309"/>
      <c r="J2658" s="309"/>
      <c r="K2658" s="309"/>
      <c r="L2658" s="1465">
        <v>0</v>
      </c>
      <c r="M2658" s="309"/>
      <c r="N2658" s="320"/>
      <c r="O2658" s="309"/>
      <c r="P2658" s="1477">
        <f t="shared" si="287"/>
        <v>0</v>
      </c>
      <c r="Q2658" s="442"/>
      <c r="R2658" s="443"/>
      <c r="S2658" s="364"/>
      <c r="Z2658" s="609" t="s">
        <v>1107</v>
      </c>
      <c r="AA2658" s="609" t="s">
        <v>3598</v>
      </c>
    </row>
    <row r="2659" spans="1:27" ht="18">
      <c r="A2659" s="2714"/>
      <c r="B2659" s="371">
        <v>101.006</v>
      </c>
      <c r="C2659" s="371" t="s">
        <v>2791</v>
      </c>
      <c r="D2659" s="2716">
        <f t="shared" si="286"/>
        <v>1</v>
      </c>
      <c r="E2659" s="2721" t="s">
        <v>5159</v>
      </c>
      <c r="F2659" s="294"/>
      <c r="G2659" s="1506" t="s">
        <v>5188</v>
      </c>
      <c r="H2659" s="309"/>
      <c r="I2659" s="309"/>
      <c r="J2659" s="309"/>
      <c r="K2659" s="309"/>
      <c r="L2659" s="1465">
        <v>0</v>
      </c>
      <c r="M2659" s="309"/>
      <c r="N2659" s="320"/>
      <c r="O2659" s="309"/>
      <c r="P2659" s="1477">
        <f t="shared" si="287"/>
        <v>0</v>
      </c>
      <c r="Q2659" s="442"/>
      <c r="R2659" s="443"/>
      <c r="S2659" s="364"/>
      <c r="Z2659" s="609" t="s">
        <v>1107</v>
      </c>
      <c r="AA2659" s="609" t="s">
        <v>3598</v>
      </c>
    </row>
    <row r="2660" spans="1:27" ht="18">
      <c r="A2660" s="2714"/>
      <c r="B2660" s="371">
        <v>101.00700000000001</v>
      </c>
      <c r="C2660" s="371" t="s">
        <v>2791</v>
      </c>
      <c r="D2660" s="2716">
        <f t="shared" si="286"/>
        <v>1</v>
      </c>
      <c r="E2660" s="2721" t="s">
        <v>5159</v>
      </c>
      <c r="F2660" s="294"/>
      <c r="G2660" s="1506" t="s">
        <v>5189</v>
      </c>
      <c r="H2660" s="309"/>
      <c r="I2660" s="309"/>
      <c r="J2660" s="309"/>
      <c r="K2660" s="309"/>
      <c r="L2660" s="1465">
        <v>0</v>
      </c>
      <c r="M2660" s="309"/>
      <c r="N2660" s="320"/>
      <c r="O2660" s="309"/>
      <c r="P2660" s="1477">
        <f t="shared" si="287"/>
        <v>0</v>
      </c>
      <c r="Q2660" s="442"/>
      <c r="R2660" s="443"/>
      <c r="S2660" s="364"/>
      <c r="Z2660" s="609" t="s">
        <v>1107</v>
      </c>
      <c r="AA2660" s="609" t="s">
        <v>3598</v>
      </c>
    </row>
    <row r="2661" spans="1:27" ht="18">
      <c r="A2661" s="2714"/>
      <c r="B2661" s="371">
        <v>101.008</v>
      </c>
      <c r="C2661" s="371" t="s">
        <v>6533</v>
      </c>
      <c r="D2661" s="2716">
        <f t="shared" si="286"/>
        <v>1</v>
      </c>
      <c r="E2661" s="2721" t="s">
        <v>5159</v>
      </c>
      <c r="F2661" s="294"/>
      <c r="G2661" s="1506" t="s">
        <v>5190</v>
      </c>
      <c r="H2661" s="309"/>
      <c r="I2661" s="309"/>
      <c r="J2661" s="309"/>
      <c r="K2661" s="309"/>
      <c r="L2661" s="1465">
        <v>0</v>
      </c>
      <c r="M2661" s="309"/>
      <c r="N2661" s="320"/>
      <c r="O2661" s="309"/>
      <c r="P2661" s="1477">
        <f t="shared" si="287"/>
        <v>0</v>
      </c>
      <c r="Q2661" s="442"/>
      <c r="R2661" s="443"/>
      <c r="S2661" s="364"/>
      <c r="Z2661" s="609" t="s">
        <v>1107</v>
      </c>
      <c r="AA2661" s="609" t="s">
        <v>3598</v>
      </c>
    </row>
    <row r="2662" spans="1:27" ht="18">
      <c r="A2662" s="2714"/>
      <c r="B2662" s="371">
        <v>101.009</v>
      </c>
      <c r="C2662" s="371" t="s">
        <v>2791</v>
      </c>
      <c r="D2662" s="2716">
        <f t="shared" si="286"/>
        <v>1</v>
      </c>
      <c r="E2662" s="2721" t="s">
        <v>5159</v>
      </c>
      <c r="F2662" s="294"/>
      <c r="G2662" s="1506" t="s">
        <v>5191</v>
      </c>
      <c r="H2662" s="309"/>
      <c r="I2662" s="309"/>
      <c r="J2662" s="309"/>
      <c r="K2662" s="309"/>
      <c r="L2662" s="1465">
        <v>0</v>
      </c>
      <c r="M2662" s="309"/>
      <c r="N2662" s="320"/>
      <c r="O2662" s="309"/>
      <c r="P2662" s="1477">
        <f t="shared" si="287"/>
        <v>0</v>
      </c>
      <c r="Q2662" s="442"/>
      <c r="R2662" s="443"/>
      <c r="S2662" s="364"/>
      <c r="Z2662" s="609" t="s">
        <v>1107</v>
      </c>
      <c r="AA2662" s="609" t="s">
        <v>3598</v>
      </c>
    </row>
    <row r="2663" spans="1:27" ht="18">
      <c r="A2663" s="2714"/>
      <c r="B2663" s="371">
        <v>101.999</v>
      </c>
      <c r="C2663" s="371" t="s">
        <v>6563</v>
      </c>
      <c r="D2663" s="2716">
        <f t="shared" si="286"/>
        <v>1</v>
      </c>
      <c r="E2663" s="2721">
        <v>1</v>
      </c>
      <c r="F2663" s="294"/>
      <c r="G2663" s="632" t="s">
        <v>5161</v>
      </c>
      <c r="H2663" s="1476">
        <f t="shared" ref="H2663:P2663" si="288">SUMIF($E$2652:$E$2695,$G2663,H$2652:H$2695)</f>
        <v>227325.99</v>
      </c>
      <c r="I2663" s="1476">
        <f t="shared" si="288"/>
        <v>94766.7</v>
      </c>
      <c r="J2663" s="1476">
        <f t="shared" si="288"/>
        <v>0</v>
      </c>
      <c r="K2663" s="1476">
        <f t="shared" si="288"/>
        <v>0</v>
      </c>
      <c r="L2663" s="1483">
        <f t="shared" si="288"/>
        <v>0</v>
      </c>
      <c r="M2663" s="1476">
        <f t="shared" si="288"/>
        <v>0</v>
      </c>
      <c r="N2663" s="1476">
        <f t="shared" si="288"/>
        <v>0</v>
      </c>
      <c r="O2663" s="1476">
        <f t="shared" si="288"/>
        <v>322092.69</v>
      </c>
      <c r="P2663" s="1477">
        <f t="shared" si="288"/>
        <v>0</v>
      </c>
      <c r="Q2663" s="442"/>
      <c r="R2663" s="443"/>
      <c r="S2663" s="364"/>
      <c r="Z2663" s="609" t="s">
        <v>1107</v>
      </c>
      <c r="AA2663" s="609" t="s">
        <v>3598</v>
      </c>
    </row>
    <row r="2664" spans="1:27" ht="18">
      <c r="A2664" s="2714"/>
      <c r="B2664" s="371">
        <v>102</v>
      </c>
      <c r="C2664" s="371"/>
      <c r="D2664" s="2716">
        <f t="shared" si="286"/>
        <v>1</v>
      </c>
      <c r="E2664" s="2721" t="s">
        <v>6564</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86"/>
        <v>1</v>
      </c>
      <c r="E2665" s="2721" t="s">
        <v>486</v>
      </c>
      <c r="F2665" s="294"/>
      <c r="G2665" s="1506" t="str">
        <f>G$2654&amp;" "</f>
        <v xml:space="preserve">房屋及建筑物 </v>
      </c>
      <c r="H2665" s="309"/>
      <c r="I2665" s="1465">
        <v>0</v>
      </c>
      <c r="J2665" s="1465">
        <v>0</v>
      </c>
      <c r="K2665" s="1465">
        <v>0</v>
      </c>
      <c r="L2665" s="309"/>
      <c r="M2665" s="309"/>
      <c r="N2665" s="320"/>
      <c r="O2665" s="309"/>
      <c r="P2665" s="1477">
        <f t="shared" ref="P2665:P2673" si="289">SUM(H2665:M2665,-N2665,-O2665)</f>
        <v>0</v>
      </c>
      <c r="Q2665" s="442"/>
      <c r="R2665" s="443"/>
      <c r="S2665" s="364"/>
      <c r="Z2665" s="609" t="s">
        <v>1107</v>
      </c>
      <c r="AA2665" s="609" t="s">
        <v>3598</v>
      </c>
    </row>
    <row r="2666" spans="1:27" ht="18">
      <c r="A2666" s="2714"/>
      <c r="B2666" s="371">
        <v>102.002</v>
      </c>
      <c r="C2666" s="371"/>
      <c r="D2666" s="2716">
        <f t="shared" si="286"/>
        <v>1</v>
      </c>
      <c r="E2666" s="2721" t="s">
        <v>486</v>
      </c>
      <c r="F2666" s="294"/>
      <c r="G2666" s="1506" t="str">
        <f>G$2655&amp;" "</f>
        <v xml:space="preserve">机器设备 </v>
      </c>
      <c r="H2666" s="309"/>
      <c r="I2666" s="1465">
        <v>0</v>
      </c>
      <c r="J2666" s="1465">
        <v>0</v>
      </c>
      <c r="K2666" s="1465">
        <v>0</v>
      </c>
      <c r="L2666" s="309"/>
      <c r="M2666" s="309"/>
      <c r="N2666" s="320"/>
      <c r="O2666" s="309"/>
      <c r="P2666" s="1477">
        <f t="shared" si="289"/>
        <v>0</v>
      </c>
      <c r="Q2666" s="442"/>
      <c r="R2666" s="443"/>
      <c r="S2666" s="364"/>
      <c r="Z2666" s="609" t="s">
        <v>1107</v>
      </c>
      <c r="AA2666" s="609" t="s">
        <v>3598</v>
      </c>
    </row>
    <row r="2667" spans="1:27" ht="18">
      <c r="A2667" s="2714"/>
      <c r="B2667" s="371">
        <v>102.003</v>
      </c>
      <c r="C2667" s="371"/>
      <c r="D2667" s="2716">
        <f t="shared" si="286"/>
        <v>1</v>
      </c>
      <c r="E2667" s="2721" t="s">
        <v>486</v>
      </c>
      <c r="F2667" s="294"/>
      <c r="G2667" s="1506" t="str">
        <f>G$2656&amp;" "</f>
        <v xml:space="preserve">运输工具 </v>
      </c>
      <c r="H2667" s="309"/>
      <c r="I2667" s="1465">
        <v>0</v>
      </c>
      <c r="J2667" s="1465">
        <v>0</v>
      </c>
      <c r="K2667" s="1465">
        <v>0</v>
      </c>
      <c r="L2667" s="309"/>
      <c r="M2667" s="309"/>
      <c r="N2667" s="320"/>
      <c r="O2667" s="309"/>
      <c r="P2667" s="1477">
        <f t="shared" si="289"/>
        <v>0</v>
      </c>
      <c r="Q2667" s="442"/>
      <c r="R2667" s="443"/>
      <c r="S2667" s="364"/>
      <c r="Z2667" s="609" t="s">
        <v>1107</v>
      </c>
      <c r="AA2667" s="609" t="s">
        <v>3598</v>
      </c>
    </row>
    <row r="2668" spans="1:27" ht="18">
      <c r="A2668" s="2714"/>
      <c r="B2668" s="371">
        <v>102.004</v>
      </c>
      <c r="C2668" s="371" t="s">
        <v>2791</v>
      </c>
      <c r="D2668" s="2716">
        <f t="shared" si="286"/>
        <v>1</v>
      </c>
      <c r="E2668" s="2721" t="s">
        <v>486</v>
      </c>
      <c r="F2668" s="294"/>
      <c r="G2668" s="1506" t="str">
        <f>G$2657&amp;" "</f>
        <v xml:space="preserve">电子设备及其他 </v>
      </c>
      <c r="H2668" s="309">
        <v>5709.33</v>
      </c>
      <c r="I2668" s="1465">
        <v>0</v>
      </c>
      <c r="J2668" s="1465">
        <v>0</v>
      </c>
      <c r="K2668" s="1465">
        <v>0</v>
      </c>
      <c r="L2668" s="309">
        <v>63520.08</v>
      </c>
      <c r="M2668" s="309"/>
      <c r="N2668" s="320"/>
      <c r="O2668" s="309">
        <v>69229.41</v>
      </c>
      <c r="P2668" s="1477">
        <f t="shared" si="289"/>
        <v>0</v>
      </c>
      <c r="Q2668" s="442"/>
      <c r="R2668" s="443"/>
      <c r="S2668" s="364"/>
      <c r="Z2668" s="609" t="s">
        <v>1107</v>
      </c>
      <c r="AA2668" s="609" t="s">
        <v>3598</v>
      </c>
    </row>
    <row r="2669" spans="1:27" ht="18">
      <c r="A2669" s="2714"/>
      <c r="B2669" s="371">
        <v>102.005</v>
      </c>
      <c r="C2669" s="371" t="s">
        <v>2791</v>
      </c>
      <c r="D2669" s="2716">
        <f t="shared" si="286"/>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89"/>
        <v>0</v>
      </c>
      <c r="Q2669" s="442"/>
      <c r="R2669" s="443"/>
      <c r="S2669" s="364"/>
      <c r="Z2669" s="609" t="s">
        <v>1107</v>
      </c>
      <c r="AA2669" s="609" t="s">
        <v>3598</v>
      </c>
    </row>
    <row r="2670" spans="1:27" ht="18">
      <c r="A2670" s="2714"/>
      <c r="B2670" s="371">
        <v>102.006</v>
      </c>
      <c r="C2670" s="371" t="s">
        <v>2791</v>
      </c>
      <c r="D2670" s="2716">
        <f t="shared" si="286"/>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89"/>
        <v>0</v>
      </c>
      <c r="Q2670" s="442"/>
      <c r="R2670" s="443"/>
      <c r="S2670" s="364"/>
      <c r="Z2670" s="609" t="s">
        <v>1107</v>
      </c>
      <c r="AA2670" s="609" t="s">
        <v>3598</v>
      </c>
    </row>
    <row r="2671" spans="1:27" ht="18">
      <c r="A2671" s="2714"/>
      <c r="B2671" s="371">
        <v>102.00700000000001</v>
      </c>
      <c r="C2671" s="371" t="s">
        <v>2791</v>
      </c>
      <c r="D2671" s="2716">
        <f t="shared" si="286"/>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89"/>
        <v>0</v>
      </c>
      <c r="Q2671" s="442"/>
      <c r="R2671" s="443"/>
      <c r="S2671" s="364"/>
      <c r="Z2671" s="609" t="s">
        <v>1107</v>
      </c>
      <c r="AA2671" s="609" t="s">
        <v>3598</v>
      </c>
    </row>
    <row r="2672" spans="1:27" ht="18">
      <c r="A2672" s="2714"/>
      <c r="B2672" s="371">
        <v>102.008</v>
      </c>
      <c r="C2672" s="371" t="s">
        <v>2791</v>
      </c>
      <c r="D2672" s="2716">
        <f t="shared" si="286"/>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89"/>
        <v>0</v>
      </c>
      <c r="Q2672" s="442"/>
      <c r="R2672" s="443"/>
      <c r="S2672" s="364"/>
      <c r="Z2672" s="609" t="s">
        <v>1107</v>
      </c>
      <c r="AA2672" s="609" t="s">
        <v>3598</v>
      </c>
    </row>
    <row r="2673" spans="1:29" ht="18">
      <c r="A2673" s="2714"/>
      <c r="B2673" s="371">
        <v>102.009</v>
      </c>
      <c r="C2673" s="371" t="s">
        <v>2791</v>
      </c>
      <c r="D2673" s="2716">
        <f t="shared" si="286"/>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89"/>
        <v>0</v>
      </c>
      <c r="Q2673" s="442"/>
      <c r="R2673" s="443"/>
      <c r="S2673" s="364"/>
      <c r="Z2673" s="609" t="s">
        <v>1107</v>
      </c>
      <c r="AA2673" s="609" t="s">
        <v>3598</v>
      </c>
    </row>
    <row r="2674" spans="1:29" ht="18">
      <c r="A2674" s="2714"/>
      <c r="B2674" s="371">
        <v>102.999</v>
      </c>
      <c r="C2674" s="371" t="s">
        <v>2793</v>
      </c>
      <c r="D2674" s="2716">
        <f t="shared" si="286"/>
        <v>1</v>
      </c>
      <c r="E2674" s="2721">
        <v>-1</v>
      </c>
      <c r="F2674" s="294"/>
      <c r="G2674" s="632" t="s">
        <v>5162</v>
      </c>
      <c r="H2674" s="1476">
        <f t="shared" ref="H2674:P2674" si="290">SUMIF($E$2652:$E$2695,$G2674,H$2652:H$2695)</f>
        <v>5709.33</v>
      </c>
      <c r="I2674" s="1483">
        <f t="shared" si="290"/>
        <v>0</v>
      </c>
      <c r="J2674" s="1483">
        <f t="shared" si="290"/>
        <v>0</v>
      </c>
      <c r="K2674" s="1483">
        <f t="shared" si="290"/>
        <v>0</v>
      </c>
      <c r="L2674" s="1476">
        <f t="shared" si="290"/>
        <v>63520.08</v>
      </c>
      <c r="M2674" s="1476">
        <f t="shared" si="290"/>
        <v>0</v>
      </c>
      <c r="N2674" s="1476">
        <f t="shared" si="290"/>
        <v>0</v>
      </c>
      <c r="O2674" s="1476">
        <f t="shared" si="290"/>
        <v>69229.41</v>
      </c>
      <c r="P2674" s="1477">
        <f t="shared" si="290"/>
        <v>0</v>
      </c>
      <c r="Q2674" s="442"/>
      <c r="R2674" s="443"/>
      <c r="S2674" s="364"/>
      <c r="Z2674" s="609" t="s">
        <v>1107</v>
      </c>
      <c r="AA2674" s="609" t="s">
        <v>3598</v>
      </c>
    </row>
    <row r="2675" spans="1:29" ht="18">
      <c r="A2675" s="2714"/>
      <c r="B2675" s="371">
        <v>103</v>
      </c>
      <c r="C2675" s="371"/>
      <c r="D2675" s="2716">
        <f t="shared" si="286"/>
        <v>1</v>
      </c>
      <c r="E2675" s="2721" t="s">
        <v>6565</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86"/>
        <v>1</v>
      </c>
      <c r="E2676" s="2721" t="s">
        <v>3097</v>
      </c>
      <c r="F2676" s="294"/>
      <c r="G2676" s="1506" t="str">
        <f>G$2654&amp;"  "</f>
        <v xml:space="preserve">房屋及建筑物  </v>
      </c>
      <c r="H2676" s="309"/>
      <c r="I2676" s="1465">
        <v>0</v>
      </c>
      <c r="J2676" s="1465">
        <v>0</v>
      </c>
      <c r="K2676" s="1465">
        <v>0</v>
      </c>
      <c r="L2676" s="309"/>
      <c r="M2676" s="309"/>
      <c r="N2676" s="320"/>
      <c r="O2676" s="309"/>
      <c r="P2676" s="1477">
        <f t="shared" ref="P2676:P2684" si="291">SUM(H2676:M2676,-N2676,-O2676)</f>
        <v>0</v>
      </c>
      <c r="Q2676" s="442"/>
      <c r="R2676" s="443"/>
      <c r="S2676" s="364"/>
      <c r="Z2676" s="609" t="s">
        <v>1107</v>
      </c>
      <c r="AA2676" s="609" t="s">
        <v>3598</v>
      </c>
    </row>
    <row r="2677" spans="1:29" ht="18">
      <c r="A2677" s="2714"/>
      <c r="B2677" s="371">
        <v>103.002</v>
      </c>
      <c r="C2677" s="371"/>
      <c r="D2677" s="2716">
        <f t="shared" si="286"/>
        <v>1</v>
      </c>
      <c r="E2677" s="2721" t="s">
        <v>3097</v>
      </c>
      <c r="F2677" s="294"/>
      <c r="G2677" s="1506" t="str">
        <f>G$2655&amp;"  "</f>
        <v xml:space="preserve">机器设备  </v>
      </c>
      <c r="H2677" s="309"/>
      <c r="I2677" s="1465">
        <v>0</v>
      </c>
      <c r="J2677" s="1465">
        <v>0</v>
      </c>
      <c r="K2677" s="1465">
        <v>0</v>
      </c>
      <c r="L2677" s="309"/>
      <c r="M2677" s="309"/>
      <c r="N2677" s="320"/>
      <c r="O2677" s="309"/>
      <c r="P2677" s="1477">
        <f t="shared" si="291"/>
        <v>0</v>
      </c>
      <c r="Q2677" s="442"/>
      <c r="R2677" s="443"/>
      <c r="S2677" s="364"/>
      <c r="Z2677" s="609" t="s">
        <v>1107</v>
      </c>
      <c r="AA2677" s="609" t="s">
        <v>3598</v>
      </c>
    </row>
    <row r="2678" spans="1:29" ht="18">
      <c r="A2678" s="2714"/>
      <c r="B2678" s="371">
        <v>103.003</v>
      </c>
      <c r="C2678" s="371"/>
      <c r="D2678" s="2716">
        <f t="shared" si="286"/>
        <v>1</v>
      </c>
      <c r="E2678" s="2721" t="s">
        <v>3097</v>
      </c>
      <c r="F2678" s="294"/>
      <c r="G2678" s="1506" t="str">
        <f>G$2656&amp;"  "</f>
        <v xml:space="preserve">运输工具  </v>
      </c>
      <c r="H2678" s="309"/>
      <c r="I2678" s="1465">
        <v>0</v>
      </c>
      <c r="J2678" s="1465">
        <v>0</v>
      </c>
      <c r="K2678" s="1465">
        <v>0</v>
      </c>
      <c r="L2678" s="309"/>
      <c r="M2678" s="309"/>
      <c r="N2678" s="320"/>
      <c r="O2678" s="309"/>
      <c r="P2678" s="1477">
        <f t="shared" si="291"/>
        <v>0</v>
      </c>
      <c r="Q2678" s="442"/>
      <c r="R2678" s="443"/>
      <c r="S2678" s="364"/>
      <c r="Z2678" s="609" t="s">
        <v>1107</v>
      </c>
      <c r="AA2678" s="609" t="s">
        <v>3598</v>
      </c>
    </row>
    <row r="2679" spans="1:29" ht="18">
      <c r="A2679" s="2714"/>
      <c r="B2679" s="371">
        <v>103.004</v>
      </c>
      <c r="C2679" s="371" t="s">
        <v>2791</v>
      </c>
      <c r="D2679" s="2716">
        <f t="shared" si="286"/>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1"/>
        <v>0</v>
      </c>
      <c r="Q2679" s="442"/>
      <c r="R2679" s="443"/>
      <c r="S2679" s="364"/>
      <c r="Z2679" s="609" t="s">
        <v>1107</v>
      </c>
      <c r="AA2679" s="609" t="s">
        <v>3598</v>
      </c>
    </row>
    <row r="2680" spans="1:29" ht="18">
      <c r="A2680" s="2714"/>
      <c r="B2680" s="371">
        <v>103.005</v>
      </c>
      <c r="C2680" s="371" t="s">
        <v>2791</v>
      </c>
      <c r="D2680" s="2716">
        <f t="shared" si="286"/>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1"/>
        <v>0</v>
      </c>
      <c r="Q2680" s="442"/>
      <c r="R2680" s="443"/>
      <c r="S2680" s="364"/>
      <c r="Z2680" s="609" t="s">
        <v>1107</v>
      </c>
      <c r="AA2680" s="609" t="s">
        <v>3598</v>
      </c>
    </row>
    <row r="2681" spans="1:29" ht="18">
      <c r="A2681" s="2714"/>
      <c r="B2681" s="371">
        <v>103.006</v>
      </c>
      <c r="C2681" s="371" t="s">
        <v>2791</v>
      </c>
      <c r="D2681" s="2716">
        <f t="shared" si="286"/>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1"/>
        <v>0</v>
      </c>
      <c r="Q2681" s="442"/>
      <c r="R2681" s="443"/>
      <c r="S2681" s="364"/>
      <c r="Z2681" s="609" t="s">
        <v>1107</v>
      </c>
      <c r="AA2681" s="609" t="s">
        <v>3598</v>
      </c>
    </row>
    <row r="2682" spans="1:29" ht="18">
      <c r="A2682" s="2714"/>
      <c r="B2682" s="371">
        <v>103.00700000000001</v>
      </c>
      <c r="C2682" s="371" t="s">
        <v>2791</v>
      </c>
      <c r="D2682" s="2716">
        <f t="shared" si="286"/>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1"/>
        <v>0</v>
      </c>
      <c r="Q2682" s="442"/>
      <c r="R2682" s="443"/>
      <c r="S2682" s="364"/>
      <c r="Z2682" s="609" t="s">
        <v>1107</v>
      </c>
      <c r="AA2682" s="609" t="s">
        <v>3598</v>
      </c>
    </row>
    <row r="2683" spans="1:29" ht="18">
      <c r="A2683" s="2714"/>
      <c r="B2683" s="371">
        <v>103.008</v>
      </c>
      <c r="C2683" s="371" t="s">
        <v>2791</v>
      </c>
      <c r="D2683" s="2716">
        <f t="shared" si="286"/>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1"/>
        <v>0</v>
      </c>
      <c r="Q2683" s="442"/>
      <c r="R2683" s="443"/>
      <c r="S2683" s="364"/>
      <c r="Z2683" s="609" t="s">
        <v>1107</v>
      </c>
      <c r="AA2683" s="609" t="s">
        <v>3598</v>
      </c>
    </row>
    <row r="2684" spans="1:29" ht="18">
      <c r="A2684" s="2714"/>
      <c r="B2684" s="371">
        <v>103.009</v>
      </c>
      <c r="C2684" s="371" t="s">
        <v>2791</v>
      </c>
      <c r="D2684" s="2716">
        <f t="shared" si="286"/>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1"/>
        <v>0</v>
      </c>
      <c r="Q2684" s="442"/>
      <c r="R2684" s="443"/>
      <c r="S2684" s="364"/>
      <c r="Z2684" s="609" t="s">
        <v>1107</v>
      </c>
      <c r="AA2684" s="609" t="s">
        <v>3598</v>
      </c>
    </row>
    <row r="2685" spans="1:29" ht="18">
      <c r="A2685" s="2714"/>
      <c r="B2685" s="371">
        <v>103.999</v>
      </c>
      <c r="C2685" s="371" t="s">
        <v>2793</v>
      </c>
      <c r="D2685" s="2716">
        <f t="shared" si="286"/>
        <v>1</v>
      </c>
      <c r="E2685" s="2721">
        <v>-1</v>
      </c>
      <c r="F2685" s="294"/>
      <c r="G2685" s="632" t="s">
        <v>5145</v>
      </c>
      <c r="H2685" s="1476">
        <f t="shared" ref="H2685:P2685" si="292">SUMIF($E$2652:$E$2695,$G2685,H$2652:H$2695)</f>
        <v>0</v>
      </c>
      <c r="I2685" s="1483">
        <f t="shared" si="292"/>
        <v>0</v>
      </c>
      <c r="J2685" s="1483">
        <f t="shared" si="292"/>
        <v>0</v>
      </c>
      <c r="K2685" s="1483">
        <f t="shared" si="292"/>
        <v>0</v>
      </c>
      <c r="L2685" s="1476">
        <f t="shared" si="292"/>
        <v>0</v>
      </c>
      <c r="M2685" s="1476">
        <f t="shared" si="292"/>
        <v>0</v>
      </c>
      <c r="N2685" s="1476">
        <f t="shared" si="292"/>
        <v>0</v>
      </c>
      <c r="O2685" s="1476">
        <f t="shared" si="292"/>
        <v>0</v>
      </c>
      <c r="P2685" s="1477">
        <f t="shared" si="292"/>
        <v>0</v>
      </c>
      <c r="Q2685" s="1597" t="str">
        <f ca="1">HYPERLINK("#'"&amp;$G$1&amp;"'!"&amp;ADDRESS(ROW(Notes!L4885),COLUMN(Notes!L4885),4),"*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86"/>
        <v>1</v>
      </c>
      <c r="E2686" s="2721" t="s">
        <v>6565</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86"/>
        <v>1</v>
      </c>
      <c r="E2687" s="2721">
        <v>0</v>
      </c>
      <c r="F2687" s="294"/>
      <c r="G2687" s="1506" t="str">
        <f>G$2654&amp;"   "</f>
        <v xml:space="preserve">房屋及建筑物   </v>
      </c>
      <c r="H2687" s="1476">
        <f>H2654-H2665-H2676</f>
        <v>0</v>
      </c>
      <c r="I2687" s="1465">
        <v>0</v>
      </c>
      <c r="J2687" s="1465">
        <v>0</v>
      </c>
      <c r="K2687" s="1465">
        <v>0</v>
      </c>
      <c r="L2687" s="1465">
        <v>0</v>
      </c>
      <c r="M2687" s="1465">
        <v>0</v>
      </c>
      <c r="N2687" s="1465">
        <v>0</v>
      </c>
      <c r="O2687" s="1465">
        <v>0</v>
      </c>
      <c r="P2687" s="1477">
        <f>P2654-P2665-P2676</f>
        <v>0</v>
      </c>
      <c r="Q2687" s="442"/>
      <c r="R2687" s="443"/>
      <c r="S2687" s="364"/>
      <c r="Z2687" s="609" t="s">
        <v>1107</v>
      </c>
      <c r="AA2687" s="609" t="s">
        <v>3598</v>
      </c>
    </row>
    <row r="2688" spans="1:29" ht="18">
      <c r="A2688" s="2714"/>
      <c r="B2688" s="371">
        <v>106</v>
      </c>
      <c r="C2688" s="371"/>
      <c r="D2688" s="2716">
        <f t="shared" si="286"/>
        <v>1</v>
      </c>
      <c r="E2688" s="2721">
        <v>0</v>
      </c>
      <c r="F2688" s="294"/>
      <c r="G2688" s="1506" t="str">
        <f>G$2655&amp;"   "</f>
        <v xml:space="preserve">机器设备   </v>
      </c>
      <c r="H2688" s="1476">
        <f t="shared" ref="H2688:H2695" si="293">H2655-H2666-H2677</f>
        <v>0</v>
      </c>
      <c r="I2688" s="1465">
        <v>0</v>
      </c>
      <c r="J2688" s="1465">
        <v>0</v>
      </c>
      <c r="K2688" s="1465">
        <v>0</v>
      </c>
      <c r="L2688" s="1465">
        <v>0</v>
      </c>
      <c r="M2688" s="1465">
        <v>0</v>
      </c>
      <c r="N2688" s="1465">
        <v>0</v>
      </c>
      <c r="O2688" s="1465">
        <v>0</v>
      </c>
      <c r="P2688" s="1477">
        <f t="shared" ref="P2688:P2695" si="294">P2655-P2666-P2677</f>
        <v>0</v>
      </c>
      <c r="Q2688" s="442"/>
      <c r="R2688" s="443"/>
      <c r="S2688" s="364"/>
      <c r="Z2688" s="609" t="s">
        <v>1107</v>
      </c>
      <c r="AA2688" s="609" t="s">
        <v>3598</v>
      </c>
    </row>
    <row r="2689" spans="1:29" ht="18">
      <c r="A2689" s="2714"/>
      <c r="B2689" s="371">
        <v>107</v>
      </c>
      <c r="C2689" s="371"/>
      <c r="D2689" s="2716">
        <f t="shared" si="286"/>
        <v>1</v>
      </c>
      <c r="E2689" s="2721">
        <v>0</v>
      </c>
      <c r="F2689" s="294"/>
      <c r="G2689" s="1506" t="str">
        <f>G$2656&amp;"   "</f>
        <v xml:space="preserve">运输工具   </v>
      </c>
      <c r="H2689" s="1476">
        <f t="shared" si="293"/>
        <v>0</v>
      </c>
      <c r="I2689" s="1465">
        <v>0</v>
      </c>
      <c r="J2689" s="1465">
        <v>0</v>
      </c>
      <c r="K2689" s="1465">
        <v>0</v>
      </c>
      <c r="L2689" s="1465">
        <v>0</v>
      </c>
      <c r="M2689" s="1465">
        <v>0</v>
      </c>
      <c r="N2689" s="1465">
        <v>0</v>
      </c>
      <c r="O2689" s="1465">
        <v>0</v>
      </c>
      <c r="P2689" s="1477">
        <f t="shared" si="294"/>
        <v>0</v>
      </c>
      <c r="Q2689" s="442"/>
      <c r="R2689" s="443"/>
      <c r="S2689" s="364"/>
      <c r="Z2689" s="609" t="s">
        <v>1107</v>
      </c>
      <c r="AA2689" s="609" t="s">
        <v>3598</v>
      </c>
    </row>
    <row r="2690" spans="1:29" ht="18">
      <c r="A2690" s="2714"/>
      <c r="B2690" s="371">
        <v>108</v>
      </c>
      <c r="C2690" s="371" t="s">
        <v>2791</v>
      </c>
      <c r="D2690" s="2716">
        <f t="shared" si="286"/>
        <v>1</v>
      </c>
      <c r="E2690" s="2721">
        <v>0</v>
      </c>
      <c r="F2690" s="294"/>
      <c r="G2690" s="1506" t="str">
        <f>G$2657&amp;"   "</f>
        <v xml:space="preserve">电子设备及其他   </v>
      </c>
      <c r="H2690" s="1476">
        <f t="shared" si="293"/>
        <v>221616.66</v>
      </c>
      <c r="I2690" s="1465">
        <v>0</v>
      </c>
      <c r="J2690" s="1465">
        <v>0</v>
      </c>
      <c r="K2690" s="1465">
        <v>0</v>
      </c>
      <c r="L2690" s="1465">
        <v>0</v>
      </c>
      <c r="M2690" s="1465">
        <v>0</v>
      </c>
      <c r="N2690" s="1465">
        <v>0</v>
      </c>
      <c r="O2690" s="1465">
        <v>0</v>
      </c>
      <c r="P2690" s="1477">
        <f t="shared" si="294"/>
        <v>0</v>
      </c>
      <c r="Q2690" s="442"/>
      <c r="R2690" s="443"/>
      <c r="S2690" s="364"/>
      <c r="Z2690" s="609" t="s">
        <v>1107</v>
      </c>
      <c r="AA2690" s="609" t="s">
        <v>3598</v>
      </c>
    </row>
    <row r="2691" spans="1:29" ht="18">
      <c r="A2691" s="2714"/>
      <c r="B2691" s="371">
        <v>109</v>
      </c>
      <c r="C2691" s="371" t="s">
        <v>2791</v>
      </c>
      <c r="D2691" s="2716">
        <f t="shared" si="286"/>
        <v>1</v>
      </c>
      <c r="E2691" s="2721">
        <v>0</v>
      </c>
      <c r="F2691" s="294"/>
      <c r="G2691" s="1506" t="str">
        <f>G$2658&amp;"   "</f>
        <v xml:space="preserve">*5（在原值处修改或清除）   </v>
      </c>
      <c r="H2691" s="1476">
        <f t="shared" si="293"/>
        <v>0</v>
      </c>
      <c r="I2691" s="1465">
        <v>0</v>
      </c>
      <c r="J2691" s="1465">
        <v>0</v>
      </c>
      <c r="K2691" s="1465">
        <v>0</v>
      </c>
      <c r="L2691" s="1465">
        <v>0</v>
      </c>
      <c r="M2691" s="1465">
        <v>0</v>
      </c>
      <c r="N2691" s="1465">
        <v>0</v>
      </c>
      <c r="O2691" s="1465">
        <v>0</v>
      </c>
      <c r="P2691" s="1477">
        <f t="shared" si="294"/>
        <v>0</v>
      </c>
      <c r="Q2691" s="442"/>
      <c r="R2691" s="443"/>
      <c r="S2691" s="364"/>
      <c r="Z2691" s="609" t="s">
        <v>1107</v>
      </c>
      <c r="AA2691" s="609" t="s">
        <v>3598</v>
      </c>
    </row>
    <row r="2692" spans="1:29" ht="18">
      <c r="A2692" s="2714"/>
      <c r="B2692" s="371">
        <v>110</v>
      </c>
      <c r="C2692" s="371" t="s">
        <v>2791</v>
      </c>
      <c r="D2692" s="2716">
        <f t="shared" si="286"/>
        <v>1</v>
      </c>
      <c r="E2692" s="2721">
        <v>0</v>
      </c>
      <c r="F2692" s="294"/>
      <c r="G2692" s="1506" t="str">
        <f>G$2659&amp;"   "</f>
        <v xml:space="preserve">*6（在原值处修改或清除）   </v>
      </c>
      <c r="H2692" s="1476">
        <f t="shared" si="293"/>
        <v>0</v>
      </c>
      <c r="I2692" s="1465">
        <v>0</v>
      </c>
      <c r="J2692" s="1465">
        <v>0</v>
      </c>
      <c r="K2692" s="1465">
        <v>0</v>
      </c>
      <c r="L2692" s="1465">
        <v>0</v>
      </c>
      <c r="M2692" s="1465">
        <v>0</v>
      </c>
      <c r="N2692" s="1465">
        <v>0</v>
      </c>
      <c r="O2692" s="1465">
        <v>0</v>
      </c>
      <c r="P2692" s="1477">
        <f t="shared" si="294"/>
        <v>0</v>
      </c>
      <c r="Q2692" s="442"/>
      <c r="R2692" s="443"/>
      <c r="S2692" s="364"/>
      <c r="Z2692" s="609" t="s">
        <v>1107</v>
      </c>
      <c r="AA2692" s="609" t="s">
        <v>3598</v>
      </c>
    </row>
    <row r="2693" spans="1:29" ht="18">
      <c r="A2693" s="2714"/>
      <c r="B2693" s="371">
        <v>111</v>
      </c>
      <c r="C2693" s="371" t="s">
        <v>2791</v>
      </c>
      <c r="D2693" s="2716">
        <f t="shared" si="286"/>
        <v>1</v>
      </c>
      <c r="E2693" s="2721">
        <v>0</v>
      </c>
      <c r="F2693" s="294"/>
      <c r="G2693" s="1506" t="str">
        <f>G$2660&amp;"   "</f>
        <v xml:space="preserve">*7（在原值处修改或清除）   </v>
      </c>
      <c r="H2693" s="1476">
        <f t="shared" si="293"/>
        <v>0</v>
      </c>
      <c r="I2693" s="1465">
        <v>0</v>
      </c>
      <c r="J2693" s="1465">
        <v>0</v>
      </c>
      <c r="K2693" s="1465">
        <v>0</v>
      </c>
      <c r="L2693" s="1465">
        <v>0</v>
      </c>
      <c r="M2693" s="1465">
        <v>0</v>
      </c>
      <c r="N2693" s="1465">
        <v>0</v>
      </c>
      <c r="O2693" s="1465">
        <v>0</v>
      </c>
      <c r="P2693" s="1477">
        <f t="shared" si="294"/>
        <v>0</v>
      </c>
      <c r="Q2693" s="442"/>
      <c r="R2693" s="443"/>
      <c r="S2693" s="364"/>
      <c r="Z2693" s="609" t="s">
        <v>1107</v>
      </c>
      <c r="AA2693" s="609" t="s">
        <v>3598</v>
      </c>
    </row>
    <row r="2694" spans="1:29" ht="18">
      <c r="A2694" s="2714"/>
      <c r="B2694" s="371">
        <v>112</v>
      </c>
      <c r="C2694" s="371" t="s">
        <v>2791</v>
      </c>
      <c r="D2694" s="2716">
        <f t="shared" si="286"/>
        <v>1</v>
      </c>
      <c r="E2694" s="2721">
        <v>0</v>
      </c>
      <c r="F2694" s="294"/>
      <c r="G2694" s="1506" t="str">
        <f>G$2661&amp;"   "</f>
        <v xml:space="preserve">*8（在原值处修改或清除）   </v>
      </c>
      <c r="H2694" s="1476">
        <f t="shared" si="293"/>
        <v>0</v>
      </c>
      <c r="I2694" s="1465">
        <v>0</v>
      </c>
      <c r="J2694" s="1465">
        <v>0</v>
      </c>
      <c r="K2694" s="1465">
        <v>0</v>
      </c>
      <c r="L2694" s="1465">
        <v>0</v>
      </c>
      <c r="M2694" s="1465">
        <v>0</v>
      </c>
      <c r="N2694" s="1465">
        <v>0</v>
      </c>
      <c r="O2694" s="1465">
        <v>0</v>
      </c>
      <c r="P2694" s="1477">
        <f t="shared" si="294"/>
        <v>0</v>
      </c>
      <c r="Q2694" s="442"/>
      <c r="R2694" s="443"/>
      <c r="S2694" s="364"/>
      <c r="Z2694" s="609" t="s">
        <v>1107</v>
      </c>
      <c r="AA2694" s="609" t="s">
        <v>3598</v>
      </c>
    </row>
    <row r="2695" spans="1:29" ht="18">
      <c r="A2695" s="2714"/>
      <c r="B2695" s="371">
        <v>113</v>
      </c>
      <c r="C2695" s="371" t="s">
        <v>2791</v>
      </c>
      <c r="D2695" s="2716">
        <f t="shared" si="286"/>
        <v>1</v>
      </c>
      <c r="E2695" s="2721">
        <v>0</v>
      </c>
      <c r="F2695" s="294"/>
      <c r="G2695" s="1506" t="str">
        <f>G$2662&amp;"   "</f>
        <v xml:space="preserve">*9（在原值处修改或清除）   </v>
      </c>
      <c r="H2695" s="1476">
        <f t="shared" si="293"/>
        <v>0</v>
      </c>
      <c r="I2695" s="1465">
        <v>0</v>
      </c>
      <c r="J2695" s="1465">
        <v>0</v>
      </c>
      <c r="K2695" s="1465">
        <v>0</v>
      </c>
      <c r="L2695" s="1465">
        <v>0</v>
      </c>
      <c r="M2695" s="1465">
        <v>0</v>
      </c>
      <c r="N2695" s="1465">
        <v>0</v>
      </c>
      <c r="O2695" s="1465">
        <v>0</v>
      </c>
      <c r="P2695" s="1477">
        <f t="shared" si="294"/>
        <v>0</v>
      </c>
      <c r="Q2695" s="442"/>
      <c r="R2695" s="443"/>
      <c r="S2695" s="364"/>
      <c r="Z2695" s="609" t="s">
        <v>1107</v>
      </c>
      <c r="AA2695" s="609" t="s">
        <v>3598</v>
      </c>
    </row>
    <row r="2696" spans="1:29" ht="18.75" thickBot="1">
      <c r="A2696" s="2714"/>
      <c r="B2696" s="371"/>
      <c r="C2696" s="371"/>
      <c r="D2696" s="2716">
        <f t="shared" si="286"/>
        <v>1</v>
      </c>
      <c r="E2696" s="2721" t="s">
        <v>2751</v>
      </c>
      <c r="F2696" s="293"/>
      <c r="G2696" s="2345" t="s">
        <v>2863</v>
      </c>
      <c r="H2696" s="1478">
        <f t="shared" ref="H2696:P2696" si="295">SUMPRODUCT($E2652:$E2695,H2652:H2695)</f>
        <v>221616.66</v>
      </c>
      <c r="I2696" s="1478">
        <f t="shared" si="295"/>
        <v>94766.7</v>
      </c>
      <c r="J2696" s="1478">
        <f t="shared" si="295"/>
        <v>0</v>
      </c>
      <c r="K2696" s="1478">
        <f t="shared" si="295"/>
        <v>0</v>
      </c>
      <c r="L2696" s="1478">
        <f t="shared" si="295"/>
        <v>-63520.08</v>
      </c>
      <c r="M2696" s="1478">
        <f t="shared" si="295"/>
        <v>0</v>
      </c>
      <c r="N2696" s="1478">
        <f t="shared" si="295"/>
        <v>0</v>
      </c>
      <c r="O2696" s="1478">
        <f t="shared" si="295"/>
        <v>252863.28</v>
      </c>
      <c r="P2696" s="1479">
        <f t="shared" si="295"/>
        <v>0</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6574</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221616.66</v>
      </c>
      <c r="I2699" s="351"/>
      <c r="J2699" s="351"/>
      <c r="K2699" s="351"/>
      <c r="L2699" s="351"/>
      <c r="M2699" s="351"/>
      <c r="N2699" s="1543"/>
      <c r="O2699" s="1543"/>
      <c r="P2699" s="1544">
        <f>SUM(P2687:P2695)</f>
        <v>0</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221616.66</v>
      </c>
      <c r="I2700" s="351"/>
      <c r="J2700" s="351"/>
      <c r="K2700" s="351"/>
      <c r="L2700" s="351"/>
      <c r="M2700" s="351"/>
      <c r="N2700" s="1543"/>
      <c r="O2700" s="1543"/>
      <c r="P2700" s="1544">
        <f>P2696</f>
        <v>0</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71"/>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296">IF(OR(G2708="*",G2708="",G2708=0),0,COUNTIF($G$2708:$G$2717,G2708))</f>
        <v>0</v>
      </c>
      <c r="E2708" s="2721">
        <v>1</v>
      </c>
      <c r="F2708" s="294"/>
      <c r="G2708" s="2284" t="s">
        <v>5146</v>
      </c>
      <c r="H2708" s="2275"/>
      <c r="I2708" s="2275"/>
      <c r="J2708" s="2275"/>
      <c r="K2708" s="1476">
        <f t="shared" ref="K2708:K2716" si="297">H2708-I2708-J2708</f>
        <v>0</v>
      </c>
      <c r="L2708" s="2276"/>
      <c r="M2708" s="291"/>
      <c r="N2708" s="291"/>
      <c r="O2708" s="291"/>
      <c r="P2708" s="291"/>
      <c r="S2708" s="364"/>
      <c r="Z2708" s="609" t="s">
        <v>1107</v>
      </c>
      <c r="AA2708" s="609" t="s">
        <v>3598</v>
      </c>
    </row>
    <row r="2709" spans="1:27" ht="18">
      <c r="A2709" s="2714"/>
      <c r="B2709" s="371">
        <v>102</v>
      </c>
      <c r="C2709" s="371" t="s">
        <v>2791</v>
      </c>
      <c r="D2709" s="2716">
        <f t="shared" si="296"/>
        <v>0</v>
      </c>
      <c r="E2709" s="2721">
        <v>1</v>
      </c>
      <c r="F2709" s="294"/>
      <c r="G2709" s="2284" t="s">
        <v>5146</v>
      </c>
      <c r="H2709" s="2275"/>
      <c r="I2709" s="2275"/>
      <c r="J2709" s="2275"/>
      <c r="K2709" s="1476">
        <f t="shared" si="297"/>
        <v>0</v>
      </c>
      <c r="L2709" s="2276"/>
      <c r="M2709" s="291"/>
      <c r="N2709" s="291"/>
      <c r="O2709" s="291"/>
      <c r="P2709" s="291"/>
      <c r="S2709" s="364"/>
      <c r="Z2709" s="609" t="s">
        <v>1107</v>
      </c>
      <c r="AA2709" s="609" t="s">
        <v>3598</v>
      </c>
    </row>
    <row r="2710" spans="1:27" ht="18">
      <c r="A2710" s="2714"/>
      <c r="B2710" s="371">
        <v>103</v>
      </c>
      <c r="C2710" s="371" t="s">
        <v>2791</v>
      </c>
      <c r="D2710" s="2716">
        <f t="shared" si="296"/>
        <v>0</v>
      </c>
      <c r="E2710" s="2721">
        <v>1</v>
      </c>
      <c r="F2710" s="294"/>
      <c r="G2710" s="2284" t="s">
        <v>5146</v>
      </c>
      <c r="H2710" s="2275"/>
      <c r="I2710" s="2275"/>
      <c r="J2710" s="2275"/>
      <c r="K2710" s="1476">
        <f t="shared" si="297"/>
        <v>0</v>
      </c>
      <c r="L2710" s="2276"/>
      <c r="M2710" s="291"/>
      <c r="N2710" s="291"/>
      <c r="O2710" s="291"/>
      <c r="P2710" s="291"/>
      <c r="S2710" s="364"/>
      <c r="Z2710" s="609" t="s">
        <v>1107</v>
      </c>
      <c r="AA2710" s="609" t="s">
        <v>3598</v>
      </c>
    </row>
    <row r="2711" spans="1:27" ht="18">
      <c r="A2711" s="2714"/>
      <c r="B2711" s="371">
        <v>104</v>
      </c>
      <c r="C2711" s="371" t="s">
        <v>2791</v>
      </c>
      <c r="D2711" s="2716">
        <f t="shared" si="296"/>
        <v>0</v>
      </c>
      <c r="E2711" s="2721">
        <v>1</v>
      </c>
      <c r="F2711" s="294"/>
      <c r="G2711" s="2284" t="s">
        <v>5146</v>
      </c>
      <c r="H2711" s="2275"/>
      <c r="I2711" s="2275"/>
      <c r="J2711" s="2275"/>
      <c r="K2711" s="1476">
        <f t="shared" si="297"/>
        <v>0</v>
      </c>
      <c r="L2711" s="2276"/>
      <c r="M2711" s="291"/>
      <c r="N2711" s="291"/>
      <c r="O2711" s="291"/>
      <c r="P2711" s="291"/>
      <c r="S2711" s="364"/>
      <c r="Z2711" s="609" t="s">
        <v>1107</v>
      </c>
      <c r="AA2711" s="609" t="s">
        <v>3598</v>
      </c>
    </row>
    <row r="2712" spans="1:27" ht="18">
      <c r="A2712" s="2714"/>
      <c r="B2712" s="371">
        <v>105</v>
      </c>
      <c r="C2712" s="371" t="s">
        <v>2791</v>
      </c>
      <c r="D2712" s="2716">
        <f t="shared" si="296"/>
        <v>0</v>
      </c>
      <c r="E2712" s="2721">
        <v>1</v>
      </c>
      <c r="F2712" s="294"/>
      <c r="G2712" s="2284" t="s">
        <v>5146</v>
      </c>
      <c r="H2712" s="2275"/>
      <c r="I2712" s="2275"/>
      <c r="J2712" s="2275"/>
      <c r="K2712" s="1476">
        <f t="shared" si="297"/>
        <v>0</v>
      </c>
      <c r="L2712" s="2276"/>
      <c r="M2712" s="291"/>
      <c r="N2712" s="291"/>
      <c r="O2712" s="291"/>
      <c r="P2712" s="291"/>
      <c r="S2712" s="364"/>
      <c r="Z2712" s="609" t="s">
        <v>1107</v>
      </c>
      <c r="AA2712" s="609" t="s">
        <v>3598</v>
      </c>
    </row>
    <row r="2713" spans="1:27" ht="18">
      <c r="A2713" s="2714"/>
      <c r="B2713" s="371">
        <v>106</v>
      </c>
      <c r="C2713" s="371" t="s">
        <v>2791</v>
      </c>
      <c r="D2713" s="2716">
        <f t="shared" si="296"/>
        <v>0</v>
      </c>
      <c r="E2713" s="2721">
        <v>1</v>
      </c>
      <c r="F2713" s="294"/>
      <c r="G2713" s="2284" t="s">
        <v>5146</v>
      </c>
      <c r="H2713" s="2275"/>
      <c r="I2713" s="2275"/>
      <c r="J2713" s="2275"/>
      <c r="K2713" s="1476">
        <f t="shared" si="297"/>
        <v>0</v>
      </c>
      <c r="L2713" s="2276"/>
      <c r="M2713" s="291"/>
      <c r="N2713" s="291"/>
      <c r="O2713" s="291"/>
      <c r="P2713" s="291"/>
      <c r="S2713" s="364"/>
      <c r="Z2713" s="609" t="s">
        <v>1107</v>
      </c>
      <c r="AA2713" s="609" t="s">
        <v>3598</v>
      </c>
    </row>
    <row r="2714" spans="1:27" ht="18">
      <c r="A2714" s="2714"/>
      <c r="B2714" s="371">
        <v>107</v>
      </c>
      <c r="C2714" s="371" t="s">
        <v>2791</v>
      </c>
      <c r="D2714" s="2716">
        <f t="shared" si="296"/>
        <v>0</v>
      </c>
      <c r="E2714" s="2721">
        <v>1</v>
      </c>
      <c r="F2714" s="294"/>
      <c r="G2714" s="2284" t="s">
        <v>5146</v>
      </c>
      <c r="H2714" s="2275"/>
      <c r="I2714" s="2275"/>
      <c r="J2714" s="2275"/>
      <c r="K2714" s="1476">
        <f t="shared" si="297"/>
        <v>0</v>
      </c>
      <c r="L2714" s="2276"/>
      <c r="M2714" s="291"/>
      <c r="N2714" s="291"/>
      <c r="O2714" s="291"/>
      <c r="P2714" s="291"/>
      <c r="S2714" s="364"/>
      <c r="Z2714" s="609" t="s">
        <v>1107</v>
      </c>
      <c r="AA2714" s="609" t="s">
        <v>3598</v>
      </c>
    </row>
    <row r="2715" spans="1:27" ht="18">
      <c r="A2715" s="2714"/>
      <c r="B2715" s="371">
        <v>108</v>
      </c>
      <c r="C2715" s="371" t="s">
        <v>2791</v>
      </c>
      <c r="D2715" s="2716">
        <f t="shared" si="296"/>
        <v>0</v>
      </c>
      <c r="E2715" s="2721">
        <v>1</v>
      </c>
      <c r="F2715" s="294"/>
      <c r="G2715" s="2284" t="s">
        <v>5146</v>
      </c>
      <c r="H2715" s="2275"/>
      <c r="I2715" s="2275"/>
      <c r="J2715" s="2275"/>
      <c r="K2715" s="1476">
        <f t="shared" si="297"/>
        <v>0</v>
      </c>
      <c r="L2715" s="2276"/>
      <c r="M2715" s="291"/>
      <c r="N2715" s="291"/>
      <c r="O2715" s="291"/>
      <c r="P2715" s="291"/>
      <c r="S2715" s="364"/>
      <c r="Z2715" s="609" t="s">
        <v>1107</v>
      </c>
      <c r="AA2715" s="609" t="s">
        <v>3598</v>
      </c>
    </row>
    <row r="2716" spans="1:27" ht="18">
      <c r="A2716" s="2714"/>
      <c r="B2716" s="371">
        <v>109</v>
      </c>
      <c r="C2716" s="371" t="s">
        <v>2791</v>
      </c>
      <c r="D2716" s="2716">
        <f t="shared" si="296"/>
        <v>0</v>
      </c>
      <c r="E2716" s="2721">
        <v>1</v>
      </c>
      <c r="F2716" s="294"/>
      <c r="G2716" s="2284" t="s">
        <v>5146</v>
      </c>
      <c r="H2716" s="2275"/>
      <c r="I2716" s="2275"/>
      <c r="J2716" s="2275"/>
      <c r="K2716" s="1476">
        <f t="shared" si="297"/>
        <v>0</v>
      </c>
      <c r="L2716" s="2276"/>
      <c r="M2716" s="291"/>
      <c r="N2716" s="291"/>
      <c r="O2716" s="291"/>
      <c r="P2716" s="291"/>
      <c r="S2716" s="364"/>
      <c r="Z2716" s="609" t="s">
        <v>1107</v>
      </c>
      <c r="AA2716" s="609" t="s">
        <v>3598</v>
      </c>
    </row>
    <row r="2717" spans="1:27" ht="18.75" thickBot="1">
      <c r="A2717" s="2714"/>
      <c r="B2717" s="371"/>
      <c r="C2717" s="371"/>
      <c r="D2717" s="2716">
        <f t="shared" si="296"/>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71"/>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298">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298"/>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298"/>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298"/>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298"/>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298"/>
        <v>0</v>
      </c>
      <c r="E2727" s="2721">
        <v>1</v>
      </c>
      <c r="F2727" s="294"/>
      <c r="G2727" s="2284" t="s">
        <v>5146</v>
      </c>
      <c r="H2727" s="2275"/>
      <c r="I2727" s="2275"/>
      <c r="J2727" s="2275"/>
      <c r="K2727" s="1477">
        <f t="shared" ref="K2727:K2730" si="299">H2727-I2727-J2727</f>
        <v>0</v>
      </c>
      <c r="L2727" s="291"/>
      <c r="M2727" s="291"/>
      <c r="N2727" s="291"/>
      <c r="O2727" s="291"/>
      <c r="S2727" s="364"/>
      <c r="Z2727" s="609" t="s">
        <v>1107</v>
      </c>
      <c r="AA2727" s="609" t="s">
        <v>3598</v>
      </c>
    </row>
    <row r="2728" spans="1:27" ht="18">
      <c r="A2728" s="2714"/>
      <c r="B2728" s="371">
        <v>107</v>
      </c>
      <c r="C2728" s="371" t="s">
        <v>2791</v>
      </c>
      <c r="D2728" s="2716">
        <f t="shared" si="298"/>
        <v>0</v>
      </c>
      <c r="E2728" s="2721">
        <v>1</v>
      </c>
      <c r="F2728" s="294"/>
      <c r="G2728" s="2284" t="s">
        <v>5146</v>
      </c>
      <c r="H2728" s="2275"/>
      <c r="I2728" s="2275"/>
      <c r="J2728" s="2275"/>
      <c r="K2728" s="1477">
        <f t="shared" si="299"/>
        <v>0</v>
      </c>
      <c r="L2728" s="291"/>
      <c r="M2728" s="291"/>
      <c r="N2728" s="291"/>
      <c r="O2728" s="291"/>
      <c r="S2728" s="364"/>
      <c r="Z2728" s="609" t="s">
        <v>1107</v>
      </c>
      <c r="AA2728" s="609" t="s">
        <v>3598</v>
      </c>
    </row>
    <row r="2729" spans="1:27" ht="18">
      <c r="A2729" s="2714"/>
      <c r="B2729" s="371">
        <v>108</v>
      </c>
      <c r="C2729" s="371" t="s">
        <v>2791</v>
      </c>
      <c r="D2729" s="2716">
        <f t="shared" si="298"/>
        <v>0</v>
      </c>
      <c r="E2729" s="2721">
        <v>1</v>
      </c>
      <c r="F2729" s="294"/>
      <c r="G2729" s="2284" t="s">
        <v>5146</v>
      </c>
      <c r="H2729" s="2275"/>
      <c r="I2729" s="2275"/>
      <c r="J2729" s="2275"/>
      <c r="K2729" s="1477">
        <f t="shared" si="299"/>
        <v>0</v>
      </c>
      <c r="L2729" s="291"/>
      <c r="M2729" s="291"/>
      <c r="N2729" s="291"/>
      <c r="O2729" s="291"/>
      <c r="S2729" s="364"/>
      <c r="Z2729" s="609" t="s">
        <v>1107</v>
      </c>
      <c r="AA2729" s="609" t="s">
        <v>3598</v>
      </c>
    </row>
    <row r="2730" spans="1:27" ht="18">
      <c r="A2730" s="2714"/>
      <c r="B2730" s="371">
        <v>109</v>
      </c>
      <c r="C2730" s="371" t="s">
        <v>2791</v>
      </c>
      <c r="D2730" s="2716">
        <f t="shared" si="298"/>
        <v>0</v>
      </c>
      <c r="E2730" s="2721">
        <v>1</v>
      </c>
      <c r="F2730" s="294"/>
      <c r="G2730" s="2284" t="s">
        <v>5146</v>
      </c>
      <c r="H2730" s="2275"/>
      <c r="I2730" s="2275"/>
      <c r="J2730" s="2275"/>
      <c r="K2730" s="1477">
        <f t="shared" si="299"/>
        <v>0</v>
      </c>
      <c r="L2730" s="291"/>
      <c r="M2730" s="291"/>
      <c r="N2730" s="291"/>
      <c r="O2730" s="291"/>
      <c r="S2730" s="364"/>
      <c r="Z2730" s="609" t="s">
        <v>1107</v>
      </c>
      <c r="AA2730" s="609" t="s">
        <v>3598</v>
      </c>
    </row>
    <row r="2731" spans="1:27" ht="18.75" thickBot="1">
      <c r="A2731" s="2714"/>
      <c r="B2731" s="371"/>
      <c r="C2731" s="371"/>
      <c r="D2731" s="2716">
        <f t="shared" si="298"/>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71"/>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0">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0"/>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0"/>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0"/>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0"/>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0"/>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0"/>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0"/>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0"/>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0"/>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0"/>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t="str">
        <f>IF($I2748="适用",IF(ROUND(K$2647-K2748,2)=0,"F/S",ROUND(K$2647-K2748,2)),"#N/A")</f>
        <v>F/S</v>
      </c>
      <c r="M2748" s="301" t="s">
        <v>2745</v>
      </c>
      <c r="N2748" s="2210">
        <f>I2759</f>
        <v>0</v>
      </c>
      <c r="O2748" s="349">
        <f>IF($I2748="适用",IF(ROUND(N$2647-N2748,2)=0,"F/S",ROUND(N$2647-N2748,2)),"#N/A")</f>
        <v>221616.66</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1">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1"/>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1"/>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1"/>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1"/>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1"/>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1"/>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1"/>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1"/>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6532</v>
      </c>
      <c r="F2761" s="294"/>
      <c r="G2761" s="372" t="str">
        <f>"("&amp;B2761&amp;")"&amp;D2761</f>
        <v>(6)未办妥产权证书的固定资产及其累计折旧明细项目</v>
      </c>
      <c r="H2761" s="1517" t="str">
        <f>$A2761</f>
        <v>1601f</v>
      </c>
      <c r="I2761" s="343" t="s">
        <v>5966</v>
      </c>
      <c r="J2761" s="301"/>
      <c r="K2761" s="3071"/>
      <c r="L2761" s="345"/>
      <c r="M2761" s="301"/>
      <c r="N2761" s="3071"/>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2">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2"/>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2"/>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2"/>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2"/>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2"/>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6532</v>
      </c>
      <c r="F2771" s="294"/>
      <c r="G2771" s="307" t="str">
        <f>"("&amp;B2771&amp;")"&amp;D2771</f>
        <v>(7)固定资产抵押情况</v>
      </c>
      <c r="H2771" s="1517" t="str">
        <f>$A2771</f>
        <v>1601s</v>
      </c>
      <c r="I2771" s="343" t="s">
        <v>5965</v>
      </c>
      <c r="J2771" s="301"/>
      <c r="K2771" s="3071"/>
      <c r="L2771" s="315"/>
      <c r="M2771" s="301"/>
      <c r="N2771" s="3071"/>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3">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3"/>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3"/>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3"/>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3"/>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3"/>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6532</v>
      </c>
      <c r="F2781" s="294"/>
      <c r="G2781" s="372" t="str">
        <f>"("&amp;B2781&amp;")"&amp;D2781</f>
        <v>(8)固定资产累计折旧补充资料</v>
      </c>
      <c r="H2781" s="1517" t="str">
        <f>$A2781</f>
        <v>1601x</v>
      </c>
      <c r="I2781" s="343" t="s">
        <v>5966</v>
      </c>
      <c r="J2781" s="301" t="s">
        <v>5971</v>
      </c>
      <c r="K2781" s="2210">
        <f>H2794</f>
        <v>0</v>
      </c>
      <c r="L2781" s="345"/>
      <c r="M2781" s="301"/>
      <c r="N2781" s="3071"/>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4">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4"/>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4"/>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4"/>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4"/>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4"/>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4"/>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4"/>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4"/>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4"/>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4"/>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5">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5"/>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5"/>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5"/>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5"/>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5"/>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5"/>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5"/>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5"/>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6574</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6532</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06">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06"/>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06"/>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06"/>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06"/>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06"/>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07">IF(OR(G2824="*",G2824="",G2824=0),0,COUNTIF($G$2824:$G$2827,G2824))</f>
        <v>1</v>
      </c>
      <c r="E2824" s="2721">
        <v>1</v>
      </c>
      <c r="F2824" s="371"/>
      <c r="G2824" s="308" t="s">
        <v>344</v>
      </c>
      <c r="H2824" s="309"/>
      <c r="I2824" s="394"/>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07"/>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07"/>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07"/>
        <v>1</v>
      </c>
      <c r="E2827" s="2721" t="s">
        <v>2751</v>
      </c>
      <c r="F2827" s="371"/>
      <c r="G2827" s="374" t="s">
        <v>2752</v>
      </c>
      <c r="H2827" s="1478">
        <f>SUMPRODUCT($E2823:$E2826,H2823:H2826)</f>
        <v>0</v>
      </c>
      <c r="I2827" s="1479">
        <f>SUMPRODUCT($E2823:$E2826,I2823:I2826)</f>
        <v>0</v>
      </c>
      <c r="J2827" s="301"/>
      <c r="K2827" s="1531">
        <f t="shared" ref="K2827:L2827" ca="1" si="308">SUM(K2824:K2826)</f>
        <v>0</v>
      </c>
      <c r="L2827" s="1531">
        <f t="shared" ca="1" si="308"/>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0</v>
      </c>
      <c r="O2830" s="345" t="str">
        <f>IF($I2830="适用",IF(ROUND(N2829-N2830,2)=0,"F/S",ROUND(N2829-N2830,2)),"#N/A")</f>
        <v>F/S</v>
      </c>
      <c r="P2830" s="301"/>
      <c r="Q2830" s="290" t="str">
        <f>IF($I2830="不适用","",IF(ROUND(SUM($H$2835:$M$2845),2)=0,"请输入",""))</f>
        <v>请输入</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220" t="s">
        <v>47</v>
      </c>
      <c r="H2833" s="3153" t="str">
        <f>$V$2</f>
        <v>2019年12月31日</v>
      </c>
      <c r="I2833" s="3153"/>
      <c r="J2833" s="3153"/>
      <c r="K2833" s="3153" t="str">
        <f>$V$3</f>
        <v>2018年12月31日</v>
      </c>
      <c r="L2833" s="3153"/>
      <c r="M2833" s="3154"/>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221"/>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09">IF(OR(G2835="*",G2835="",G2835=0),0,COUNTIF($G$2835:$G$2845,G2835))</f>
        <v>0</v>
      </c>
      <c r="E2835" s="2721">
        <v>1</v>
      </c>
      <c r="F2835" s="294"/>
      <c r="G2835" s="2619" t="s">
        <v>2792</v>
      </c>
      <c r="H2835" s="2275"/>
      <c r="I2835" s="2275"/>
      <c r="J2835" s="1476">
        <f t="shared" ref="J2835:J2844" si="310">H2835-I2835</f>
        <v>0</v>
      </c>
      <c r="K2835" s="2275"/>
      <c r="L2835" s="2275"/>
      <c r="M2835" s="1477">
        <f t="shared" ref="M2835:M2844" si="311">K2835-L2835</f>
        <v>0</v>
      </c>
      <c r="N2835" s="291"/>
      <c r="O2835" s="291"/>
      <c r="P2835" s="291"/>
      <c r="Q2835" s="367"/>
      <c r="R2835" s="367"/>
      <c r="S2835" s="364"/>
      <c r="Z2835" s="609" t="s">
        <v>1181</v>
      </c>
      <c r="AA2835" s="609" t="s">
        <v>3646</v>
      </c>
    </row>
    <row r="2836" spans="1:29" ht="18">
      <c r="A2836" s="2714"/>
      <c r="B2836" s="371">
        <v>102</v>
      </c>
      <c r="C2836" s="371" t="s">
        <v>2791</v>
      </c>
      <c r="D2836" s="2716">
        <f t="shared" si="309"/>
        <v>0</v>
      </c>
      <c r="E2836" s="2721">
        <v>1</v>
      </c>
      <c r="F2836" s="294"/>
      <c r="G2836" s="2619" t="s">
        <v>2792</v>
      </c>
      <c r="H2836" s="2275"/>
      <c r="I2836" s="2275"/>
      <c r="J2836" s="1476">
        <f t="shared" si="310"/>
        <v>0</v>
      </c>
      <c r="K2836" s="2275"/>
      <c r="L2836" s="2275"/>
      <c r="M2836" s="1477">
        <f t="shared" si="311"/>
        <v>0</v>
      </c>
      <c r="N2836" s="291"/>
      <c r="O2836" s="291"/>
      <c r="P2836" s="291"/>
      <c r="Q2836" s="367"/>
      <c r="R2836" s="367"/>
      <c r="S2836" s="364"/>
      <c r="Z2836" s="609" t="s">
        <v>1181</v>
      </c>
      <c r="AA2836" s="609" t="s">
        <v>3646</v>
      </c>
    </row>
    <row r="2837" spans="1:29" ht="18">
      <c r="A2837" s="2714"/>
      <c r="B2837" s="371">
        <v>103</v>
      </c>
      <c r="C2837" s="371" t="s">
        <v>2791</v>
      </c>
      <c r="D2837" s="2716">
        <f t="shared" si="309"/>
        <v>0</v>
      </c>
      <c r="E2837" s="2721">
        <v>1</v>
      </c>
      <c r="F2837" s="294"/>
      <c r="G2837" s="2619" t="s">
        <v>2792</v>
      </c>
      <c r="H2837" s="2275"/>
      <c r="I2837" s="2275"/>
      <c r="J2837" s="1476">
        <f t="shared" si="310"/>
        <v>0</v>
      </c>
      <c r="K2837" s="2275"/>
      <c r="L2837" s="2275"/>
      <c r="M2837" s="1477">
        <f t="shared" si="311"/>
        <v>0</v>
      </c>
      <c r="N2837" s="291"/>
      <c r="O2837" s="291"/>
      <c r="P2837" s="291"/>
      <c r="Q2837" s="367"/>
      <c r="R2837" s="367"/>
      <c r="S2837" s="364"/>
      <c r="Z2837" s="609" t="s">
        <v>1181</v>
      </c>
      <c r="AA2837" s="609" t="s">
        <v>3646</v>
      </c>
    </row>
    <row r="2838" spans="1:29" ht="18">
      <c r="A2838" s="2714"/>
      <c r="B2838" s="371">
        <v>104</v>
      </c>
      <c r="C2838" s="371" t="s">
        <v>2791</v>
      </c>
      <c r="D2838" s="2716">
        <f t="shared" si="309"/>
        <v>0</v>
      </c>
      <c r="E2838" s="2721">
        <v>1</v>
      </c>
      <c r="F2838" s="294"/>
      <c r="G2838" s="2619" t="s">
        <v>2792</v>
      </c>
      <c r="H2838" s="2275"/>
      <c r="I2838" s="2275"/>
      <c r="J2838" s="1476">
        <f t="shared" si="310"/>
        <v>0</v>
      </c>
      <c r="K2838" s="2275"/>
      <c r="L2838" s="2275"/>
      <c r="M2838" s="1477">
        <f t="shared" si="311"/>
        <v>0</v>
      </c>
      <c r="N2838" s="291"/>
      <c r="O2838" s="291"/>
      <c r="P2838" s="291"/>
      <c r="Q2838" s="367"/>
      <c r="R2838" s="367"/>
      <c r="S2838" s="364"/>
      <c r="Z2838" s="609" t="s">
        <v>1181</v>
      </c>
      <c r="AA2838" s="609" t="s">
        <v>3646</v>
      </c>
    </row>
    <row r="2839" spans="1:29" ht="18">
      <c r="A2839" s="2714"/>
      <c r="B2839" s="371">
        <v>105</v>
      </c>
      <c r="C2839" s="371" t="s">
        <v>2791</v>
      </c>
      <c r="D2839" s="2716">
        <f t="shared" si="309"/>
        <v>0</v>
      </c>
      <c r="E2839" s="2721">
        <v>1</v>
      </c>
      <c r="F2839" s="294"/>
      <c r="G2839" s="2619" t="s">
        <v>2792</v>
      </c>
      <c r="H2839" s="2275"/>
      <c r="I2839" s="2275"/>
      <c r="J2839" s="1476">
        <f t="shared" si="310"/>
        <v>0</v>
      </c>
      <c r="K2839" s="2275"/>
      <c r="L2839" s="2275"/>
      <c r="M2839" s="1477">
        <f t="shared" si="311"/>
        <v>0</v>
      </c>
      <c r="N2839" s="291"/>
      <c r="O2839" s="291"/>
      <c r="P2839" s="291"/>
      <c r="Q2839" s="367"/>
      <c r="R2839" s="367"/>
      <c r="S2839" s="364"/>
      <c r="Z2839" s="609" t="s">
        <v>1181</v>
      </c>
      <c r="AA2839" s="609" t="s">
        <v>3646</v>
      </c>
    </row>
    <row r="2840" spans="1:29" ht="18">
      <c r="A2840" s="2714"/>
      <c r="B2840" s="371">
        <v>106</v>
      </c>
      <c r="C2840" s="371" t="s">
        <v>2791</v>
      </c>
      <c r="D2840" s="2716">
        <f t="shared" si="309"/>
        <v>0</v>
      </c>
      <c r="E2840" s="2721">
        <v>1</v>
      </c>
      <c r="F2840" s="294"/>
      <c r="G2840" s="2619" t="s">
        <v>2792</v>
      </c>
      <c r="H2840" s="2275"/>
      <c r="I2840" s="2275"/>
      <c r="J2840" s="1476">
        <f t="shared" si="310"/>
        <v>0</v>
      </c>
      <c r="K2840" s="2275"/>
      <c r="L2840" s="2275"/>
      <c r="M2840" s="1477">
        <f t="shared" si="311"/>
        <v>0</v>
      </c>
      <c r="N2840" s="291"/>
      <c r="O2840" s="291"/>
      <c r="P2840" s="291"/>
      <c r="Q2840" s="367"/>
      <c r="R2840" s="367"/>
      <c r="S2840" s="364"/>
      <c r="Z2840" s="609" t="s">
        <v>1181</v>
      </c>
      <c r="AA2840" s="609" t="s">
        <v>3646</v>
      </c>
    </row>
    <row r="2841" spans="1:29" ht="18">
      <c r="A2841" s="2714"/>
      <c r="B2841" s="371">
        <v>107</v>
      </c>
      <c r="C2841" s="371" t="s">
        <v>2791</v>
      </c>
      <c r="D2841" s="2716">
        <f t="shared" si="309"/>
        <v>0</v>
      </c>
      <c r="E2841" s="2721">
        <v>1</v>
      </c>
      <c r="F2841" s="294"/>
      <c r="G2841" s="2619" t="s">
        <v>2792</v>
      </c>
      <c r="H2841" s="2275"/>
      <c r="I2841" s="2275"/>
      <c r="J2841" s="1476">
        <f t="shared" si="310"/>
        <v>0</v>
      </c>
      <c r="K2841" s="2275"/>
      <c r="L2841" s="2275"/>
      <c r="M2841" s="1477">
        <f t="shared" si="311"/>
        <v>0</v>
      </c>
      <c r="N2841" s="291"/>
      <c r="O2841" s="291"/>
      <c r="P2841" s="291"/>
      <c r="Q2841" s="367"/>
      <c r="R2841" s="367"/>
      <c r="S2841" s="364"/>
      <c r="Z2841" s="609" t="s">
        <v>1181</v>
      </c>
      <c r="AA2841" s="609" t="s">
        <v>3646</v>
      </c>
    </row>
    <row r="2842" spans="1:29" ht="18">
      <c r="A2842" s="2714"/>
      <c r="B2842" s="371">
        <v>108</v>
      </c>
      <c r="C2842" s="371" t="s">
        <v>2791</v>
      </c>
      <c r="D2842" s="2716">
        <f t="shared" si="309"/>
        <v>0</v>
      </c>
      <c r="E2842" s="2721">
        <v>1</v>
      </c>
      <c r="F2842" s="294"/>
      <c r="G2842" s="2619" t="s">
        <v>2792</v>
      </c>
      <c r="H2842" s="2275"/>
      <c r="I2842" s="2275"/>
      <c r="J2842" s="1476">
        <f t="shared" si="310"/>
        <v>0</v>
      </c>
      <c r="K2842" s="2275"/>
      <c r="L2842" s="2275"/>
      <c r="M2842" s="1477">
        <f t="shared" si="311"/>
        <v>0</v>
      </c>
      <c r="N2842" s="291"/>
      <c r="O2842" s="291"/>
      <c r="P2842" s="291"/>
      <c r="Q2842" s="367"/>
      <c r="R2842" s="367"/>
      <c r="S2842" s="364"/>
      <c r="Z2842" s="609" t="s">
        <v>1181</v>
      </c>
      <c r="AA2842" s="609" t="s">
        <v>3646</v>
      </c>
    </row>
    <row r="2843" spans="1:29" ht="18">
      <c r="A2843" s="2714"/>
      <c r="B2843" s="371">
        <v>109</v>
      </c>
      <c r="C2843" s="371" t="s">
        <v>2791</v>
      </c>
      <c r="D2843" s="2716">
        <f t="shared" si="309"/>
        <v>0</v>
      </c>
      <c r="E2843" s="2721">
        <v>1</v>
      </c>
      <c r="F2843" s="294"/>
      <c r="G2843" s="2619" t="s">
        <v>2792</v>
      </c>
      <c r="H2843" s="2275"/>
      <c r="I2843" s="2275"/>
      <c r="J2843" s="1476">
        <f t="shared" si="310"/>
        <v>0</v>
      </c>
      <c r="K2843" s="2275"/>
      <c r="L2843" s="2275"/>
      <c r="M2843" s="1477">
        <f t="shared" si="311"/>
        <v>0</v>
      </c>
      <c r="N2843" s="291"/>
      <c r="O2843" s="291"/>
      <c r="P2843" s="291"/>
      <c r="Q2843" s="367"/>
      <c r="R2843" s="367"/>
      <c r="S2843" s="364"/>
      <c r="Z2843" s="609" t="s">
        <v>1181</v>
      </c>
      <c r="AA2843" s="609" t="s">
        <v>3646</v>
      </c>
    </row>
    <row r="2844" spans="1:29" ht="18">
      <c r="A2844" s="2714"/>
      <c r="B2844" s="371">
        <v>110</v>
      </c>
      <c r="C2844" s="371" t="s">
        <v>2791</v>
      </c>
      <c r="D2844" s="2716">
        <f t="shared" si="309"/>
        <v>0</v>
      </c>
      <c r="E2844" s="2721">
        <v>1</v>
      </c>
      <c r="F2844" s="294"/>
      <c r="G2844" s="2619" t="s">
        <v>2792</v>
      </c>
      <c r="H2844" s="2275"/>
      <c r="I2844" s="2275"/>
      <c r="J2844" s="1476">
        <f t="shared" si="310"/>
        <v>0</v>
      </c>
      <c r="K2844" s="2275"/>
      <c r="L2844" s="2275"/>
      <c r="M2844" s="1477">
        <f t="shared" si="311"/>
        <v>0</v>
      </c>
      <c r="N2844" s="291"/>
      <c r="O2844" s="291"/>
      <c r="P2844" s="291"/>
      <c r="Q2844" s="367"/>
      <c r="R2844" s="367"/>
      <c r="S2844" s="364"/>
      <c r="Z2844" s="609" t="s">
        <v>1181</v>
      </c>
      <c r="AA2844" s="609" t="s">
        <v>3646</v>
      </c>
    </row>
    <row r="2845" spans="1:29" ht="18.75" thickBot="1">
      <c r="A2845" s="2714"/>
      <c r="B2845" s="371"/>
      <c r="C2845" s="371"/>
      <c r="D2845" s="2716">
        <f t="shared" si="309"/>
        <v>1</v>
      </c>
      <c r="E2845" s="2721" t="s">
        <v>2751</v>
      </c>
      <c r="F2845" s="294"/>
      <c r="G2845" s="374" t="s">
        <v>2752</v>
      </c>
      <c r="H2845" s="1478">
        <f t="shared" ref="H2845:M2845" si="312">SUMPRODUCT($E2834:$E2844,H2834:H2844)</f>
        <v>0</v>
      </c>
      <c r="I2845" s="1478">
        <f t="shared" si="312"/>
        <v>0</v>
      </c>
      <c r="J2845" s="1478">
        <f t="shared" si="312"/>
        <v>0</v>
      </c>
      <c r="K2845" s="1478">
        <f t="shared" si="312"/>
        <v>0</v>
      </c>
      <c r="L2845" s="1478">
        <f t="shared" si="312"/>
        <v>0</v>
      </c>
      <c r="M2845" s="1479">
        <f t="shared" si="312"/>
        <v>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6574</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6532</v>
      </c>
      <c r="F2847" s="294"/>
      <c r="G2847" s="307" t="str">
        <f>"("&amp;B2847&amp;")"&amp;D2847</f>
        <v>(2)重要在建工程项目变动情况列示</v>
      </c>
      <c r="H2847" s="1517" t="str">
        <f>$A2847</f>
        <v>1604b</v>
      </c>
      <c r="I2847" s="343" t="s">
        <v>5965</v>
      </c>
      <c r="J2847" s="301" t="s">
        <v>2744</v>
      </c>
      <c r="K2847" s="3072">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3">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3"/>
        <v>0</v>
      </c>
      <c r="E2851" s="2721">
        <v>1</v>
      </c>
      <c r="F2851" s="294"/>
      <c r="G2851" s="2354" t="s">
        <v>2792</v>
      </c>
      <c r="H2851" s="2275"/>
      <c r="I2851" s="2275"/>
      <c r="J2851" s="2275"/>
      <c r="K2851" s="2275"/>
      <c r="L2851" s="2275"/>
      <c r="M2851" s="1477">
        <f t="shared" ref="M2851:M2859" si="314">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3"/>
        <v>0</v>
      </c>
      <c r="E2852" s="2721">
        <v>1</v>
      </c>
      <c r="F2852" s="294"/>
      <c r="G2852" s="2354" t="s">
        <v>2792</v>
      </c>
      <c r="H2852" s="2275"/>
      <c r="I2852" s="2275"/>
      <c r="J2852" s="2275"/>
      <c r="K2852" s="2275"/>
      <c r="L2852" s="2275"/>
      <c r="M2852" s="1477">
        <f t="shared" si="314"/>
        <v>0</v>
      </c>
      <c r="N2852" s="1604"/>
      <c r="O2852" s="1604"/>
      <c r="P2852" s="1604"/>
      <c r="Q2852" s="1604"/>
      <c r="R2852" s="1604"/>
      <c r="S2852" s="364"/>
      <c r="Z2852" s="609" t="s">
        <v>1181</v>
      </c>
      <c r="AA2852" s="609" t="s">
        <v>3646</v>
      </c>
    </row>
    <row r="2853" spans="1:27" ht="18">
      <c r="A2853" s="2714"/>
      <c r="B2853" s="371">
        <v>104</v>
      </c>
      <c r="C2853" s="371" t="s">
        <v>2791</v>
      </c>
      <c r="D2853" s="2716">
        <f t="shared" si="313"/>
        <v>0</v>
      </c>
      <c r="E2853" s="2721">
        <v>1</v>
      </c>
      <c r="F2853" s="294"/>
      <c r="G2853" s="2354" t="s">
        <v>2792</v>
      </c>
      <c r="H2853" s="2275"/>
      <c r="I2853" s="2275"/>
      <c r="J2853" s="2275"/>
      <c r="K2853" s="2275"/>
      <c r="L2853" s="2275"/>
      <c r="M2853" s="1477">
        <f t="shared" si="314"/>
        <v>0</v>
      </c>
      <c r="N2853" s="1604"/>
      <c r="O2853" s="1604"/>
      <c r="P2853" s="1604"/>
      <c r="Q2853" s="1604"/>
      <c r="R2853" s="1604"/>
      <c r="S2853" s="364"/>
      <c r="Z2853" s="609" t="s">
        <v>1181</v>
      </c>
      <c r="AA2853" s="609" t="s">
        <v>3646</v>
      </c>
    </row>
    <row r="2854" spans="1:27" ht="18">
      <c r="A2854" s="2714"/>
      <c r="B2854" s="371">
        <v>105</v>
      </c>
      <c r="C2854" s="371" t="s">
        <v>2791</v>
      </c>
      <c r="D2854" s="2716">
        <f t="shared" si="313"/>
        <v>0</v>
      </c>
      <c r="E2854" s="2721">
        <v>1</v>
      </c>
      <c r="F2854" s="294"/>
      <c r="G2854" s="2354" t="s">
        <v>2792</v>
      </c>
      <c r="H2854" s="2275"/>
      <c r="I2854" s="2275"/>
      <c r="J2854" s="2275"/>
      <c r="K2854" s="2275"/>
      <c r="L2854" s="2275"/>
      <c r="M2854" s="1477">
        <f t="shared" si="314"/>
        <v>0</v>
      </c>
      <c r="N2854" s="1604"/>
      <c r="O2854" s="1604"/>
      <c r="P2854" s="1604"/>
      <c r="Q2854" s="1604"/>
      <c r="R2854" s="1604"/>
      <c r="S2854" s="364"/>
      <c r="Z2854" s="609" t="s">
        <v>1181</v>
      </c>
      <c r="AA2854" s="609" t="s">
        <v>3646</v>
      </c>
    </row>
    <row r="2855" spans="1:27" ht="18">
      <c r="A2855" s="2714"/>
      <c r="B2855" s="371">
        <v>106</v>
      </c>
      <c r="C2855" s="371" t="s">
        <v>2791</v>
      </c>
      <c r="D2855" s="2716">
        <f t="shared" si="313"/>
        <v>0</v>
      </c>
      <c r="E2855" s="2721">
        <v>1</v>
      </c>
      <c r="F2855" s="294"/>
      <c r="G2855" s="2354" t="s">
        <v>2792</v>
      </c>
      <c r="H2855" s="2275"/>
      <c r="I2855" s="2275"/>
      <c r="J2855" s="2275"/>
      <c r="K2855" s="2275"/>
      <c r="L2855" s="2275"/>
      <c r="M2855" s="1477">
        <f t="shared" si="314"/>
        <v>0</v>
      </c>
      <c r="N2855" s="1604"/>
      <c r="O2855" s="1604"/>
      <c r="P2855" s="1604"/>
      <c r="Q2855" s="1604"/>
      <c r="R2855" s="1604"/>
      <c r="S2855" s="364"/>
      <c r="Z2855" s="609" t="s">
        <v>1181</v>
      </c>
      <c r="AA2855" s="609" t="s">
        <v>3646</v>
      </c>
    </row>
    <row r="2856" spans="1:27" ht="18">
      <c r="A2856" s="2714"/>
      <c r="B2856" s="371">
        <v>107</v>
      </c>
      <c r="C2856" s="371" t="s">
        <v>2791</v>
      </c>
      <c r="D2856" s="2716">
        <f t="shared" si="313"/>
        <v>0</v>
      </c>
      <c r="E2856" s="2721">
        <v>1</v>
      </c>
      <c r="F2856" s="294"/>
      <c r="G2856" s="2354" t="s">
        <v>2792</v>
      </c>
      <c r="H2856" s="2275"/>
      <c r="I2856" s="2275"/>
      <c r="J2856" s="2275"/>
      <c r="K2856" s="2275"/>
      <c r="L2856" s="2275"/>
      <c r="M2856" s="1477">
        <f t="shared" si="314"/>
        <v>0</v>
      </c>
      <c r="N2856" s="1604"/>
      <c r="O2856" s="1604"/>
      <c r="P2856" s="1604"/>
      <c r="Q2856" s="1604"/>
      <c r="R2856" s="1604"/>
      <c r="S2856" s="364"/>
      <c r="Z2856" s="609" t="s">
        <v>1181</v>
      </c>
      <c r="AA2856" s="609" t="s">
        <v>3646</v>
      </c>
    </row>
    <row r="2857" spans="1:27" ht="18">
      <c r="A2857" s="2714"/>
      <c r="B2857" s="371">
        <v>108</v>
      </c>
      <c r="C2857" s="371" t="s">
        <v>2791</v>
      </c>
      <c r="D2857" s="2716">
        <f t="shared" si="313"/>
        <v>0</v>
      </c>
      <c r="E2857" s="2721">
        <v>1</v>
      </c>
      <c r="F2857" s="294"/>
      <c r="G2857" s="2354" t="s">
        <v>2792</v>
      </c>
      <c r="H2857" s="2275"/>
      <c r="I2857" s="2275"/>
      <c r="J2857" s="2275"/>
      <c r="K2857" s="2275"/>
      <c r="L2857" s="2275"/>
      <c r="M2857" s="1477">
        <f t="shared" si="314"/>
        <v>0</v>
      </c>
      <c r="N2857" s="1604"/>
      <c r="O2857" s="1604"/>
      <c r="P2857" s="1604"/>
      <c r="Q2857" s="1604"/>
      <c r="R2857" s="1604"/>
      <c r="S2857" s="364"/>
      <c r="Z2857" s="609" t="s">
        <v>1181</v>
      </c>
      <c r="AA2857" s="609" t="s">
        <v>3646</v>
      </c>
    </row>
    <row r="2858" spans="1:27" ht="18">
      <c r="A2858" s="2714"/>
      <c r="B2858" s="371">
        <v>109</v>
      </c>
      <c r="C2858" s="371" t="s">
        <v>2791</v>
      </c>
      <c r="D2858" s="2716">
        <f t="shared" si="313"/>
        <v>0</v>
      </c>
      <c r="E2858" s="2721">
        <v>1</v>
      </c>
      <c r="F2858" s="294"/>
      <c r="G2858" s="2354" t="s">
        <v>2792</v>
      </c>
      <c r="H2858" s="2275"/>
      <c r="I2858" s="2275"/>
      <c r="J2858" s="2275"/>
      <c r="K2858" s="2275"/>
      <c r="L2858" s="2275"/>
      <c r="M2858" s="1477">
        <f t="shared" si="314"/>
        <v>0</v>
      </c>
      <c r="N2858" s="1604"/>
      <c r="O2858" s="1604"/>
      <c r="P2858" s="1604"/>
      <c r="Q2858" s="1604"/>
      <c r="R2858" s="1604"/>
      <c r="S2858" s="364"/>
      <c r="Z2858" s="609" t="s">
        <v>1181</v>
      </c>
      <c r="AA2858" s="609" t="s">
        <v>3646</v>
      </c>
    </row>
    <row r="2859" spans="1:27" ht="18">
      <c r="A2859" s="2714"/>
      <c r="B2859" s="371">
        <v>110</v>
      </c>
      <c r="C2859" s="371" t="s">
        <v>2791</v>
      </c>
      <c r="D2859" s="2716">
        <f t="shared" si="313"/>
        <v>0</v>
      </c>
      <c r="E2859" s="2721">
        <v>1</v>
      </c>
      <c r="F2859" s="294"/>
      <c r="G2859" s="2354" t="s">
        <v>2792</v>
      </c>
      <c r="H2859" s="2275"/>
      <c r="I2859" s="2275"/>
      <c r="J2859" s="2275"/>
      <c r="K2859" s="2275"/>
      <c r="L2859" s="2275"/>
      <c r="M2859" s="1477">
        <f t="shared" si="314"/>
        <v>0</v>
      </c>
      <c r="N2859" s="1604"/>
      <c r="O2859" s="1604"/>
      <c r="P2859" s="1604"/>
      <c r="Q2859" s="1604"/>
      <c r="R2859" s="1604"/>
      <c r="S2859" s="364"/>
      <c r="Z2859" s="609" t="s">
        <v>1181</v>
      </c>
      <c r="AA2859" s="609" t="s">
        <v>3646</v>
      </c>
    </row>
    <row r="2860" spans="1:27" ht="18.75" thickBot="1">
      <c r="A2860" s="2714"/>
      <c r="B2860" s="371"/>
      <c r="C2860" s="371"/>
      <c r="D2860" s="2716">
        <f t="shared" si="313"/>
        <v>1</v>
      </c>
      <c r="E2860" s="2721" t="s">
        <v>2751</v>
      </c>
      <c r="F2860" s="294"/>
      <c r="G2860" s="374" t="s">
        <v>2752</v>
      </c>
      <c r="H2860" s="1478">
        <f t="shared" ref="H2860:M2860" si="315">SUMPRODUCT($E2849:$E2859,H2849:H2859)</f>
        <v>0</v>
      </c>
      <c r="I2860" s="1478">
        <f t="shared" si="315"/>
        <v>0</v>
      </c>
      <c r="J2860" s="1478">
        <f t="shared" si="315"/>
        <v>0</v>
      </c>
      <c r="K2860" s="1478">
        <f t="shared" si="315"/>
        <v>0</v>
      </c>
      <c r="L2860" s="1478">
        <f t="shared" si="315"/>
        <v>0</v>
      </c>
      <c r="M2860" s="1479">
        <f t="shared" si="315"/>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6532</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73"/>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16">IF(OR(G2865="*",G2865="",G2865=0),0,COUNTIF($G$2865:$G$2875,G2865))</f>
        <v>0</v>
      </c>
      <c r="E2865" s="2721">
        <v>1</v>
      </c>
      <c r="F2865" s="294"/>
      <c r="G2865" s="2354" t="str">
        <f t="shared" ref="G2865:G2874" si="317">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16"/>
        <v>0</v>
      </c>
      <c r="E2866" s="2721">
        <v>1</v>
      </c>
      <c r="F2866" s="294"/>
      <c r="G2866" s="2354" t="str">
        <f t="shared" si="317"/>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16"/>
        <v>0</v>
      </c>
      <c r="E2867" s="2721">
        <v>1</v>
      </c>
      <c r="F2867" s="294"/>
      <c r="G2867" s="2354" t="str">
        <f t="shared" si="317"/>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16"/>
        <v>0</v>
      </c>
      <c r="E2868" s="2721">
        <v>1</v>
      </c>
      <c r="F2868" s="294"/>
      <c r="G2868" s="2354" t="str">
        <f t="shared" si="317"/>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16"/>
        <v>0</v>
      </c>
      <c r="E2869" s="2721">
        <v>1</v>
      </c>
      <c r="F2869" s="294"/>
      <c r="G2869" s="2354" t="str">
        <f t="shared" si="317"/>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16"/>
        <v>0</v>
      </c>
      <c r="E2870" s="2721">
        <v>1</v>
      </c>
      <c r="F2870" s="294"/>
      <c r="G2870" s="2354" t="str">
        <f t="shared" si="317"/>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16"/>
        <v>0</v>
      </c>
      <c r="E2871" s="2721">
        <v>1</v>
      </c>
      <c r="F2871" s="294"/>
      <c r="G2871" s="2354" t="str">
        <f t="shared" si="317"/>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16"/>
        <v>0</v>
      </c>
      <c r="E2872" s="2721">
        <v>1</v>
      </c>
      <c r="F2872" s="294"/>
      <c r="G2872" s="2354" t="str">
        <f t="shared" si="317"/>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16"/>
        <v>0</v>
      </c>
      <c r="E2873" s="2721">
        <v>1</v>
      </c>
      <c r="F2873" s="294"/>
      <c r="G2873" s="2354" t="str">
        <f t="shared" si="317"/>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16"/>
        <v>0</v>
      </c>
      <c r="E2874" s="2721">
        <v>1</v>
      </c>
      <c r="F2874" s="294"/>
      <c r="G2874" s="2354" t="str">
        <f t="shared" si="317"/>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16"/>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t="str">
        <f>IF($I2877="适用",IF(ROUND(N$2829-N2877,2)=0,"F/S",ROUND(N$2829-N2877,2)),"#N/A")</f>
        <v>F/S</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18">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18"/>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18"/>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18"/>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18"/>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18"/>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18"/>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18"/>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18"/>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HYPERLINK("#'"&amp;$G$1&amp;"'!"&amp;ADDRESS(ROW(Notes!L4887),COLUMN(Notes!L4887),4),"*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6609</v>
      </c>
      <c r="F2897" s="294"/>
      <c r="G2897" s="372" t="str">
        <f>"("&amp;B2897&amp;")"&amp;D2897</f>
        <v>(3)本期在建工程项目计提减值准备情况</v>
      </c>
      <c r="H2897" s="1517" t="str">
        <f>$A2897</f>
        <v>1604d</v>
      </c>
      <c r="I2897" s="343" t="s">
        <v>6617</v>
      </c>
      <c r="J2897" s="301" t="s">
        <v>6615</v>
      </c>
      <c r="K2897" s="2210">
        <f>H2905</f>
        <v>0</v>
      </c>
      <c r="L2897" s="345"/>
      <c r="M2897" s="301" t="s">
        <v>6616</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19">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19"/>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19"/>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19"/>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19"/>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19"/>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6566</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254" t="s">
        <v>47</v>
      </c>
      <c r="H2911" s="3155" t="str">
        <f>$V$2</f>
        <v>2019年12月31日</v>
      </c>
      <c r="I2911" s="3156"/>
      <c r="J2911" s="3157"/>
      <c r="K2911" s="3158" t="str">
        <f>$V$3</f>
        <v>2018年12月31日</v>
      </c>
      <c r="L2911" s="3159"/>
      <c r="M2911" s="3159"/>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255"/>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0">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0"/>
        <v>0</v>
      </c>
      <c r="E2914" s="2721">
        <v>1</v>
      </c>
      <c r="F2914" s="371"/>
      <c r="G2914" s="319" t="s">
        <v>2792</v>
      </c>
      <c r="H2914" s="309"/>
      <c r="I2914" s="422"/>
      <c r="J2914" s="309">
        <f t="shared" ref="J2914:J2916" si="321">H2914-I2914</f>
        <v>0</v>
      </c>
      <c r="K2914" s="320"/>
      <c r="L2914" s="309"/>
      <c r="M2914" s="346">
        <f t="shared" ref="M2914:M2916" si="322">K2914-L2914</f>
        <v>0</v>
      </c>
      <c r="N2914" s="391"/>
      <c r="O2914" s="349"/>
      <c r="P2914" s="301"/>
      <c r="S2914" s="364"/>
      <c r="Z2914" s="609" t="s">
        <v>1200</v>
      </c>
      <c r="AA2914" s="609" t="s">
        <v>5663</v>
      </c>
    </row>
    <row r="2915" spans="1:29" ht="18">
      <c r="A2915" s="2714"/>
      <c r="B2915" s="371">
        <v>103</v>
      </c>
      <c r="C2915" s="371" t="s">
        <v>2791</v>
      </c>
      <c r="D2915" s="2716">
        <f t="shared" si="320"/>
        <v>0</v>
      </c>
      <c r="E2915" s="2721">
        <v>1</v>
      </c>
      <c r="F2915" s="371"/>
      <c r="G2915" s="319" t="s">
        <v>2792</v>
      </c>
      <c r="H2915" s="309"/>
      <c r="I2915" s="422"/>
      <c r="J2915" s="309">
        <f t="shared" si="321"/>
        <v>0</v>
      </c>
      <c r="K2915" s="320"/>
      <c r="L2915" s="309"/>
      <c r="M2915" s="346">
        <f t="shared" si="322"/>
        <v>0</v>
      </c>
      <c r="N2915" s="391"/>
      <c r="O2915" s="349"/>
      <c r="P2915" s="301"/>
      <c r="S2915" s="364"/>
      <c r="Z2915" s="609" t="s">
        <v>1200</v>
      </c>
      <c r="AA2915" s="609" t="s">
        <v>5663</v>
      </c>
    </row>
    <row r="2916" spans="1:29" ht="18">
      <c r="A2916" s="2714"/>
      <c r="B2916" s="371">
        <v>104</v>
      </c>
      <c r="C2916" s="371" t="s">
        <v>2791</v>
      </c>
      <c r="D2916" s="2716">
        <f t="shared" si="320"/>
        <v>0</v>
      </c>
      <c r="E2916" s="2721">
        <v>1</v>
      </c>
      <c r="F2916" s="371"/>
      <c r="G2916" s="319" t="s">
        <v>2792</v>
      </c>
      <c r="H2916" s="309"/>
      <c r="I2916" s="422"/>
      <c r="J2916" s="309">
        <f t="shared" si="321"/>
        <v>0</v>
      </c>
      <c r="K2916" s="320"/>
      <c r="L2916" s="309"/>
      <c r="M2916" s="346">
        <f t="shared" si="322"/>
        <v>0</v>
      </c>
      <c r="N2916" s="391"/>
      <c r="O2916" s="349"/>
      <c r="P2916" s="301"/>
      <c r="S2916" s="364"/>
      <c r="Z2916" s="609" t="s">
        <v>1200</v>
      </c>
      <c r="AA2916" s="609" t="s">
        <v>5663</v>
      </c>
    </row>
    <row r="2917" spans="1:29" ht="18.75" thickBot="1">
      <c r="A2917" s="2714"/>
      <c r="B2917" s="371"/>
      <c r="C2917" s="371"/>
      <c r="D2917" s="2716">
        <f t="shared" si="320"/>
        <v>1</v>
      </c>
      <c r="E2917" s="2721" t="s">
        <v>2751</v>
      </c>
      <c r="F2917" s="371"/>
      <c r="G2917" s="374" t="s">
        <v>2752</v>
      </c>
      <c r="H2917" s="375">
        <f t="shared" ref="H2917:M2917" si="323">SUMPRODUCT($E2912:$E2916,H2912:H2916)</f>
        <v>0</v>
      </c>
      <c r="I2917" s="375">
        <f t="shared" si="323"/>
        <v>0</v>
      </c>
      <c r="J2917" s="375">
        <f t="shared" si="323"/>
        <v>0</v>
      </c>
      <c r="K2917" s="375">
        <f t="shared" si="323"/>
        <v>0</v>
      </c>
      <c r="L2917" s="375">
        <f t="shared" si="323"/>
        <v>0</v>
      </c>
      <c r="M2917" s="395">
        <f t="shared" si="323"/>
        <v>0</v>
      </c>
      <c r="N2917" s="1533" t="str">
        <f ca="1">HYPERLINK("#'"&amp;$G$1&amp;"'!"&amp;ADDRESS(ROW(Notes!L4886),COLUMN(Notes!L4886),4),"* 请勿删除此行！点击往勾稽单元格，F5+Enter返回")</f>
        <v>* 请勿删除此行！点击往勾稽单元格，F5+Enter返回</v>
      </c>
      <c r="O2917" s="349"/>
      <c r="P2917" s="301"/>
      <c r="S2917" s="364"/>
      <c r="Z2917" s="609" t="s">
        <v>1200</v>
      </c>
      <c r="AA2917" s="609" t="s">
        <v>5663</v>
      </c>
      <c r="AC2917" s="369" t="s">
        <v>6574</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261" t="s">
        <v>47</v>
      </c>
      <c r="H2923" s="3145" t="s">
        <v>3574</v>
      </c>
      <c r="I2923" s="3145" t="s">
        <v>3558</v>
      </c>
      <c r="J2923" s="3145"/>
      <c r="K2923" s="3145"/>
      <c r="L2923" s="3145"/>
      <c r="M2923" s="3145" t="s">
        <v>3560</v>
      </c>
      <c r="N2923" s="3145"/>
      <c r="O2923" s="3193" t="s">
        <v>3575</v>
      </c>
      <c r="P2923" s="355" t="s">
        <v>5290</v>
      </c>
      <c r="S2923" s="364"/>
      <c r="Z2923" s="609" t="s">
        <v>1206</v>
      </c>
      <c r="AA2923" s="609" t="s">
        <v>5664</v>
      </c>
    </row>
    <row r="2924" spans="1:29" ht="18">
      <c r="A2924" s="2714"/>
      <c r="B2924" s="371"/>
      <c r="C2924" s="371"/>
      <c r="D2924" s="371"/>
      <c r="E2924" s="2716" t="s">
        <v>2749</v>
      </c>
      <c r="F2924" s="294"/>
      <c r="G2924" s="3262"/>
      <c r="H2924" s="3148"/>
      <c r="I2924" s="2370" t="s">
        <v>3546</v>
      </c>
      <c r="J2924" s="2370" t="s">
        <v>3678</v>
      </c>
      <c r="K2924" s="2371" t="s">
        <v>5164</v>
      </c>
      <c r="L2924" s="2371" t="s">
        <v>5163</v>
      </c>
      <c r="M2924" s="2372" t="s">
        <v>3561</v>
      </c>
      <c r="N2924" s="2370" t="s">
        <v>3679</v>
      </c>
      <c r="O2924" s="3163"/>
      <c r="P2924" s="291"/>
      <c r="S2924" s="364"/>
      <c r="Z2924" s="609" t="s">
        <v>1206</v>
      </c>
      <c r="AA2924" s="609" t="s">
        <v>5664</v>
      </c>
    </row>
    <row r="2925" spans="1:29" ht="18">
      <c r="A2925" s="2714"/>
      <c r="B2925" s="371">
        <v>101</v>
      </c>
      <c r="C2925" s="371"/>
      <c r="D2925" s="2716">
        <f t="shared" ref="D2925:D2956" si="324">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4"/>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4"/>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4"/>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4"/>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4"/>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4"/>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4"/>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4"/>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4"/>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4"/>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4"/>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4"/>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4"/>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4"/>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4"/>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4"/>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5">SUM(H2941:L2941,-M2941,-N2941)</f>
        <v>0</v>
      </c>
      <c r="P2941" s="292"/>
      <c r="S2941" s="364"/>
      <c r="Z2941" s="609" t="s">
        <v>1206</v>
      </c>
      <c r="AA2941" s="609" t="s">
        <v>5664</v>
      </c>
    </row>
    <row r="2942" spans="1:27" ht="18">
      <c r="A2942" s="2714"/>
      <c r="B2942" s="371">
        <v>107.002</v>
      </c>
      <c r="C2942" s="371" t="s">
        <v>2791</v>
      </c>
      <c r="D2942" s="2716">
        <f t="shared" si="324"/>
        <v>1</v>
      </c>
      <c r="E2942" s="2721" t="s">
        <v>486</v>
      </c>
      <c r="F2942" s="294"/>
      <c r="G2942" s="1484" t="str">
        <f>G$2928&amp;" "</f>
        <v xml:space="preserve">*种植2（在原值处修改清除） </v>
      </c>
      <c r="H2942" s="1476"/>
      <c r="I2942" s="1465">
        <v>0</v>
      </c>
      <c r="J2942" s="1465">
        <v>0</v>
      </c>
      <c r="K2942" s="309"/>
      <c r="L2942" s="1476"/>
      <c r="M2942" s="1476"/>
      <c r="N2942" s="1476"/>
      <c r="O2942" s="1477">
        <f t="shared" si="325"/>
        <v>0</v>
      </c>
      <c r="P2942" s="292"/>
      <c r="S2942" s="364"/>
      <c r="Z2942" s="609" t="s">
        <v>1206</v>
      </c>
      <c r="AA2942" s="609" t="s">
        <v>5664</v>
      </c>
    </row>
    <row r="2943" spans="1:27" ht="18">
      <c r="A2943" s="2714"/>
      <c r="B2943" s="371">
        <v>108</v>
      </c>
      <c r="C2943" s="371"/>
      <c r="D2943" s="2716">
        <f t="shared" si="324"/>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4"/>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26">SUM(H2944:L2944,-M2944,-N2944)</f>
        <v>0</v>
      </c>
      <c r="P2944" s="292"/>
      <c r="S2944" s="364"/>
      <c r="Z2944" s="609" t="s">
        <v>1206</v>
      </c>
      <c r="AA2944" s="609" t="s">
        <v>5664</v>
      </c>
    </row>
    <row r="2945" spans="1:27" ht="18">
      <c r="A2945" s="2714"/>
      <c r="B2945" s="371">
        <v>108.002</v>
      </c>
      <c r="C2945" s="371" t="s">
        <v>2791</v>
      </c>
      <c r="D2945" s="2716">
        <f t="shared" si="324"/>
        <v>1</v>
      </c>
      <c r="E2945" s="2721" t="s">
        <v>486</v>
      </c>
      <c r="F2945" s="294"/>
      <c r="G2945" s="1484" t="str">
        <f>G$2931&amp;" "</f>
        <v xml:space="preserve">*畜牧2（在原值处修改清除） </v>
      </c>
      <c r="H2945" s="1476"/>
      <c r="I2945" s="1465">
        <v>0</v>
      </c>
      <c r="J2945" s="1465">
        <v>0</v>
      </c>
      <c r="K2945" s="309"/>
      <c r="L2945" s="1476"/>
      <c r="M2945" s="1476"/>
      <c r="N2945" s="1476"/>
      <c r="O2945" s="1477">
        <f t="shared" si="326"/>
        <v>0</v>
      </c>
      <c r="P2945" s="292"/>
      <c r="S2945" s="364"/>
      <c r="Z2945" s="609" t="s">
        <v>1206</v>
      </c>
      <c r="AA2945" s="609" t="s">
        <v>5664</v>
      </c>
    </row>
    <row r="2946" spans="1:27" ht="18">
      <c r="A2946" s="2714"/>
      <c r="B2946" s="371">
        <v>109</v>
      </c>
      <c r="C2946" s="371"/>
      <c r="D2946" s="2716">
        <f t="shared" si="324"/>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4"/>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27">SUM(H2947:L2947,-M2947,-N2947)</f>
        <v>0</v>
      </c>
      <c r="P2947" s="292"/>
      <c r="S2947" s="364"/>
      <c r="Z2947" s="609" t="s">
        <v>1206</v>
      </c>
      <c r="AA2947" s="609" t="s">
        <v>5664</v>
      </c>
    </row>
    <row r="2948" spans="1:27" ht="18">
      <c r="A2948" s="2714"/>
      <c r="B2948" s="371">
        <v>109.002</v>
      </c>
      <c r="C2948" s="371" t="s">
        <v>2791</v>
      </c>
      <c r="D2948" s="2716">
        <f t="shared" si="324"/>
        <v>1</v>
      </c>
      <c r="E2948" s="2721" t="s">
        <v>486</v>
      </c>
      <c r="F2948" s="294"/>
      <c r="G2948" s="1484" t="str">
        <f>G$2934&amp;" "</f>
        <v xml:space="preserve">*林业2（在原值处修改清除） </v>
      </c>
      <c r="H2948" s="1476"/>
      <c r="I2948" s="1465">
        <v>0</v>
      </c>
      <c r="J2948" s="1465">
        <v>0</v>
      </c>
      <c r="K2948" s="309"/>
      <c r="L2948" s="1476"/>
      <c r="M2948" s="1476"/>
      <c r="N2948" s="1476"/>
      <c r="O2948" s="1477">
        <f t="shared" si="327"/>
        <v>0</v>
      </c>
      <c r="P2948" s="292"/>
      <c r="S2948" s="364"/>
      <c r="Z2948" s="609" t="s">
        <v>1206</v>
      </c>
      <c r="AA2948" s="609" t="s">
        <v>5664</v>
      </c>
    </row>
    <row r="2949" spans="1:27" ht="18">
      <c r="A2949" s="2714"/>
      <c r="B2949" s="371">
        <v>110</v>
      </c>
      <c r="C2949" s="371"/>
      <c r="D2949" s="2716">
        <f t="shared" si="324"/>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4"/>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28">SUM(H2950:L2950,-M2950,-N2950)</f>
        <v>0</v>
      </c>
      <c r="P2950" s="292"/>
      <c r="S2950" s="364"/>
      <c r="Z2950" s="609" t="s">
        <v>1206</v>
      </c>
      <c r="AA2950" s="609" t="s">
        <v>5664</v>
      </c>
    </row>
    <row r="2951" spans="1:27" ht="18">
      <c r="A2951" s="2714"/>
      <c r="B2951" s="371">
        <v>110.002</v>
      </c>
      <c r="C2951" s="371" t="s">
        <v>2791</v>
      </c>
      <c r="D2951" s="2716">
        <f t="shared" si="324"/>
        <v>1</v>
      </c>
      <c r="E2951" s="2721" t="s">
        <v>486</v>
      </c>
      <c r="F2951" s="294"/>
      <c r="G2951" s="1484" t="str">
        <f>G$2937&amp;" "</f>
        <v xml:space="preserve">*水产2（在原值处修改清除） </v>
      </c>
      <c r="H2951" s="1476"/>
      <c r="I2951" s="1465">
        <v>0</v>
      </c>
      <c r="J2951" s="1465">
        <v>0</v>
      </c>
      <c r="K2951" s="309"/>
      <c r="L2951" s="1476"/>
      <c r="M2951" s="1476"/>
      <c r="N2951" s="1476"/>
      <c r="O2951" s="1477">
        <f t="shared" si="328"/>
        <v>0</v>
      </c>
      <c r="P2951" s="292"/>
      <c r="S2951" s="364"/>
      <c r="Z2951" s="609" t="s">
        <v>1206</v>
      </c>
      <c r="AA2951" s="609" t="s">
        <v>5664</v>
      </c>
    </row>
    <row r="2952" spans="1:27" ht="18">
      <c r="A2952" s="2714"/>
      <c r="B2952" s="371">
        <v>110.999</v>
      </c>
      <c r="C2952" s="371" t="s">
        <v>2793</v>
      </c>
      <c r="D2952" s="2716">
        <f t="shared" si="324"/>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4"/>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4"/>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4"/>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29">SUM(H2955:L2955,-M2955,-N2955)</f>
        <v>0</v>
      </c>
      <c r="P2955" s="292"/>
      <c r="S2955" s="364"/>
      <c r="Z2955" s="609" t="s">
        <v>1206</v>
      </c>
      <c r="AA2955" s="609" t="s">
        <v>5664</v>
      </c>
    </row>
    <row r="2956" spans="1:27" ht="18">
      <c r="A2956" s="2714"/>
      <c r="B2956" s="371">
        <v>112.002</v>
      </c>
      <c r="C2956" s="371" t="s">
        <v>2791</v>
      </c>
      <c r="D2956" s="2716">
        <f t="shared" si="324"/>
        <v>1</v>
      </c>
      <c r="E2956" s="2721" t="s">
        <v>3097</v>
      </c>
      <c r="F2956" s="294"/>
      <c r="G2956" s="1484" t="str">
        <f>G$2928&amp;"  "</f>
        <v xml:space="preserve">*种植2（在原值处修改清除）  </v>
      </c>
      <c r="H2956" s="1476"/>
      <c r="I2956" s="1465">
        <v>0</v>
      </c>
      <c r="J2956" s="1465">
        <v>0</v>
      </c>
      <c r="K2956" s="309"/>
      <c r="L2956" s="1476"/>
      <c r="M2956" s="1476"/>
      <c r="N2956" s="1476"/>
      <c r="O2956" s="1477">
        <f t="shared" si="329"/>
        <v>0</v>
      </c>
      <c r="P2956" s="292"/>
      <c r="S2956" s="364"/>
      <c r="Z2956" s="609" t="s">
        <v>1206</v>
      </c>
      <c r="AA2956" s="609" t="s">
        <v>5664</v>
      </c>
    </row>
    <row r="2957" spans="1:27" ht="18">
      <c r="A2957" s="2714"/>
      <c r="B2957" s="371">
        <v>113</v>
      </c>
      <c r="C2957" s="371"/>
      <c r="D2957" s="2716">
        <f t="shared" ref="D2957:D2980" si="330">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0"/>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1">SUM(H2958:L2958,-M2958,-N2958)</f>
        <v>0</v>
      </c>
      <c r="P2958" s="292"/>
      <c r="S2958" s="364"/>
      <c r="Z2958" s="609" t="s">
        <v>1206</v>
      </c>
      <c r="AA2958" s="609" t="s">
        <v>5664</v>
      </c>
    </row>
    <row r="2959" spans="1:27" ht="18">
      <c r="A2959" s="2714"/>
      <c r="B2959" s="371">
        <v>113.002</v>
      </c>
      <c r="C2959" s="371" t="s">
        <v>2791</v>
      </c>
      <c r="D2959" s="2716">
        <f t="shared" si="330"/>
        <v>1</v>
      </c>
      <c r="E2959" s="2721" t="s">
        <v>3097</v>
      </c>
      <c r="F2959" s="294"/>
      <c r="G2959" s="1484" t="str">
        <f>G$2931&amp;"  "</f>
        <v xml:space="preserve">*畜牧2（在原值处修改清除）  </v>
      </c>
      <c r="H2959" s="1476"/>
      <c r="I2959" s="1465">
        <v>0</v>
      </c>
      <c r="J2959" s="1465">
        <v>0</v>
      </c>
      <c r="K2959" s="309"/>
      <c r="L2959" s="1476"/>
      <c r="M2959" s="1476"/>
      <c r="N2959" s="1476"/>
      <c r="O2959" s="1477">
        <f t="shared" si="331"/>
        <v>0</v>
      </c>
      <c r="P2959" s="292"/>
      <c r="S2959" s="364"/>
      <c r="Z2959" s="609" t="s">
        <v>1206</v>
      </c>
      <c r="AA2959" s="609" t="s">
        <v>5664</v>
      </c>
    </row>
    <row r="2960" spans="1:27" ht="18">
      <c r="A2960" s="2714"/>
      <c r="B2960" s="371">
        <v>114</v>
      </c>
      <c r="C2960" s="371"/>
      <c r="D2960" s="2716">
        <f t="shared" si="330"/>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0"/>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2">SUM(H2961:L2961,-M2961,-N2961)</f>
        <v>0</v>
      </c>
      <c r="P2961" s="292"/>
      <c r="S2961" s="364"/>
      <c r="Z2961" s="609" t="s">
        <v>1206</v>
      </c>
      <c r="AA2961" s="609" t="s">
        <v>5664</v>
      </c>
    </row>
    <row r="2962" spans="1:29" ht="18">
      <c r="A2962" s="2714"/>
      <c r="B2962" s="371">
        <v>114.002</v>
      </c>
      <c r="C2962" s="371" t="s">
        <v>2791</v>
      </c>
      <c r="D2962" s="2716">
        <f t="shared" si="330"/>
        <v>1</v>
      </c>
      <c r="E2962" s="2721" t="s">
        <v>3097</v>
      </c>
      <c r="F2962" s="294"/>
      <c r="G2962" s="1484" t="str">
        <f>G$2934&amp;"  "</f>
        <v xml:space="preserve">*林业2（在原值处修改清除）  </v>
      </c>
      <c r="H2962" s="1476"/>
      <c r="I2962" s="1465">
        <v>0</v>
      </c>
      <c r="J2962" s="1465">
        <v>0</v>
      </c>
      <c r="K2962" s="309"/>
      <c r="L2962" s="1476"/>
      <c r="M2962" s="1476"/>
      <c r="N2962" s="1476"/>
      <c r="O2962" s="1477">
        <f t="shared" si="332"/>
        <v>0</v>
      </c>
      <c r="P2962" s="292"/>
      <c r="S2962" s="364"/>
      <c r="Z2962" s="609" t="s">
        <v>1206</v>
      </c>
      <c r="AA2962" s="609" t="s">
        <v>5664</v>
      </c>
    </row>
    <row r="2963" spans="1:29" ht="18">
      <c r="A2963" s="2714"/>
      <c r="B2963" s="371">
        <v>115</v>
      </c>
      <c r="C2963" s="371"/>
      <c r="D2963" s="2716">
        <f t="shared" si="330"/>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0"/>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3">SUM(H2964:L2964,-M2964,-N2964)</f>
        <v>0</v>
      </c>
      <c r="P2964" s="292"/>
      <c r="S2964" s="364"/>
      <c r="Z2964" s="609" t="s">
        <v>1206</v>
      </c>
      <c r="AA2964" s="609" t="s">
        <v>5664</v>
      </c>
    </row>
    <row r="2965" spans="1:29" ht="18">
      <c r="A2965" s="2714"/>
      <c r="B2965" s="371">
        <v>115.002</v>
      </c>
      <c r="C2965" s="371" t="s">
        <v>2791</v>
      </c>
      <c r="D2965" s="2716">
        <f t="shared" si="330"/>
        <v>1</v>
      </c>
      <c r="E2965" s="2721" t="s">
        <v>3097</v>
      </c>
      <c r="F2965" s="294"/>
      <c r="G2965" s="1484" t="str">
        <f>G$2937&amp;"  "</f>
        <v xml:space="preserve">*水产2（在原值处修改清除）  </v>
      </c>
      <c r="H2965" s="1476"/>
      <c r="I2965" s="1465">
        <v>0</v>
      </c>
      <c r="J2965" s="1465">
        <v>0</v>
      </c>
      <c r="K2965" s="309"/>
      <c r="L2965" s="1476"/>
      <c r="M2965" s="1476"/>
      <c r="N2965" s="1476"/>
      <c r="O2965" s="1477">
        <f t="shared" si="333"/>
        <v>0</v>
      </c>
      <c r="P2965" s="292"/>
      <c r="S2965" s="364"/>
      <c r="Z2965" s="609" t="s">
        <v>1206</v>
      </c>
      <c r="AA2965" s="609" t="s">
        <v>5664</v>
      </c>
    </row>
    <row r="2966" spans="1:29" ht="18">
      <c r="A2966" s="2714"/>
      <c r="B2966" s="371">
        <v>115.999</v>
      </c>
      <c r="C2966" s="371" t="s">
        <v>2793</v>
      </c>
      <c r="D2966" s="2716">
        <f t="shared" si="330"/>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HYPERLINK("#'"&amp;$G$1&amp;"'!"&amp;ADDRESS(ROW(Notes!L4888),COLUMN(Notes!L4888),4),"*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0"/>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0"/>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0"/>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0"/>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0"/>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0"/>
        <v>1</v>
      </c>
      <c r="E2972" s="2721">
        <v>0</v>
      </c>
      <c r="F2972" s="294"/>
      <c r="G2972" s="1484" t="str">
        <f>G$2930&amp;"   "</f>
        <v xml:space="preserve">*畜牧1（在原值处修改清除）   </v>
      </c>
      <c r="H2972" s="1476">
        <f t="shared" ref="H2972:H2973" si="334">H2930-H2944-H2958</f>
        <v>0</v>
      </c>
      <c r="I2972" s="1465">
        <v>0</v>
      </c>
      <c r="J2972" s="1465">
        <v>0</v>
      </c>
      <c r="K2972" s="1465">
        <v>0</v>
      </c>
      <c r="L2972" s="1465">
        <v>0</v>
      </c>
      <c r="M2972" s="1465">
        <v>0</v>
      </c>
      <c r="N2972" s="1465">
        <v>0</v>
      </c>
      <c r="O2972" s="1477">
        <f t="shared" ref="O2972:O2973" si="335">O2930-O2944-O2958</f>
        <v>0</v>
      </c>
      <c r="P2972" s="292"/>
      <c r="S2972" s="364"/>
      <c r="Z2972" s="609" t="s">
        <v>1206</v>
      </c>
      <c r="AA2972" s="609" t="s">
        <v>5664</v>
      </c>
    </row>
    <row r="2973" spans="1:29" ht="18">
      <c r="A2973" s="2714"/>
      <c r="B2973" s="371">
        <v>122</v>
      </c>
      <c r="C2973" s="371" t="s">
        <v>2791</v>
      </c>
      <c r="D2973" s="2716">
        <f t="shared" si="330"/>
        <v>1</v>
      </c>
      <c r="E2973" s="2721">
        <v>0</v>
      </c>
      <c r="F2973" s="294"/>
      <c r="G2973" s="1484" t="str">
        <f>G$2931&amp;"   "</f>
        <v xml:space="preserve">*畜牧2（在原值处修改清除）   </v>
      </c>
      <c r="H2973" s="1476">
        <f t="shared" si="334"/>
        <v>0</v>
      </c>
      <c r="I2973" s="1465">
        <v>0</v>
      </c>
      <c r="J2973" s="1465">
        <v>0</v>
      </c>
      <c r="K2973" s="1465">
        <v>0</v>
      </c>
      <c r="L2973" s="1465">
        <v>0</v>
      </c>
      <c r="M2973" s="1465">
        <v>0</v>
      </c>
      <c r="N2973" s="1465">
        <v>0</v>
      </c>
      <c r="O2973" s="1477">
        <f t="shared" si="335"/>
        <v>0</v>
      </c>
      <c r="P2973" s="292"/>
      <c r="S2973" s="364"/>
      <c r="Z2973" s="609" t="s">
        <v>1206</v>
      </c>
      <c r="AA2973" s="609" t="s">
        <v>5664</v>
      </c>
    </row>
    <row r="2974" spans="1:29" ht="18">
      <c r="A2974" s="2714"/>
      <c r="B2974" s="371">
        <v>123</v>
      </c>
      <c r="C2974" s="371"/>
      <c r="D2974" s="2716">
        <f t="shared" si="330"/>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0"/>
        <v>1</v>
      </c>
      <c r="E2975" s="2721">
        <v>0</v>
      </c>
      <c r="F2975" s="294"/>
      <c r="G2975" s="1484" t="str">
        <f>G$2933&amp;"   "</f>
        <v xml:space="preserve">*林业1（在原值处修改清除）   </v>
      </c>
      <c r="H2975" s="1476">
        <f t="shared" ref="H2975:H2976" si="336">H2933-H2947-H2961</f>
        <v>0</v>
      </c>
      <c r="I2975" s="1465">
        <v>0</v>
      </c>
      <c r="J2975" s="1465">
        <v>0</v>
      </c>
      <c r="K2975" s="1465">
        <v>0</v>
      </c>
      <c r="L2975" s="1465">
        <v>0</v>
      </c>
      <c r="M2975" s="1465">
        <v>0</v>
      </c>
      <c r="N2975" s="1465">
        <v>0</v>
      </c>
      <c r="O2975" s="1477">
        <f t="shared" ref="O2975:O2976" si="337">O2933-O2947-O2961</f>
        <v>0</v>
      </c>
      <c r="P2975" s="292"/>
      <c r="S2975" s="364"/>
      <c r="Z2975" s="609" t="s">
        <v>1206</v>
      </c>
      <c r="AA2975" s="609" t="s">
        <v>5664</v>
      </c>
    </row>
    <row r="2976" spans="1:29" ht="18">
      <c r="A2976" s="2714"/>
      <c r="B2976" s="371">
        <v>125</v>
      </c>
      <c r="C2976" s="371" t="s">
        <v>2791</v>
      </c>
      <c r="D2976" s="2716">
        <f t="shared" si="330"/>
        <v>1</v>
      </c>
      <c r="E2976" s="2721">
        <v>0</v>
      </c>
      <c r="F2976" s="294"/>
      <c r="G2976" s="1484" t="str">
        <f>G$2934&amp;"   "</f>
        <v xml:space="preserve">*林业2（在原值处修改清除）   </v>
      </c>
      <c r="H2976" s="1476">
        <f t="shared" si="336"/>
        <v>0</v>
      </c>
      <c r="I2976" s="1465">
        <v>0</v>
      </c>
      <c r="J2976" s="1465">
        <v>0</v>
      </c>
      <c r="K2976" s="1465">
        <v>0</v>
      </c>
      <c r="L2976" s="1465">
        <v>0</v>
      </c>
      <c r="M2976" s="1465">
        <v>0</v>
      </c>
      <c r="N2976" s="1465">
        <v>0</v>
      </c>
      <c r="O2976" s="1477">
        <f t="shared" si="337"/>
        <v>0</v>
      </c>
      <c r="P2976" s="292"/>
      <c r="S2976" s="364"/>
      <c r="Z2976" s="609" t="s">
        <v>1206</v>
      </c>
      <c r="AA2976" s="609" t="s">
        <v>5664</v>
      </c>
    </row>
    <row r="2977" spans="1:27" ht="18">
      <c r="A2977" s="2714"/>
      <c r="B2977" s="371">
        <v>126</v>
      </c>
      <c r="C2977" s="371"/>
      <c r="D2977" s="2716">
        <f t="shared" si="330"/>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0"/>
        <v>1</v>
      </c>
      <c r="E2978" s="2721">
        <v>0</v>
      </c>
      <c r="F2978" s="294"/>
      <c r="G2978" s="1484" t="str">
        <f>G$2936&amp;"   "</f>
        <v xml:space="preserve">*水产1（在原值处修改清除）   </v>
      </c>
      <c r="H2978" s="1476">
        <f t="shared" ref="H2978:H2979" si="338">H2936-H2950-H2964</f>
        <v>0</v>
      </c>
      <c r="I2978" s="1465">
        <v>0</v>
      </c>
      <c r="J2978" s="1465">
        <v>0</v>
      </c>
      <c r="K2978" s="1465">
        <v>0</v>
      </c>
      <c r="L2978" s="1465">
        <v>0</v>
      </c>
      <c r="M2978" s="1465">
        <v>0</v>
      </c>
      <c r="N2978" s="1465">
        <v>0</v>
      </c>
      <c r="O2978" s="1477">
        <f t="shared" ref="O2978:O2979" si="339">O2936-O2950-O2964</f>
        <v>0</v>
      </c>
      <c r="P2978" s="292"/>
      <c r="S2978" s="364"/>
      <c r="Z2978" s="609" t="s">
        <v>1206</v>
      </c>
      <c r="AA2978" s="609" t="s">
        <v>5664</v>
      </c>
    </row>
    <row r="2979" spans="1:27" ht="18">
      <c r="A2979" s="2714"/>
      <c r="B2979" s="371">
        <v>128</v>
      </c>
      <c r="C2979" s="371" t="s">
        <v>2791</v>
      </c>
      <c r="D2979" s="2716">
        <f t="shared" si="330"/>
        <v>1</v>
      </c>
      <c r="E2979" s="2721">
        <v>0</v>
      </c>
      <c r="F2979" s="294"/>
      <c r="G2979" s="1484" t="str">
        <f>G$2937&amp;"   "</f>
        <v xml:space="preserve">*水产2（在原值处修改清除）   </v>
      </c>
      <c r="H2979" s="1476">
        <f t="shared" si="338"/>
        <v>0</v>
      </c>
      <c r="I2979" s="1465">
        <v>0</v>
      </c>
      <c r="J2979" s="1465">
        <v>0</v>
      </c>
      <c r="K2979" s="1465">
        <v>0</v>
      </c>
      <c r="L2979" s="1465">
        <v>0</v>
      </c>
      <c r="M2979" s="1465">
        <v>0</v>
      </c>
      <c r="N2979" s="1465">
        <v>0</v>
      </c>
      <c r="O2979" s="1477">
        <f t="shared" si="339"/>
        <v>0</v>
      </c>
      <c r="P2979" s="292"/>
      <c r="S2979" s="364"/>
      <c r="Z2979" s="609" t="s">
        <v>1206</v>
      </c>
      <c r="AA2979" s="609" t="s">
        <v>5664</v>
      </c>
    </row>
    <row r="2980" spans="1:27" ht="18.75" thickBot="1">
      <c r="A2980" s="2714"/>
      <c r="B2980" s="371"/>
      <c r="C2980" s="371"/>
      <c r="D2980" s="2716">
        <f t="shared" si="330"/>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261" t="s">
        <v>47</v>
      </c>
      <c r="H2985" s="3160" t="s">
        <v>3524</v>
      </c>
      <c r="I2985" s="3160" t="s">
        <v>3649</v>
      </c>
      <c r="J2985" s="3145"/>
      <c r="K2985" s="3145"/>
      <c r="L2985" s="3145"/>
      <c r="M2985" s="3160" t="s">
        <v>3699</v>
      </c>
      <c r="N2985" s="3145"/>
      <c r="O2985" s="3160" t="s">
        <v>3700</v>
      </c>
      <c r="P2985" s="3162" t="s">
        <v>2560</v>
      </c>
      <c r="Q2985" s="355" t="s">
        <v>5290</v>
      </c>
      <c r="S2985" s="364"/>
      <c r="Z2985" s="609" t="s">
        <v>1206</v>
      </c>
      <c r="AA2985" s="609" t="s">
        <v>5664</v>
      </c>
    </row>
    <row r="2986" spans="1:27" ht="18">
      <c r="A2986" s="2714"/>
      <c r="B2986" s="371"/>
      <c r="C2986" s="371"/>
      <c r="D2986" s="371"/>
      <c r="E2986" s="2716" t="s">
        <v>2749</v>
      </c>
      <c r="F2986" s="294"/>
      <c r="G2986" s="3262"/>
      <c r="H2986" s="3148"/>
      <c r="I2986" s="2318" t="s">
        <v>3701</v>
      </c>
      <c r="J2986" s="2319" t="s">
        <v>3702</v>
      </c>
      <c r="K2986" s="2318" t="s">
        <v>3703</v>
      </c>
      <c r="L2986" s="2318" t="s">
        <v>3704</v>
      </c>
      <c r="M2986" s="2318" t="s">
        <v>3596</v>
      </c>
      <c r="N2986" s="2318" t="s">
        <v>3705</v>
      </c>
      <c r="O2986" s="3200"/>
      <c r="P2986" s="3163"/>
      <c r="S2986" s="364"/>
      <c r="Z2986" s="609" t="s">
        <v>1206</v>
      </c>
      <c r="AA2986" s="609" t="s">
        <v>5664</v>
      </c>
    </row>
    <row r="2987" spans="1:27" ht="18">
      <c r="A2987" s="2714"/>
      <c r="B2987" s="371">
        <v>101</v>
      </c>
      <c r="C2987" s="371"/>
      <c r="D2987" s="2716">
        <f t="shared" ref="D2987:D3003" si="340">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0"/>
        <v>0</v>
      </c>
      <c r="E2988" s="2721" t="s">
        <v>3681</v>
      </c>
      <c r="F2988" s="294"/>
      <c r="G2988" s="384" t="s">
        <v>2792</v>
      </c>
      <c r="H2988" s="383"/>
      <c r="I2988" s="383"/>
      <c r="J2988" s="383"/>
      <c r="K2988" s="383"/>
      <c r="L2988" s="383"/>
      <c r="M2988" s="383"/>
      <c r="N2988" s="383"/>
      <c r="O2988" s="383"/>
      <c r="P2988" s="401">
        <f t="shared" ref="P2988:P3001" si="341">SUM(H2988:L2988,-M2988,-N2988,O2988)</f>
        <v>0</v>
      </c>
      <c r="S2988" s="364"/>
      <c r="Z2988" s="609" t="s">
        <v>1206</v>
      </c>
      <c r="AA2988" s="609" t="s">
        <v>5664</v>
      </c>
    </row>
    <row r="2989" spans="1:27" ht="18">
      <c r="A2989" s="2714"/>
      <c r="B2989" s="371">
        <v>101.002</v>
      </c>
      <c r="C2989" s="371" t="s">
        <v>2791</v>
      </c>
      <c r="D2989" s="2716">
        <f t="shared" si="340"/>
        <v>0</v>
      </c>
      <c r="E2989" s="2721" t="s">
        <v>3681</v>
      </c>
      <c r="F2989" s="294"/>
      <c r="G2989" s="384" t="s">
        <v>2792</v>
      </c>
      <c r="H2989" s="383"/>
      <c r="I2989" s="383"/>
      <c r="J2989" s="383"/>
      <c r="K2989" s="383"/>
      <c r="L2989" s="383"/>
      <c r="M2989" s="383"/>
      <c r="N2989" s="383"/>
      <c r="O2989" s="383"/>
      <c r="P2989" s="401">
        <f t="shared" si="341"/>
        <v>0</v>
      </c>
      <c r="S2989" s="364"/>
      <c r="Z2989" s="609" t="s">
        <v>1206</v>
      </c>
      <c r="AA2989" s="609" t="s">
        <v>5664</v>
      </c>
    </row>
    <row r="2990" spans="1:27" ht="18">
      <c r="A2990" s="2714"/>
      <c r="B2990" s="371">
        <v>101.999</v>
      </c>
      <c r="C2990" s="371" t="s">
        <v>2793</v>
      </c>
      <c r="D2990" s="2716">
        <f t="shared" si="340"/>
        <v>1</v>
      </c>
      <c r="E2990" s="2721">
        <v>1</v>
      </c>
      <c r="F2990" s="294"/>
      <c r="G2990" s="382" t="s">
        <v>3681</v>
      </c>
      <c r="H2990" s="386">
        <f t="shared" ref="H2990:P2990" si="342">SUMIF($E$2986:$E$3002,$G2990,H$2986:H$3002)</f>
        <v>0</v>
      </c>
      <c r="I2990" s="386">
        <f t="shared" si="342"/>
        <v>0</v>
      </c>
      <c r="J2990" s="386">
        <f t="shared" si="342"/>
        <v>0</v>
      </c>
      <c r="K2990" s="386">
        <f t="shared" si="342"/>
        <v>0</v>
      </c>
      <c r="L2990" s="386">
        <f t="shared" si="342"/>
        <v>0</v>
      </c>
      <c r="M2990" s="386">
        <f t="shared" si="342"/>
        <v>0</v>
      </c>
      <c r="N2990" s="386">
        <f t="shared" si="342"/>
        <v>0</v>
      </c>
      <c r="O2990" s="386">
        <f t="shared" si="342"/>
        <v>0</v>
      </c>
      <c r="P2990" s="402">
        <f t="shared" si="342"/>
        <v>0</v>
      </c>
      <c r="S2990" s="364"/>
      <c r="Z2990" s="609" t="s">
        <v>1206</v>
      </c>
      <c r="AA2990" s="609" t="s">
        <v>5664</v>
      </c>
    </row>
    <row r="2991" spans="1:27" ht="18">
      <c r="A2991" s="2714"/>
      <c r="B2991" s="371">
        <v>102</v>
      </c>
      <c r="C2991" s="371"/>
      <c r="D2991" s="2716">
        <f t="shared" si="340"/>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0"/>
        <v>0</v>
      </c>
      <c r="E2992" s="2721" t="s">
        <v>3683</v>
      </c>
      <c r="F2992" s="294"/>
      <c r="G2992" s="384" t="s">
        <v>2792</v>
      </c>
      <c r="H2992" s="383"/>
      <c r="I2992" s="383"/>
      <c r="J2992" s="383"/>
      <c r="K2992" s="383"/>
      <c r="L2992" s="383"/>
      <c r="M2992" s="383"/>
      <c r="N2992" s="383"/>
      <c r="O2992" s="383"/>
      <c r="P2992" s="401">
        <f t="shared" si="341"/>
        <v>0</v>
      </c>
      <c r="S2992" s="364"/>
      <c r="Z2992" s="609" t="s">
        <v>1206</v>
      </c>
      <c r="AA2992" s="609" t="s">
        <v>5664</v>
      </c>
    </row>
    <row r="2993" spans="1:27" ht="18">
      <c r="A2993" s="2714"/>
      <c r="B2993" s="371">
        <v>102.002</v>
      </c>
      <c r="C2993" s="371" t="s">
        <v>2791</v>
      </c>
      <c r="D2993" s="2716">
        <f t="shared" si="340"/>
        <v>0</v>
      </c>
      <c r="E2993" s="2721" t="s">
        <v>3683</v>
      </c>
      <c r="F2993" s="294"/>
      <c r="G2993" s="384" t="s">
        <v>2792</v>
      </c>
      <c r="H2993" s="383"/>
      <c r="I2993" s="383"/>
      <c r="J2993" s="383"/>
      <c r="K2993" s="383"/>
      <c r="L2993" s="383"/>
      <c r="M2993" s="383"/>
      <c r="N2993" s="383"/>
      <c r="O2993" s="383"/>
      <c r="P2993" s="401">
        <f t="shared" si="341"/>
        <v>0</v>
      </c>
      <c r="S2993" s="364"/>
      <c r="Z2993" s="609" t="s">
        <v>1206</v>
      </c>
      <c r="AA2993" s="609" t="s">
        <v>5664</v>
      </c>
    </row>
    <row r="2994" spans="1:27" ht="18">
      <c r="A2994" s="2714"/>
      <c r="B2994" s="371">
        <v>102.999</v>
      </c>
      <c r="C2994" s="371" t="s">
        <v>2793</v>
      </c>
      <c r="D2994" s="2716">
        <f t="shared" si="340"/>
        <v>1</v>
      </c>
      <c r="E2994" s="2721">
        <v>1</v>
      </c>
      <c r="F2994" s="294"/>
      <c r="G2994" s="382" t="s">
        <v>3683</v>
      </c>
      <c r="H2994" s="386">
        <f t="shared" ref="H2994:P2994" si="343">SUMIF($E$2986:$E$3002,$G2994,H$2986:H$3002)</f>
        <v>0</v>
      </c>
      <c r="I2994" s="386">
        <f t="shared" si="343"/>
        <v>0</v>
      </c>
      <c r="J2994" s="386">
        <f t="shared" si="343"/>
        <v>0</v>
      </c>
      <c r="K2994" s="386">
        <f t="shared" si="343"/>
        <v>0</v>
      </c>
      <c r="L2994" s="386">
        <f t="shared" si="343"/>
        <v>0</v>
      </c>
      <c r="M2994" s="386">
        <f t="shared" si="343"/>
        <v>0</v>
      </c>
      <c r="N2994" s="386">
        <f t="shared" si="343"/>
        <v>0</v>
      </c>
      <c r="O2994" s="386">
        <f t="shared" si="343"/>
        <v>0</v>
      </c>
      <c r="P2994" s="402">
        <f t="shared" si="343"/>
        <v>0</v>
      </c>
      <c r="S2994" s="364"/>
      <c r="Z2994" s="609" t="s">
        <v>1206</v>
      </c>
      <c r="AA2994" s="609" t="s">
        <v>5664</v>
      </c>
    </row>
    <row r="2995" spans="1:27" ht="18">
      <c r="A2995" s="2714"/>
      <c r="B2995" s="371">
        <v>103</v>
      </c>
      <c r="C2995" s="371"/>
      <c r="D2995" s="2716">
        <f t="shared" si="340"/>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0"/>
        <v>0</v>
      </c>
      <c r="E2996" s="2721" t="s">
        <v>3685</v>
      </c>
      <c r="F2996" s="294"/>
      <c r="G2996" s="384" t="s">
        <v>2792</v>
      </c>
      <c r="H2996" s="383"/>
      <c r="I2996" s="383"/>
      <c r="J2996" s="383"/>
      <c r="K2996" s="383"/>
      <c r="L2996" s="383"/>
      <c r="M2996" s="383"/>
      <c r="N2996" s="383"/>
      <c r="O2996" s="383"/>
      <c r="P2996" s="401">
        <f t="shared" si="341"/>
        <v>0</v>
      </c>
      <c r="S2996" s="364"/>
      <c r="Z2996" s="609" t="s">
        <v>1206</v>
      </c>
      <c r="AA2996" s="609" t="s">
        <v>5664</v>
      </c>
    </row>
    <row r="2997" spans="1:27" ht="18">
      <c r="A2997" s="2714"/>
      <c r="B2997" s="371">
        <v>103.002</v>
      </c>
      <c r="C2997" s="371" t="s">
        <v>2791</v>
      </c>
      <c r="D2997" s="2716">
        <f t="shared" si="340"/>
        <v>0</v>
      </c>
      <c r="E2997" s="2721" t="s">
        <v>3685</v>
      </c>
      <c r="F2997" s="294"/>
      <c r="G2997" s="384" t="s">
        <v>2792</v>
      </c>
      <c r="H2997" s="383"/>
      <c r="I2997" s="383"/>
      <c r="J2997" s="383"/>
      <c r="K2997" s="383"/>
      <c r="L2997" s="383"/>
      <c r="M2997" s="383"/>
      <c r="N2997" s="383"/>
      <c r="O2997" s="383"/>
      <c r="P2997" s="401">
        <f t="shared" si="341"/>
        <v>0</v>
      </c>
      <c r="S2997" s="364"/>
      <c r="Z2997" s="609" t="s">
        <v>1206</v>
      </c>
      <c r="AA2997" s="609" t="s">
        <v>5664</v>
      </c>
    </row>
    <row r="2998" spans="1:27" ht="18">
      <c r="A2998" s="2714"/>
      <c r="B2998" s="371">
        <v>103.999</v>
      </c>
      <c r="C2998" s="371" t="s">
        <v>2793</v>
      </c>
      <c r="D2998" s="2716">
        <f t="shared" si="340"/>
        <v>1</v>
      </c>
      <c r="E2998" s="2721">
        <v>1</v>
      </c>
      <c r="F2998" s="294"/>
      <c r="G2998" s="382" t="s">
        <v>3685</v>
      </c>
      <c r="H2998" s="386">
        <f t="shared" ref="H2998:P2998" si="344">SUMIF($E$2986:$E$3002,$G2998,H$2986:H$3002)</f>
        <v>0</v>
      </c>
      <c r="I2998" s="386">
        <f t="shared" si="344"/>
        <v>0</v>
      </c>
      <c r="J2998" s="386">
        <f t="shared" si="344"/>
        <v>0</v>
      </c>
      <c r="K2998" s="386">
        <f t="shared" si="344"/>
        <v>0</v>
      </c>
      <c r="L2998" s="386">
        <f t="shared" si="344"/>
        <v>0</v>
      </c>
      <c r="M2998" s="386">
        <f t="shared" si="344"/>
        <v>0</v>
      </c>
      <c r="N2998" s="386">
        <f t="shared" si="344"/>
        <v>0</v>
      </c>
      <c r="O2998" s="386">
        <f t="shared" si="344"/>
        <v>0</v>
      </c>
      <c r="P2998" s="402">
        <f t="shared" si="344"/>
        <v>0</v>
      </c>
      <c r="S2998" s="364"/>
      <c r="Z2998" s="609" t="s">
        <v>1206</v>
      </c>
      <c r="AA2998" s="609" t="s">
        <v>5664</v>
      </c>
    </row>
    <row r="2999" spans="1:27" ht="18">
      <c r="A2999" s="2714"/>
      <c r="B2999" s="371">
        <v>104</v>
      </c>
      <c r="C2999" s="371"/>
      <c r="D2999" s="2716">
        <f t="shared" si="340"/>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0"/>
        <v>0</v>
      </c>
      <c r="E3000" s="2721" t="s">
        <v>3687</v>
      </c>
      <c r="F3000" s="294"/>
      <c r="G3000" s="384" t="s">
        <v>2792</v>
      </c>
      <c r="H3000" s="383"/>
      <c r="I3000" s="383"/>
      <c r="J3000" s="383"/>
      <c r="K3000" s="383"/>
      <c r="L3000" s="383"/>
      <c r="M3000" s="383"/>
      <c r="N3000" s="383"/>
      <c r="O3000" s="383"/>
      <c r="P3000" s="401">
        <f t="shared" si="341"/>
        <v>0</v>
      </c>
      <c r="S3000" s="364"/>
      <c r="Z3000" s="609" t="s">
        <v>1206</v>
      </c>
      <c r="AA3000" s="609" t="s">
        <v>5664</v>
      </c>
    </row>
    <row r="3001" spans="1:27" ht="18">
      <c r="A3001" s="2714"/>
      <c r="B3001" s="371">
        <v>104.002</v>
      </c>
      <c r="C3001" s="371" t="s">
        <v>2791</v>
      </c>
      <c r="D3001" s="2716">
        <f t="shared" si="340"/>
        <v>0</v>
      </c>
      <c r="E3001" s="2721" t="s">
        <v>3687</v>
      </c>
      <c r="F3001" s="294"/>
      <c r="G3001" s="384" t="s">
        <v>2792</v>
      </c>
      <c r="H3001" s="383"/>
      <c r="I3001" s="383"/>
      <c r="J3001" s="383"/>
      <c r="K3001" s="383"/>
      <c r="L3001" s="383"/>
      <c r="M3001" s="383"/>
      <c r="N3001" s="383"/>
      <c r="O3001" s="383"/>
      <c r="P3001" s="401">
        <f t="shared" si="341"/>
        <v>0</v>
      </c>
      <c r="S3001" s="364"/>
      <c r="Z3001" s="609" t="s">
        <v>1206</v>
      </c>
      <c r="AA3001" s="609" t="s">
        <v>5664</v>
      </c>
    </row>
    <row r="3002" spans="1:27" ht="18">
      <c r="A3002" s="2714"/>
      <c r="B3002" s="371">
        <v>104.999</v>
      </c>
      <c r="C3002" s="371" t="s">
        <v>2793</v>
      </c>
      <c r="D3002" s="2716">
        <f t="shared" si="340"/>
        <v>1</v>
      </c>
      <c r="E3002" s="2721">
        <v>1</v>
      </c>
      <c r="F3002" s="294"/>
      <c r="G3002" s="382" t="s">
        <v>3687</v>
      </c>
      <c r="H3002" s="386">
        <f t="shared" ref="H3002:P3002" si="345">SUMIF($E$2986:$E$3002,$G3002,H$2986:H$3002)</f>
        <v>0</v>
      </c>
      <c r="I3002" s="386">
        <f t="shared" si="345"/>
        <v>0</v>
      </c>
      <c r="J3002" s="386">
        <f t="shared" si="345"/>
        <v>0</v>
      </c>
      <c r="K3002" s="386">
        <f t="shared" si="345"/>
        <v>0</v>
      </c>
      <c r="L3002" s="386">
        <f t="shared" si="345"/>
        <v>0</v>
      </c>
      <c r="M3002" s="386">
        <f t="shared" si="345"/>
        <v>0</v>
      </c>
      <c r="N3002" s="386">
        <f t="shared" si="345"/>
        <v>0</v>
      </c>
      <c r="O3002" s="386">
        <f t="shared" si="345"/>
        <v>0</v>
      </c>
      <c r="P3002" s="402">
        <f t="shared" si="345"/>
        <v>0</v>
      </c>
      <c r="S3002" s="364"/>
      <c r="Z3002" s="609" t="s">
        <v>1206</v>
      </c>
      <c r="AA3002" s="609" t="s">
        <v>5664</v>
      </c>
    </row>
    <row r="3003" spans="1:27" ht="18.75" thickBot="1">
      <c r="A3003" s="2714"/>
      <c r="B3003" s="371"/>
      <c r="C3003" s="371"/>
      <c r="D3003" s="2716">
        <f t="shared" si="340"/>
        <v>1</v>
      </c>
      <c r="E3003" s="2721" t="s">
        <v>2751</v>
      </c>
      <c r="F3003" s="294"/>
      <c r="G3003" s="2330" t="s">
        <v>5489</v>
      </c>
      <c r="H3003" s="2331">
        <f t="shared" ref="H3003:P3003" si="346">SUMPRODUCT($E2986:$E3002,H2986:H3002)</f>
        <v>0</v>
      </c>
      <c r="I3003" s="2331">
        <f t="shared" si="346"/>
        <v>0</v>
      </c>
      <c r="J3003" s="2331">
        <f t="shared" si="346"/>
        <v>0</v>
      </c>
      <c r="K3003" s="2331">
        <f t="shared" si="346"/>
        <v>0</v>
      </c>
      <c r="L3003" s="2331">
        <f t="shared" si="346"/>
        <v>0</v>
      </c>
      <c r="M3003" s="2331">
        <f t="shared" si="346"/>
        <v>0</v>
      </c>
      <c r="N3003" s="2331">
        <f t="shared" si="346"/>
        <v>0</v>
      </c>
      <c r="O3003" s="2331">
        <f t="shared" si="346"/>
        <v>0</v>
      </c>
      <c r="P3003" s="2332">
        <f t="shared" si="346"/>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47">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47"/>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47"/>
        <v>1</v>
      </c>
      <c r="E3011" s="2721">
        <v>1</v>
      </c>
      <c r="F3011" s="293"/>
      <c r="G3011" s="308" t="s">
        <v>3545</v>
      </c>
      <c r="H3011" s="1476">
        <f>SUM(H3012:H3014)</f>
        <v>0</v>
      </c>
      <c r="I3011" s="1476">
        <f t="shared" ref="I3011:L3011" si="348">SUM(I3012:I3014)</f>
        <v>0</v>
      </c>
      <c r="J3011" s="1476">
        <f t="shared" si="348"/>
        <v>0</v>
      </c>
      <c r="K3011" s="1476">
        <f t="shared" si="348"/>
        <v>0</v>
      </c>
      <c r="L3011" s="1477">
        <f t="shared" si="348"/>
        <v>0</v>
      </c>
      <c r="M3011" s="438"/>
      <c r="N3011" s="439"/>
      <c r="O3011" s="437"/>
      <c r="P3011" s="438"/>
      <c r="Q3011" s="442"/>
      <c r="R3011" s="443"/>
      <c r="S3011" s="364"/>
      <c r="Z3011" s="609" t="s">
        <v>1235</v>
      </c>
      <c r="AA3011" s="609" t="s">
        <v>3706</v>
      </c>
    </row>
    <row r="3012" spans="1:27" ht="18">
      <c r="A3012" s="2714"/>
      <c r="B3012" s="371">
        <v>104</v>
      </c>
      <c r="C3012" s="371"/>
      <c r="D3012" s="2716">
        <f t="shared" si="347"/>
        <v>1</v>
      </c>
      <c r="E3012" s="2721">
        <v>1</v>
      </c>
      <c r="F3012" s="293"/>
      <c r="G3012" s="308" t="s">
        <v>5151</v>
      </c>
      <c r="H3012" s="309"/>
      <c r="I3012" s="422"/>
      <c r="J3012" s="309"/>
      <c r="K3012" s="320"/>
      <c r="L3012" s="1477">
        <f t="shared" ref="L3012:L3035" si="349">SUM(H3012:K3012)</f>
        <v>0</v>
      </c>
      <c r="M3012" s="438"/>
      <c r="N3012" s="439"/>
      <c r="O3012" s="437"/>
      <c r="P3012" s="438"/>
      <c r="Q3012" s="442"/>
      <c r="R3012" s="443"/>
      <c r="S3012" s="364"/>
      <c r="Z3012" s="609" t="s">
        <v>1235</v>
      </c>
      <c r="AA3012" s="609" t="s">
        <v>3706</v>
      </c>
    </row>
    <row r="3013" spans="1:27" ht="18">
      <c r="A3013" s="2714"/>
      <c r="B3013" s="371">
        <v>105</v>
      </c>
      <c r="C3013" s="371"/>
      <c r="D3013" s="2716">
        <f t="shared" si="347"/>
        <v>1</v>
      </c>
      <c r="E3013" s="2721">
        <v>1</v>
      </c>
      <c r="F3013" s="293"/>
      <c r="G3013" s="308" t="s">
        <v>3711</v>
      </c>
      <c r="H3013" s="309"/>
      <c r="I3013" s="422"/>
      <c r="J3013" s="309"/>
      <c r="K3013" s="320"/>
      <c r="L3013" s="1477">
        <f t="shared" si="349"/>
        <v>0</v>
      </c>
      <c r="M3013" s="438"/>
      <c r="N3013" s="439"/>
      <c r="O3013" s="437"/>
      <c r="P3013" s="438"/>
      <c r="Q3013" s="442"/>
      <c r="R3013" s="443"/>
      <c r="S3013" s="364"/>
      <c r="Z3013" s="609" t="s">
        <v>1235</v>
      </c>
      <c r="AA3013" s="609" t="s">
        <v>3706</v>
      </c>
    </row>
    <row r="3014" spans="1:27" ht="18">
      <c r="A3014" s="2714"/>
      <c r="B3014" s="371">
        <v>106</v>
      </c>
      <c r="C3014" s="371" t="s">
        <v>2791</v>
      </c>
      <c r="D3014" s="2716">
        <f t="shared" si="347"/>
        <v>0</v>
      </c>
      <c r="E3014" s="2721">
        <v>1</v>
      </c>
      <c r="F3014" s="293"/>
      <c r="G3014" s="1472" t="s">
        <v>2792</v>
      </c>
      <c r="H3014" s="309"/>
      <c r="I3014" s="422"/>
      <c r="J3014" s="309"/>
      <c r="K3014" s="320"/>
      <c r="L3014" s="1477">
        <f t="shared" si="349"/>
        <v>0</v>
      </c>
      <c r="M3014" s="438"/>
      <c r="N3014" s="439"/>
      <c r="O3014" s="437"/>
      <c r="P3014" s="438"/>
      <c r="Q3014" s="442"/>
      <c r="R3014" s="443"/>
      <c r="S3014" s="364"/>
      <c r="Z3014" s="609" t="s">
        <v>1235</v>
      </c>
      <c r="AA3014" s="609" t="s">
        <v>3706</v>
      </c>
    </row>
    <row r="3015" spans="1:27" ht="18">
      <c r="A3015" s="2714"/>
      <c r="B3015" s="371">
        <v>107</v>
      </c>
      <c r="C3015" s="371"/>
      <c r="D3015" s="2716">
        <f t="shared" si="347"/>
        <v>1</v>
      </c>
      <c r="E3015" s="2721">
        <v>1</v>
      </c>
      <c r="F3015" s="293"/>
      <c r="G3015" s="308" t="s">
        <v>3548</v>
      </c>
      <c r="H3015" s="1476">
        <f>SUM(H3016:H3017)</f>
        <v>0</v>
      </c>
      <c r="I3015" s="1476">
        <f t="shared" ref="I3015:L3015" si="350">SUM(I3016:I3017)</f>
        <v>0</v>
      </c>
      <c r="J3015" s="1476">
        <f t="shared" si="350"/>
        <v>0</v>
      </c>
      <c r="K3015" s="1476">
        <f t="shared" si="350"/>
        <v>0</v>
      </c>
      <c r="L3015" s="1477">
        <f t="shared" si="350"/>
        <v>0</v>
      </c>
      <c r="M3015" s="438"/>
      <c r="N3015" s="439"/>
      <c r="O3015" s="437"/>
      <c r="P3015" s="438"/>
      <c r="Q3015" s="442"/>
      <c r="R3015" s="443"/>
      <c r="S3015" s="364"/>
      <c r="Z3015" s="609" t="s">
        <v>1235</v>
      </c>
      <c r="AA3015" s="609" t="s">
        <v>3706</v>
      </c>
    </row>
    <row r="3016" spans="1:27" ht="18">
      <c r="A3016" s="2714"/>
      <c r="B3016" s="371">
        <v>108</v>
      </c>
      <c r="C3016" s="371"/>
      <c r="D3016" s="2716">
        <f t="shared" si="347"/>
        <v>1</v>
      </c>
      <c r="E3016" s="2721">
        <v>1</v>
      </c>
      <c r="F3016" s="293"/>
      <c r="G3016" s="308" t="s">
        <v>5152</v>
      </c>
      <c r="H3016" s="309"/>
      <c r="I3016" s="422"/>
      <c r="J3016" s="309"/>
      <c r="K3016" s="320"/>
      <c r="L3016" s="1477">
        <f t="shared" si="349"/>
        <v>0</v>
      </c>
      <c r="M3016" s="438"/>
      <c r="N3016" s="439"/>
      <c r="O3016" s="437"/>
      <c r="P3016" s="438"/>
      <c r="Q3016" s="442"/>
      <c r="R3016" s="443"/>
      <c r="S3016" s="364"/>
      <c r="Z3016" s="609" t="s">
        <v>1235</v>
      </c>
      <c r="AA3016" s="609" t="s">
        <v>3706</v>
      </c>
    </row>
    <row r="3017" spans="1:27" ht="18">
      <c r="A3017" s="2714"/>
      <c r="B3017" s="371">
        <v>109</v>
      </c>
      <c r="C3017" s="371" t="s">
        <v>2791</v>
      </c>
      <c r="D3017" s="2716">
        <f t="shared" si="347"/>
        <v>0</v>
      </c>
      <c r="E3017" s="2721">
        <v>1</v>
      </c>
      <c r="F3017" s="293"/>
      <c r="G3017" s="1472" t="s">
        <v>2792</v>
      </c>
      <c r="H3017" s="309"/>
      <c r="I3017" s="422"/>
      <c r="J3017" s="309"/>
      <c r="K3017" s="320"/>
      <c r="L3017" s="1477">
        <f t="shared" si="349"/>
        <v>0</v>
      </c>
      <c r="M3017" s="438"/>
      <c r="N3017" s="439"/>
      <c r="O3017" s="437"/>
      <c r="P3017" s="438"/>
      <c r="Q3017" s="442"/>
      <c r="R3017" s="443"/>
      <c r="S3017" s="364"/>
      <c r="Z3017" s="609" t="s">
        <v>1235</v>
      </c>
      <c r="AA3017" s="609" t="s">
        <v>3706</v>
      </c>
    </row>
    <row r="3018" spans="1:27" ht="18">
      <c r="A3018" s="2714"/>
      <c r="B3018" s="371">
        <v>110</v>
      </c>
      <c r="C3018" s="371"/>
      <c r="D3018" s="2716">
        <f t="shared" si="347"/>
        <v>1</v>
      </c>
      <c r="E3018" s="2721">
        <v>1</v>
      </c>
      <c r="F3018" s="293"/>
      <c r="G3018" s="308" t="str">
        <f>"4."&amp;$W$2&amp;"  "</f>
        <v xml:space="preserve">4.2019年12月31日  </v>
      </c>
      <c r="H3018" s="1476">
        <f>SUM(H3010:H3011,-H3015)</f>
        <v>0</v>
      </c>
      <c r="I3018" s="1476">
        <f t="shared" ref="I3018:L3018" si="351">SUM(I3010:I3011,-I3015)</f>
        <v>0</v>
      </c>
      <c r="J3018" s="1476">
        <f t="shared" si="351"/>
        <v>0</v>
      </c>
      <c r="K3018" s="1476">
        <f t="shared" si="351"/>
        <v>0</v>
      </c>
      <c r="L3018" s="1477">
        <f t="shared" si="351"/>
        <v>0</v>
      </c>
      <c r="M3018" s="438"/>
      <c r="N3018" s="439"/>
      <c r="O3018" s="437"/>
      <c r="P3018" s="438"/>
      <c r="Q3018" s="442"/>
      <c r="R3018" s="443"/>
      <c r="S3018" s="364"/>
      <c r="Z3018" s="609" t="s">
        <v>1235</v>
      </c>
      <c r="AA3018" s="609" t="s">
        <v>3706</v>
      </c>
    </row>
    <row r="3019" spans="1:27" ht="18">
      <c r="A3019" s="2714"/>
      <c r="B3019" s="371">
        <v>111</v>
      </c>
      <c r="C3019" s="371"/>
      <c r="D3019" s="2716">
        <f t="shared" si="347"/>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47"/>
        <v>1</v>
      </c>
      <c r="E3020" s="2721">
        <v>1</v>
      </c>
      <c r="F3020" s="293"/>
      <c r="G3020" s="308" t="str">
        <f>"1."&amp;$W$3&amp;"   "</f>
        <v xml:space="preserve">1.2018年12月31日   </v>
      </c>
      <c r="H3020" s="309"/>
      <c r="I3020" s="422"/>
      <c r="J3020" s="309"/>
      <c r="K3020" s="320"/>
      <c r="L3020" s="1477">
        <f t="shared" si="349"/>
        <v>0</v>
      </c>
      <c r="M3020" s="438"/>
      <c r="N3020" s="439"/>
      <c r="O3020" s="437"/>
      <c r="P3020" s="438"/>
      <c r="Q3020" s="442"/>
      <c r="R3020" s="443"/>
      <c r="S3020" s="364"/>
      <c r="Z3020" s="609" t="s">
        <v>1235</v>
      </c>
      <c r="AA3020" s="609" t="s">
        <v>3706</v>
      </c>
    </row>
    <row r="3021" spans="1:27" ht="18">
      <c r="A3021" s="2714"/>
      <c r="B3021" s="371">
        <v>113</v>
      </c>
      <c r="C3021" s="371"/>
      <c r="D3021" s="2716">
        <f t="shared" si="347"/>
        <v>1</v>
      </c>
      <c r="E3021" s="2721">
        <v>1</v>
      </c>
      <c r="F3021" s="293"/>
      <c r="G3021" s="308" t="s">
        <v>3552</v>
      </c>
      <c r="H3021" s="1476">
        <f>SUM(H3022:H3023)</f>
        <v>0</v>
      </c>
      <c r="I3021" s="1476">
        <f t="shared" ref="I3021:L3021" si="352">SUM(I3022:I3023)</f>
        <v>0</v>
      </c>
      <c r="J3021" s="1476">
        <f t="shared" si="352"/>
        <v>0</v>
      </c>
      <c r="K3021" s="1476">
        <f t="shared" si="352"/>
        <v>0</v>
      </c>
      <c r="L3021" s="1477">
        <f t="shared" si="352"/>
        <v>0</v>
      </c>
      <c r="M3021" s="438"/>
      <c r="N3021" s="439"/>
      <c r="O3021" s="437"/>
      <c r="P3021" s="438"/>
      <c r="Q3021" s="442"/>
      <c r="R3021" s="443"/>
      <c r="S3021" s="364"/>
      <c r="Z3021" s="609" t="s">
        <v>1235</v>
      </c>
      <c r="AA3021" s="609" t="s">
        <v>3706</v>
      </c>
    </row>
    <row r="3022" spans="1:27" ht="18">
      <c r="A3022" s="2714"/>
      <c r="B3022" s="371">
        <v>114</v>
      </c>
      <c r="C3022" s="371"/>
      <c r="D3022" s="2716">
        <f t="shared" si="347"/>
        <v>1</v>
      </c>
      <c r="E3022" s="2721">
        <v>1</v>
      </c>
      <c r="F3022" s="293"/>
      <c r="G3022" s="308" t="s">
        <v>5153</v>
      </c>
      <c r="H3022" s="309"/>
      <c r="I3022" s="422"/>
      <c r="J3022" s="309"/>
      <c r="K3022" s="320"/>
      <c r="L3022" s="1477">
        <f t="shared" si="349"/>
        <v>0</v>
      </c>
      <c r="M3022" s="438"/>
      <c r="N3022" s="439"/>
      <c r="O3022" s="437"/>
      <c r="P3022" s="438"/>
      <c r="Q3022" s="442"/>
      <c r="R3022" s="443"/>
      <c r="S3022" s="364"/>
      <c r="Z3022" s="609" t="s">
        <v>1235</v>
      </c>
      <c r="AA3022" s="609" t="s">
        <v>3706</v>
      </c>
    </row>
    <row r="3023" spans="1:27" ht="18">
      <c r="A3023" s="2714"/>
      <c r="B3023" s="371">
        <v>115</v>
      </c>
      <c r="C3023" s="371" t="s">
        <v>2791</v>
      </c>
      <c r="D3023" s="2716">
        <f t="shared" si="347"/>
        <v>0</v>
      </c>
      <c r="E3023" s="2721">
        <v>1</v>
      </c>
      <c r="F3023" s="293"/>
      <c r="G3023" s="1472" t="s">
        <v>2792</v>
      </c>
      <c r="H3023" s="309"/>
      <c r="I3023" s="422"/>
      <c r="J3023" s="309"/>
      <c r="K3023" s="320"/>
      <c r="L3023" s="1477">
        <f t="shared" si="349"/>
        <v>0</v>
      </c>
      <c r="M3023" s="438"/>
      <c r="N3023" s="439"/>
      <c r="O3023" s="437"/>
      <c r="P3023" s="438"/>
      <c r="Q3023" s="442"/>
      <c r="R3023" s="443"/>
      <c r="S3023" s="364"/>
      <c r="Z3023" s="609" t="s">
        <v>1235</v>
      </c>
      <c r="AA3023" s="609" t="s">
        <v>3706</v>
      </c>
    </row>
    <row r="3024" spans="1:27" ht="18">
      <c r="A3024" s="2714"/>
      <c r="B3024" s="371">
        <v>116</v>
      </c>
      <c r="C3024" s="371"/>
      <c r="D3024" s="2716">
        <f t="shared" si="347"/>
        <v>1</v>
      </c>
      <c r="E3024" s="2721">
        <v>1</v>
      </c>
      <c r="F3024" s="293"/>
      <c r="G3024" s="308" t="s">
        <v>3554</v>
      </c>
      <c r="H3024" s="1476">
        <f>SUM(H3025:H3026)</f>
        <v>0</v>
      </c>
      <c r="I3024" s="1476">
        <f t="shared" ref="I3024:L3024" si="353">SUM(I3025:I3026)</f>
        <v>0</v>
      </c>
      <c r="J3024" s="1476">
        <f t="shared" si="353"/>
        <v>0</v>
      </c>
      <c r="K3024" s="1476">
        <f t="shared" si="353"/>
        <v>0</v>
      </c>
      <c r="L3024" s="1477">
        <f t="shared" si="353"/>
        <v>0</v>
      </c>
      <c r="M3024" s="438"/>
      <c r="N3024" s="439"/>
      <c r="O3024" s="437"/>
      <c r="P3024" s="438"/>
      <c r="Q3024" s="442"/>
      <c r="R3024" s="443"/>
      <c r="S3024" s="364"/>
      <c r="Z3024" s="609" t="s">
        <v>1235</v>
      </c>
      <c r="AA3024" s="609" t="s">
        <v>3706</v>
      </c>
    </row>
    <row r="3025" spans="1:29" ht="18">
      <c r="A3025" s="2714"/>
      <c r="B3025" s="371">
        <v>117</v>
      </c>
      <c r="C3025" s="371"/>
      <c r="D3025" s="2716">
        <f t="shared" si="347"/>
        <v>1</v>
      </c>
      <c r="E3025" s="2721">
        <v>1</v>
      </c>
      <c r="F3025" s="293"/>
      <c r="G3025" s="308" t="s">
        <v>5154</v>
      </c>
      <c r="H3025" s="309"/>
      <c r="I3025" s="422"/>
      <c r="J3025" s="309"/>
      <c r="K3025" s="320"/>
      <c r="L3025" s="1477">
        <f t="shared" si="349"/>
        <v>0</v>
      </c>
      <c r="M3025" s="438"/>
      <c r="N3025" s="439"/>
      <c r="O3025" s="437"/>
      <c r="P3025" s="438"/>
      <c r="Q3025" s="442"/>
      <c r="R3025" s="443"/>
      <c r="S3025" s="364"/>
      <c r="Z3025" s="609" t="s">
        <v>1235</v>
      </c>
      <c r="AA3025" s="609" t="s">
        <v>3706</v>
      </c>
    </row>
    <row r="3026" spans="1:29" ht="18">
      <c r="A3026" s="2714"/>
      <c r="B3026" s="371">
        <v>118</v>
      </c>
      <c r="C3026" s="371" t="s">
        <v>2791</v>
      </c>
      <c r="D3026" s="2716">
        <f t="shared" si="347"/>
        <v>0</v>
      </c>
      <c r="E3026" s="2721">
        <v>1</v>
      </c>
      <c r="F3026" s="293"/>
      <c r="G3026" s="1472" t="s">
        <v>2792</v>
      </c>
      <c r="H3026" s="309"/>
      <c r="I3026" s="422"/>
      <c r="J3026" s="309"/>
      <c r="K3026" s="320"/>
      <c r="L3026" s="1477">
        <f t="shared" si="349"/>
        <v>0</v>
      </c>
      <c r="M3026" s="438"/>
      <c r="N3026" s="439"/>
      <c r="O3026" s="437"/>
      <c r="P3026" s="438"/>
      <c r="Q3026" s="442"/>
      <c r="R3026" s="443"/>
      <c r="S3026" s="364"/>
      <c r="Z3026" s="609" t="s">
        <v>1235</v>
      </c>
      <c r="AA3026" s="609" t="s">
        <v>3706</v>
      </c>
    </row>
    <row r="3027" spans="1:29" ht="18">
      <c r="A3027" s="2714"/>
      <c r="B3027" s="371">
        <v>119</v>
      </c>
      <c r="C3027" s="371"/>
      <c r="D3027" s="2716">
        <f t="shared" si="347"/>
        <v>1</v>
      </c>
      <c r="E3027" s="2721">
        <v>1</v>
      </c>
      <c r="F3027" s="293"/>
      <c r="G3027" s="308" t="str">
        <f>"4."&amp;$W$2&amp;"   "</f>
        <v xml:space="preserve">4.2019年12月31日   </v>
      </c>
      <c r="H3027" s="1476">
        <f>SUM(H3020:H3021,-H3024)</f>
        <v>0</v>
      </c>
      <c r="I3027" s="1476">
        <f t="shared" ref="I3027:L3027" si="354">SUM(I3020:I3021,-I3024)</f>
        <v>0</v>
      </c>
      <c r="J3027" s="1476">
        <f t="shared" si="354"/>
        <v>0</v>
      </c>
      <c r="K3027" s="1476">
        <f t="shared" si="354"/>
        <v>0</v>
      </c>
      <c r="L3027" s="1477">
        <f t="shared" si="354"/>
        <v>0</v>
      </c>
      <c r="M3027" s="438"/>
      <c r="N3027" s="439"/>
      <c r="O3027" s="437"/>
      <c r="P3027" s="438"/>
      <c r="Q3027" s="442"/>
      <c r="R3027" s="443"/>
      <c r="S3027" s="364"/>
      <c r="Z3027" s="609" t="s">
        <v>1235</v>
      </c>
      <c r="AA3027" s="609" t="s">
        <v>3706</v>
      </c>
    </row>
    <row r="3028" spans="1:29" ht="18">
      <c r="A3028" s="2714"/>
      <c r="B3028" s="371">
        <v>120</v>
      </c>
      <c r="C3028" s="371"/>
      <c r="D3028" s="2716">
        <f t="shared" si="347"/>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47"/>
        <v>1</v>
      </c>
      <c r="E3029" s="2721">
        <v>1</v>
      </c>
      <c r="F3029" s="293"/>
      <c r="G3029" s="308" t="str">
        <f>"1."&amp;$W$3&amp;""</f>
        <v>1.2018年12月31日</v>
      </c>
      <c r="H3029" s="309"/>
      <c r="I3029" s="422"/>
      <c r="J3029" s="309"/>
      <c r="K3029" s="320"/>
      <c r="L3029" s="1477">
        <f t="shared" si="349"/>
        <v>0</v>
      </c>
      <c r="M3029" s="438"/>
      <c r="N3029" s="439"/>
      <c r="O3029" s="437"/>
      <c r="P3029" s="438"/>
      <c r="Q3029" s="442"/>
      <c r="R3029" s="443"/>
      <c r="S3029" s="364"/>
      <c r="Z3029" s="609" t="s">
        <v>1235</v>
      </c>
      <c r="AA3029" s="609" t="s">
        <v>3706</v>
      </c>
    </row>
    <row r="3030" spans="1:29" ht="18">
      <c r="A3030" s="2714"/>
      <c r="B3030" s="371">
        <v>122</v>
      </c>
      <c r="C3030" s="371"/>
      <c r="D3030" s="2716">
        <f t="shared" si="347"/>
        <v>1</v>
      </c>
      <c r="E3030" s="2721">
        <v>1</v>
      </c>
      <c r="F3030" s="293"/>
      <c r="G3030" s="308" t="s">
        <v>3558</v>
      </c>
      <c r="H3030" s="1476">
        <f>SUM(H3031:H3032)</f>
        <v>0</v>
      </c>
      <c r="I3030" s="1476">
        <f t="shared" ref="I3030:L3030" si="355">SUM(I3031:I3032)</f>
        <v>0</v>
      </c>
      <c r="J3030" s="1476">
        <f t="shared" si="355"/>
        <v>0</v>
      </c>
      <c r="K3030" s="1476">
        <f t="shared" si="355"/>
        <v>0</v>
      </c>
      <c r="L3030" s="1477">
        <f t="shared" si="355"/>
        <v>0</v>
      </c>
      <c r="M3030" s="438"/>
      <c r="N3030" s="439"/>
      <c r="O3030" s="437"/>
      <c r="P3030" s="438"/>
      <c r="Q3030" s="442"/>
      <c r="R3030" s="443"/>
      <c r="S3030" s="364"/>
      <c r="Z3030" s="609" t="s">
        <v>1235</v>
      </c>
      <c r="AA3030" s="609" t="s">
        <v>3706</v>
      </c>
    </row>
    <row r="3031" spans="1:29" ht="18">
      <c r="A3031" s="2714"/>
      <c r="B3031" s="371">
        <v>123</v>
      </c>
      <c r="C3031" s="371"/>
      <c r="D3031" s="2716">
        <f t="shared" si="347"/>
        <v>1</v>
      </c>
      <c r="E3031" s="2721">
        <v>1</v>
      </c>
      <c r="F3031" s="293"/>
      <c r="G3031" s="308" t="s">
        <v>5155</v>
      </c>
      <c r="H3031" s="309"/>
      <c r="I3031" s="422"/>
      <c r="J3031" s="309"/>
      <c r="K3031" s="320"/>
      <c r="L3031" s="1477">
        <f t="shared" si="349"/>
        <v>0</v>
      </c>
      <c r="M3031" s="1589" t="str">
        <f ca="1">HYPERLINK("#'"&amp;$G$1&amp;"'!"&amp;ADDRESS(ROW(Notes!L4889),COLUMN(Notes!L4889),4),"*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47"/>
        <v>0</v>
      </c>
      <c r="E3032" s="2721">
        <v>1</v>
      </c>
      <c r="F3032" s="293"/>
      <c r="G3032" s="1472" t="s">
        <v>2792</v>
      </c>
      <c r="H3032" s="309"/>
      <c r="I3032" s="422"/>
      <c r="J3032" s="309"/>
      <c r="K3032" s="320"/>
      <c r="L3032" s="1477">
        <f t="shared" si="349"/>
        <v>0</v>
      </c>
      <c r="M3032" s="438"/>
      <c r="N3032" s="439"/>
      <c r="O3032" s="437"/>
      <c r="P3032" s="438"/>
      <c r="Q3032" s="442"/>
      <c r="R3032" s="443"/>
      <c r="S3032" s="364"/>
      <c r="Z3032" s="609" t="s">
        <v>1235</v>
      </c>
      <c r="AA3032" s="609" t="s">
        <v>3706</v>
      </c>
    </row>
    <row r="3033" spans="1:29" ht="18">
      <c r="A3033" s="2714"/>
      <c r="B3033" s="371">
        <v>125</v>
      </c>
      <c r="C3033" s="371"/>
      <c r="D3033" s="2716">
        <f t="shared" si="347"/>
        <v>1</v>
      </c>
      <c r="E3033" s="2721">
        <v>1</v>
      </c>
      <c r="F3033" s="293"/>
      <c r="G3033" s="308" t="s">
        <v>3560</v>
      </c>
      <c r="H3033" s="1476">
        <f>SUM(H3034:H3035)</f>
        <v>0</v>
      </c>
      <c r="I3033" s="1476">
        <f t="shared" ref="I3033:L3033" si="356">SUM(I3034:I3035)</f>
        <v>0</v>
      </c>
      <c r="J3033" s="1476">
        <f t="shared" si="356"/>
        <v>0</v>
      </c>
      <c r="K3033" s="1476">
        <f t="shared" si="356"/>
        <v>0</v>
      </c>
      <c r="L3033" s="1477">
        <f t="shared" si="356"/>
        <v>0</v>
      </c>
      <c r="M3033" s="438"/>
      <c r="N3033" s="439"/>
      <c r="O3033" s="437"/>
      <c r="P3033" s="438"/>
      <c r="Q3033" s="442"/>
      <c r="R3033" s="443"/>
      <c r="S3033" s="364"/>
      <c r="Z3033" s="609" t="s">
        <v>1235</v>
      </c>
      <c r="AA3033" s="609" t="s">
        <v>3706</v>
      </c>
    </row>
    <row r="3034" spans="1:29" ht="18">
      <c r="A3034" s="2714"/>
      <c r="B3034" s="371">
        <v>126</v>
      </c>
      <c r="C3034" s="371"/>
      <c r="D3034" s="2716">
        <f t="shared" si="347"/>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47"/>
        <v>0</v>
      </c>
      <c r="E3035" s="2721">
        <v>1</v>
      </c>
      <c r="F3035" s="293"/>
      <c r="G3035" s="1472" t="s">
        <v>2792</v>
      </c>
      <c r="H3035" s="309"/>
      <c r="I3035" s="422"/>
      <c r="J3035" s="309"/>
      <c r="K3035" s="320"/>
      <c r="L3035" s="1477">
        <f t="shared" si="349"/>
        <v>0</v>
      </c>
      <c r="M3035" s="438"/>
      <c r="N3035" s="439"/>
      <c r="O3035" s="437"/>
      <c r="P3035" s="438"/>
      <c r="Q3035" s="442"/>
      <c r="R3035" s="443"/>
      <c r="S3035" s="364"/>
      <c r="Z3035" s="609" t="s">
        <v>1235</v>
      </c>
      <c r="AA3035" s="609" t="s">
        <v>3706</v>
      </c>
    </row>
    <row r="3036" spans="1:29" ht="18">
      <c r="A3036" s="2714"/>
      <c r="B3036" s="371">
        <v>128</v>
      </c>
      <c r="C3036" s="371"/>
      <c r="D3036" s="2716">
        <f t="shared" si="347"/>
        <v>1</v>
      </c>
      <c r="E3036" s="2721">
        <v>1</v>
      </c>
      <c r="F3036" s="293"/>
      <c r="G3036" s="308" t="str">
        <f>"4."&amp;$W$2&amp;""</f>
        <v>4.2019年12月31日</v>
      </c>
      <c r="H3036" s="1476">
        <f>SUM(H3029:H3030,-H3033)</f>
        <v>0</v>
      </c>
      <c r="I3036" s="1476">
        <f t="shared" ref="I3036:L3036" si="357">SUM(I3029:I3030,-I3033)</f>
        <v>0</v>
      </c>
      <c r="J3036" s="1476">
        <f t="shared" si="357"/>
        <v>0</v>
      </c>
      <c r="K3036" s="1476">
        <f t="shared" si="357"/>
        <v>0</v>
      </c>
      <c r="L3036" s="1477">
        <f t="shared" si="357"/>
        <v>0</v>
      </c>
      <c r="M3036" s="438"/>
      <c r="N3036" s="439"/>
      <c r="O3036" s="437"/>
      <c r="P3036" s="438"/>
      <c r="Q3036" s="442"/>
      <c r="R3036" s="443"/>
      <c r="S3036" s="364"/>
      <c r="Z3036" s="609" t="s">
        <v>1235</v>
      </c>
      <c r="AA3036" s="609" t="s">
        <v>3706</v>
      </c>
    </row>
    <row r="3037" spans="1:29" ht="18">
      <c r="A3037" s="2714"/>
      <c r="B3037" s="371">
        <v>129</v>
      </c>
      <c r="C3037" s="371"/>
      <c r="D3037" s="2716">
        <f t="shared" si="347"/>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47"/>
        <v>1</v>
      </c>
      <c r="E3038" s="2721">
        <v>1</v>
      </c>
      <c r="F3038" s="293"/>
      <c r="G3038" s="308" t="str">
        <f>"1."&amp;$W$2&amp;"账面价值"</f>
        <v>1.2019年12月31日账面价值</v>
      </c>
      <c r="H3038" s="1476">
        <f>SUM(H3018,-H3027,-H3036)</f>
        <v>0</v>
      </c>
      <c r="I3038" s="1476">
        <f t="shared" ref="I3038:L3038" si="358">SUM(I3018,-I3027,-I3036)</f>
        <v>0</v>
      </c>
      <c r="J3038" s="1476">
        <f t="shared" si="358"/>
        <v>0</v>
      </c>
      <c r="K3038" s="1476">
        <f t="shared" si="358"/>
        <v>0</v>
      </c>
      <c r="L3038" s="1477">
        <f t="shared" si="358"/>
        <v>0</v>
      </c>
      <c r="M3038" s="438"/>
      <c r="N3038" s="439"/>
      <c r="O3038" s="437"/>
      <c r="P3038" s="438"/>
      <c r="Q3038" s="442"/>
      <c r="R3038" s="443"/>
      <c r="S3038" s="364"/>
      <c r="Z3038" s="609" t="s">
        <v>1235</v>
      </c>
      <c r="AA3038" s="609" t="s">
        <v>3706</v>
      </c>
    </row>
    <row r="3039" spans="1:29" ht="18">
      <c r="A3039" s="2714"/>
      <c r="B3039" s="371">
        <v>131</v>
      </c>
      <c r="C3039" s="371"/>
      <c r="D3039" s="2716">
        <f t="shared" si="347"/>
        <v>1</v>
      </c>
      <c r="E3039" s="2721">
        <v>1</v>
      </c>
      <c r="F3039" s="293"/>
      <c r="G3039" s="308" t="str">
        <f>"2."&amp;$W$3&amp;"账面价值"</f>
        <v>2.2018年12月31日账面价值</v>
      </c>
      <c r="H3039" s="1476">
        <f>SUM(H3010,-H3020,-H3029)</f>
        <v>0</v>
      </c>
      <c r="I3039" s="1476">
        <f t="shared" ref="I3039:L3039" si="359">SUM(I3010,-I3020,-I3029)</f>
        <v>0</v>
      </c>
      <c r="J3039" s="1476">
        <f t="shared" si="359"/>
        <v>0</v>
      </c>
      <c r="K3039" s="1476">
        <f t="shared" si="359"/>
        <v>0</v>
      </c>
      <c r="L3039" s="1477">
        <f t="shared" si="359"/>
        <v>0</v>
      </c>
      <c r="M3039" s="438"/>
      <c r="N3039" s="439"/>
      <c r="O3039" s="437"/>
      <c r="P3039" s="438"/>
      <c r="Q3039" s="442"/>
      <c r="R3039" s="443"/>
      <c r="S3039" s="364"/>
      <c r="Z3039" s="609" t="s">
        <v>1235</v>
      </c>
      <c r="AA3039" s="609" t="s">
        <v>3706</v>
      </c>
    </row>
    <row r="3040" spans="1:29" ht="18.75" thickBot="1">
      <c r="A3040" s="2714"/>
      <c r="B3040" s="371"/>
      <c r="C3040" s="371"/>
      <c r="D3040" s="2716">
        <f t="shared" si="347"/>
        <v>0</v>
      </c>
      <c r="E3040" s="2721" t="s">
        <v>6556</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0</v>
      </c>
      <c r="L3042" s="541"/>
      <c r="M3042" s="540" t="s">
        <v>2741</v>
      </c>
      <c r="N3042" s="341">
        <f>VLOOKUP($A3042,Sheet_Trialbal,10,0)</f>
        <v>132000</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0</v>
      </c>
      <c r="L3043" s="345"/>
      <c r="M3043" s="301" t="s">
        <v>2745</v>
      </c>
      <c r="N3043" s="2210">
        <f>H3103</f>
        <v>132000</v>
      </c>
      <c r="O3043" s="315"/>
      <c r="P3043" s="301"/>
      <c r="Q3043" s="290" t="str">
        <f>IF($I3043="不适用","",IF(ROUND(SUM($H$3048:$P$3103),2)=0,"请输入",""))</f>
        <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261" t="s">
        <v>47</v>
      </c>
      <c r="H3046" s="3145" t="s">
        <v>3574</v>
      </c>
      <c r="I3046" s="3145" t="s">
        <v>3558</v>
      </c>
      <c r="J3046" s="3145"/>
      <c r="K3046" s="3145"/>
      <c r="L3046" s="3145"/>
      <c r="M3046" s="3145"/>
      <c r="N3046" s="3145" t="s">
        <v>3560</v>
      </c>
      <c r="O3046" s="3145"/>
      <c r="P3046" s="3193" t="s">
        <v>3575</v>
      </c>
      <c r="Q3046" s="355" t="s">
        <v>5292</v>
      </c>
      <c r="S3046" s="364"/>
      <c r="Z3046" s="609" t="s">
        <v>1246</v>
      </c>
      <c r="AA3046" s="609" t="s">
        <v>3720</v>
      </c>
    </row>
    <row r="3047" spans="1:27" ht="24">
      <c r="A3047" s="2714"/>
      <c r="B3047" s="371"/>
      <c r="C3047" s="371"/>
      <c r="D3047" s="371"/>
      <c r="E3047" s="2716" t="s">
        <v>2749</v>
      </c>
      <c r="F3047" s="294"/>
      <c r="G3047" s="3262"/>
      <c r="H3047" s="3148"/>
      <c r="I3047" s="2372" t="s">
        <v>3576</v>
      </c>
      <c r="J3047" s="2372" t="s">
        <v>3715</v>
      </c>
      <c r="K3047" s="2370" t="s">
        <v>3547</v>
      </c>
      <c r="L3047" s="2371" t="s">
        <v>5174</v>
      </c>
      <c r="M3047" s="2371" t="s">
        <v>5173</v>
      </c>
      <c r="N3047" s="2372" t="s">
        <v>3561</v>
      </c>
      <c r="O3047" s="2372" t="s">
        <v>3609</v>
      </c>
      <c r="P3047" s="3163"/>
      <c r="S3047" s="364"/>
      <c r="Z3047" s="609" t="s">
        <v>1246</v>
      </c>
      <c r="AA3047" s="609" t="s">
        <v>3720</v>
      </c>
    </row>
    <row r="3048" spans="1:27" ht="18">
      <c r="A3048" s="2714"/>
      <c r="B3048" s="371">
        <v>101</v>
      </c>
      <c r="C3048" s="371"/>
      <c r="D3048" s="2716">
        <f t="shared" ref="D3048:D3079" si="360">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0"/>
        <v>1</v>
      </c>
      <c r="E3049" s="2721" t="s">
        <v>5159</v>
      </c>
      <c r="F3049" s="294"/>
      <c r="G3049" s="308" t="s">
        <v>3543</v>
      </c>
      <c r="H3049" s="309"/>
      <c r="I3049" s="309"/>
      <c r="J3049" s="309"/>
      <c r="K3049" s="309"/>
      <c r="L3049" s="1465">
        <v>0</v>
      </c>
      <c r="M3049" s="309"/>
      <c r="N3049" s="320"/>
      <c r="O3049" s="309"/>
      <c r="P3049" s="1477">
        <f t="shared" ref="P3049:P3060" si="361">SUM(H3049:M3049,-N3049,-O3049)</f>
        <v>0</v>
      </c>
      <c r="S3049" s="364"/>
      <c r="Z3049" s="609" t="s">
        <v>1246</v>
      </c>
      <c r="AA3049" s="609" t="s">
        <v>3720</v>
      </c>
    </row>
    <row r="3050" spans="1:27" ht="18">
      <c r="A3050" s="2714"/>
      <c r="B3050" s="371">
        <v>101.002</v>
      </c>
      <c r="C3050" s="371"/>
      <c r="D3050" s="2716">
        <f t="shared" si="360"/>
        <v>1</v>
      </c>
      <c r="E3050" s="2721" t="s">
        <v>5159</v>
      </c>
      <c r="F3050" s="294"/>
      <c r="G3050" s="308" t="s">
        <v>3716</v>
      </c>
      <c r="H3050" s="309"/>
      <c r="I3050" s="309"/>
      <c r="J3050" s="309"/>
      <c r="K3050" s="309"/>
      <c r="L3050" s="1465">
        <v>0</v>
      </c>
      <c r="M3050" s="309"/>
      <c r="N3050" s="320"/>
      <c r="O3050" s="309"/>
      <c r="P3050" s="1477">
        <f t="shared" si="361"/>
        <v>0</v>
      </c>
      <c r="S3050" s="364"/>
      <c r="Z3050" s="609" t="s">
        <v>1246</v>
      </c>
      <c r="AA3050" s="609" t="s">
        <v>3720</v>
      </c>
    </row>
    <row r="3051" spans="1:27" ht="18">
      <c r="A3051" s="2714"/>
      <c r="B3051" s="371">
        <v>101.003</v>
      </c>
      <c r="C3051" s="371"/>
      <c r="D3051" s="2716">
        <f t="shared" si="360"/>
        <v>1</v>
      </c>
      <c r="E3051" s="2721" t="s">
        <v>5159</v>
      </c>
      <c r="F3051" s="294"/>
      <c r="G3051" s="308" t="s">
        <v>3717</v>
      </c>
      <c r="H3051" s="309"/>
      <c r="I3051" s="309"/>
      <c r="J3051" s="309"/>
      <c r="K3051" s="309"/>
      <c r="L3051" s="1465">
        <v>0</v>
      </c>
      <c r="M3051" s="309"/>
      <c r="N3051" s="320"/>
      <c r="O3051" s="309"/>
      <c r="P3051" s="1477">
        <f t="shared" si="361"/>
        <v>0</v>
      </c>
      <c r="S3051" s="364"/>
      <c r="Z3051" s="609" t="s">
        <v>1246</v>
      </c>
      <c r="AA3051" s="609" t="s">
        <v>3720</v>
      </c>
    </row>
    <row r="3052" spans="1:27" ht="18">
      <c r="A3052" s="2714"/>
      <c r="B3052" s="371">
        <v>101.004</v>
      </c>
      <c r="C3052" s="371" t="s">
        <v>2791</v>
      </c>
      <c r="D3052" s="2716">
        <f t="shared" si="360"/>
        <v>1</v>
      </c>
      <c r="E3052" s="2721" t="s">
        <v>5159</v>
      </c>
      <c r="F3052" s="294"/>
      <c r="G3052" s="1636" t="s">
        <v>5616</v>
      </c>
      <c r="H3052" s="309">
        <v>132000</v>
      </c>
      <c r="I3052" s="309">
        <v>143125</v>
      </c>
      <c r="J3052" s="309"/>
      <c r="K3052" s="309"/>
      <c r="L3052" s="1465">
        <v>0</v>
      </c>
      <c r="M3052" s="309"/>
      <c r="N3052" s="320"/>
      <c r="O3052" s="309">
        <v>275125</v>
      </c>
      <c r="P3052" s="1477">
        <f t="shared" si="361"/>
        <v>0</v>
      </c>
      <c r="S3052" s="364"/>
      <c r="Z3052" s="609" t="s">
        <v>1246</v>
      </c>
      <c r="AA3052" s="609" t="s">
        <v>3720</v>
      </c>
    </row>
    <row r="3053" spans="1:27" ht="18">
      <c r="A3053" s="2714"/>
      <c r="B3053" s="371">
        <v>101.005</v>
      </c>
      <c r="C3053" s="371" t="s">
        <v>2791</v>
      </c>
      <c r="D3053" s="2716">
        <f t="shared" si="360"/>
        <v>1</v>
      </c>
      <c r="E3053" s="2721" t="s">
        <v>5159</v>
      </c>
      <c r="F3053" s="294"/>
      <c r="G3053" s="1485" t="s">
        <v>5175</v>
      </c>
      <c r="H3053" s="309"/>
      <c r="I3053" s="309"/>
      <c r="J3053" s="309"/>
      <c r="K3053" s="309"/>
      <c r="L3053" s="1465">
        <v>0</v>
      </c>
      <c r="M3053" s="309"/>
      <c r="N3053" s="320"/>
      <c r="O3053" s="309"/>
      <c r="P3053" s="1477">
        <f t="shared" si="361"/>
        <v>0</v>
      </c>
      <c r="S3053" s="364"/>
      <c r="Z3053" s="609" t="s">
        <v>1246</v>
      </c>
      <c r="AA3053" s="609" t="s">
        <v>3720</v>
      </c>
    </row>
    <row r="3054" spans="1:27" ht="18">
      <c r="A3054" s="2714"/>
      <c r="B3054" s="371">
        <v>101.006</v>
      </c>
      <c r="C3054" s="371" t="s">
        <v>2791</v>
      </c>
      <c r="D3054" s="2716">
        <f t="shared" si="360"/>
        <v>1</v>
      </c>
      <c r="E3054" s="2721" t="s">
        <v>5159</v>
      </c>
      <c r="F3054" s="294"/>
      <c r="G3054" s="1485" t="s">
        <v>5176</v>
      </c>
      <c r="H3054" s="309"/>
      <c r="I3054" s="309"/>
      <c r="J3054" s="309"/>
      <c r="K3054" s="309"/>
      <c r="L3054" s="1465">
        <v>0</v>
      </c>
      <c r="M3054" s="309"/>
      <c r="N3054" s="320"/>
      <c r="O3054" s="309"/>
      <c r="P3054" s="1477">
        <f t="shared" si="361"/>
        <v>0</v>
      </c>
      <c r="S3054" s="364"/>
      <c r="Z3054" s="609" t="s">
        <v>1246</v>
      </c>
      <c r="AA3054" s="609" t="s">
        <v>3720</v>
      </c>
    </row>
    <row r="3055" spans="1:27" ht="18">
      <c r="A3055" s="2714"/>
      <c r="B3055" s="371">
        <v>101.00700000000001</v>
      </c>
      <c r="C3055" s="371" t="s">
        <v>2791</v>
      </c>
      <c r="D3055" s="2716">
        <f t="shared" si="360"/>
        <v>1</v>
      </c>
      <c r="E3055" s="2721" t="s">
        <v>5159</v>
      </c>
      <c r="F3055" s="294"/>
      <c r="G3055" s="1485" t="s">
        <v>5177</v>
      </c>
      <c r="H3055" s="309"/>
      <c r="I3055" s="309"/>
      <c r="J3055" s="309"/>
      <c r="K3055" s="309"/>
      <c r="L3055" s="1465">
        <v>0</v>
      </c>
      <c r="M3055" s="309"/>
      <c r="N3055" s="320"/>
      <c r="O3055" s="309"/>
      <c r="P3055" s="1477">
        <f t="shared" si="361"/>
        <v>0</v>
      </c>
      <c r="S3055" s="364"/>
      <c r="Z3055" s="609" t="s">
        <v>1246</v>
      </c>
      <c r="AA3055" s="609" t="s">
        <v>3720</v>
      </c>
    </row>
    <row r="3056" spans="1:27" ht="18">
      <c r="A3056" s="2714"/>
      <c r="B3056" s="371">
        <v>101.008</v>
      </c>
      <c r="C3056" s="371" t="s">
        <v>2791</v>
      </c>
      <c r="D3056" s="2716">
        <f t="shared" si="360"/>
        <v>1</v>
      </c>
      <c r="E3056" s="2721" t="s">
        <v>5159</v>
      </c>
      <c r="F3056" s="294"/>
      <c r="G3056" s="1485" t="s">
        <v>5178</v>
      </c>
      <c r="H3056" s="309"/>
      <c r="I3056" s="309"/>
      <c r="J3056" s="309"/>
      <c r="K3056" s="309"/>
      <c r="L3056" s="1465">
        <v>0</v>
      </c>
      <c r="M3056" s="309"/>
      <c r="N3056" s="320"/>
      <c r="O3056" s="309"/>
      <c r="P3056" s="1477">
        <f t="shared" si="361"/>
        <v>0</v>
      </c>
      <c r="S3056" s="364"/>
      <c r="Z3056" s="609" t="s">
        <v>1246</v>
      </c>
      <c r="AA3056" s="609" t="s">
        <v>3720</v>
      </c>
    </row>
    <row r="3057" spans="1:27" ht="18">
      <c r="A3057" s="2714"/>
      <c r="B3057" s="371">
        <v>101.009</v>
      </c>
      <c r="C3057" s="371" t="s">
        <v>2791</v>
      </c>
      <c r="D3057" s="2716">
        <f t="shared" si="360"/>
        <v>1</v>
      </c>
      <c r="E3057" s="2721" t="s">
        <v>5159</v>
      </c>
      <c r="F3057" s="294"/>
      <c r="G3057" s="1485" t="s">
        <v>5179</v>
      </c>
      <c r="H3057" s="309"/>
      <c r="I3057" s="309"/>
      <c r="J3057" s="309"/>
      <c r="K3057" s="309"/>
      <c r="L3057" s="1465">
        <v>0</v>
      </c>
      <c r="M3057" s="309"/>
      <c r="N3057" s="320"/>
      <c r="O3057" s="309"/>
      <c r="P3057" s="1477">
        <f t="shared" si="361"/>
        <v>0</v>
      </c>
      <c r="S3057" s="364"/>
      <c r="Z3057" s="609" t="s">
        <v>1246</v>
      </c>
      <c r="AA3057" s="609" t="s">
        <v>3720</v>
      </c>
    </row>
    <row r="3058" spans="1:27" ht="18">
      <c r="A3058" s="2714"/>
      <c r="B3058" s="371">
        <v>101.01</v>
      </c>
      <c r="C3058" s="371" t="s">
        <v>2791</v>
      </c>
      <c r="D3058" s="2716">
        <f t="shared" si="360"/>
        <v>1</v>
      </c>
      <c r="E3058" s="2721" t="s">
        <v>5159</v>
      </c>
      <c r="F3058" s="294"/>
      <c r="G3058" s="1485" t="s">
        <v>5180</v>
      </c>
      <c r="H3058" s="309"/>
      <c r="I3058" s="309"/>
      <c r="J3058" s="309"/>
      <c r="K3058" s="309"/>
      <c r="L3058" s="1465">
        <v>0</v>
      </c>
      <c r="M3058" s="309"/>
      <c r="N3058" s="320"/>
      <c r="O3058" s="309"/>
      <c r="P3058" s="1477">
        <f t="shared" si="361"/>
        <v>0</v>
      </c>
      <c r="S3058" s="364"/>
      <c r="Z3058" s="609" t="s">
        <v>1246</v>
      </c>
      <c r="AA3058" s="609" t="s">
        <v>3720</v>
      </c>
    </row>
    <row r="3059" spans="1:27" ht="18">
      <c r="A3059" s="2714"/>
      <c r="B3059" s="371">
        <v>101.011</v>
      </c>
      <c r="C3059" s="371" t="s">
        <v>2791</v>
      </c>
      <c r="D3059" s="2716">
        <f t="shared" si="360"/>
        <v>1</v>
      </c>
      <c r="E3059" s="2721" t="s">
        <v>5159</v>
      </c>
      <c r="F3059" s="294"/>
      <c r="G3059" s="1485" t="s">
        <v>5181</v>
      </c>
      <c r="H3059" s="309"/>
      <c r="I3059" s="309"/>
      <c r="J3059" s="309"/>
      <c r="K3059" s="309"/>
      <c r="L3059" s="1465">
        <v>0</v>
      </c>
      <c r="M3059" s="309"/>
      <c r="N3059" s="320"/>
      <c r="O3059" s="309"/>
      <c r="P3059" s="1477">
        <f t="shared" si="361"/>
        <v>0</v>
      </c>
      <c r="S3059" s="364"/>
      <c r="Z3059" s="609" t="s">
        <v>1246</v>
      </c>
      <c r="AA3059" s="609" t="s">
        <v>3720</v>
      </c>
    </row>
    <row r="3060" spans="1:27" ht="18">
      <c r="A3060" s="2714"/>
      <c r="B3060" s="371">
        <v>101.012</v>
      </c>
      <c r="C3060" s="371" t="s">
        <v>2791</v>
      </c>
      <c r="D3060" s="2716">
        <f t="shared" si="360"/>
        <v>1</v>
      </c>
      <c r="E3060" s="2721" t="s">
        <v>5159</v>
      </c>
      <c r="F3060" s="294"/>
      <c r="G3060" s="1485" t="s">
        <v>5182</v>
      </c>
      <c r="H3060" s="309"/>
      <c r="I3060" s="309"/>
      <c r="J3060" s="309"/>
      <c r="K3060" s="309"/>
      <c r="L3060" s="1465">
        <v>0</v>
      </c>
      <c r="M3060" s="309"/>
      <c r="N3060" s="320"/>
      <c r="O3060" s="309"/>
      <c r="P3060" s="1477">
        <f t="shared" si="361"/>
        <v>0</v>
      </c>
      <c r="S3060" s="364"/>
      <c r="Z3060" s="609" t="s">
        <v>1246</v>
      </c>
      <c r="AA3060" s="609" t="s">
        <v>3720</v>
      </c>
    </row>
    <row r="3061" spans="1:27" ht="18">
      <c r="A3061" s="2714"/>
      <c r="B3061" s="371">
        <v>101.999</v>
      </c>
      <c r="C3061" s="371" t="s">
        <v>6563</v>
      </c>
      <c r="D3061" s="2716">
        <f t="shared" si="360"/>
        <v>1</v>
      </c>
      <c r="E3061" s="2721">
        <v>1</v>
      </c>
      <c r="F3061" s="294"/>
      <c r="G3061" s="308" t="s">
        <v>5183</v>
      </c>
      <c r="H3061" s="1476">
        <f>SUMIF($E$3047:$E$3102,$G3061,H$3047:H$3102)</f>
        <v>132000</v>
      </c>
      <c r="I3061" s="1476">
        <f>SUMIF($E$3047:$E$3102,$G3061,I$3047:I$3102)</f>
        <v>143125</v>
      </c>
      <c r="J3061" s="1476">
        <f>SUMIF($E$3047:$E$3102,$G3061,J$3047:J$3102)</f>
        <v>0</v>
      </c>
      <c r="K3061" s="1476">
        <f>SUMIF($E$3047:$E$3102,$G3061,K$3047:K$3102)</f>
        <v>0</v>
      </c>
      <c r="L3061" s="1483">
        <v>0</v>
      </c>
      <c r="M3061" s="1476">
        <f>SUMIF($E$3047:$E$3102,$G3061,M$3047:M$3102)</f>
        <v>0</v>
      </c>
      <c r="N3061" s="1476">
        <f>SUMIF($E$3047:$E$3102,$G3061,N$3047:N$3102)</f>
        <v>0</v>
      </c>
      <c r="O3061" s="1476">
        <f>SUMIF($E$3047:$E$3102,$G3061,O$3047:O$3102)</f>
        <v>275125</v>
      </c>
      <c r="P3061" s="1477">
        <f>SUMIF($E$3047:$E$3102,$G3061,P$3047:P$3102)</f>
        <v>0</v>
      </c>
      <c r="S3061" s="364"/>
      <c r="Z3061" s="609" t="s">
        <v>1246</v>
      </c>
      <c r="AA3061" s="609" t="s">
        <v>3720</v>
      </c>
    </row>
    <row r="3062" spans="1:27" ht="18">
      <c r="A3062" s="2714"/>
      <c r="B3062" s="371">
        <v>102</v>
      </c>
      <c r="C3062" s="371"/>
      <c r="D3062" s="2716">
        <f t="shared" si="360"/>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0"/>
        <v>1</v>
      </c>
      <c r="E3063" s="2721" t="s">
        <v>568</v>
      </c>
      <c r="F3063" s="294"/>
      <c r="G3063" s="1485" t="str">
        <f>G$3049&amp;" "</f>
        <v xml:space="preserve">土地使用权 </v>
      </c>
      <c r="H3063" s="309"/>
      <c r="I3063" s="1465">
        <v>0</v>
      </c>
      <c r="J3063" s="1465">
        <v>0</v>
      </c>
      <c r="K3063" s="1465">
        <v>0</v>
      </c>
      <c r="L3063" s="309"/>
      <c r="M3063" s="309"/>
      <c r="N3063" s="320"/>
      <c r="O3063" s="309"/>
      <c r="P3063" s="1477">
        <f>SUM(H3063:M3063,-N3063,-O3063)</f>
        <v>0</v>
      </c>
      <c r="S3063" s="364"/>
      <c r="Z3063" s="609" t="s">
        <v>1246</v>
      </c>
      <c r="AA3063" s="609" t="s">
        <v>3720</v>
      </c>
    </row>
    <row r="3064" spans="1:27" ht="18">
      <c r="A3064" s="2714"/>
      <c r="B3064" s="371">
        <v>102.002</v>
      </c>
      <c r="C3064" s="371"/>
      <c r="D3064" s="2716">
        <f t="shared" si="360"/>
        <v>1</v>
      </c>
      <c r="E3064" s="2721" t="s">
        <v>568</v>
      </c>
      <c r="F3064" s="294"/>
      <c r="G3064" s="1485" t="str">
        <f>G$3050&amp;" "</f>
        <v xml:space="preserve">专利权 </v>
      </c>
      <c r="H3064" s="309"/>
      <c r="I3064" s="1465">
        <v>0</v>
      </c>
      <c r="J3064" s="1465">
        <v>0</v>
      </c>
      <c r="K3064" s="1465">
        <v>0</v>
      </c>
      <c r="L3064" s="309"/>
      <c r="M3064" s="309"/>
      <c r="N3064" s="320"/>
      <c r="O3064" s="309"/>
      <c r="P3064" s="1477">
        <f t="shared" ref="P3064:P3088" si="362">SUM(H3064:M3064,-N3064,-O3064)</f>
        <v>0</v>
      </c>
      <c r="S3064" s="364"/>
      <c r="Z3064" s="609" t="s">
        <v>1246</v>
      </c>
      <c r="AA3064" s="609" t="s">
        <v>3720</v>
      </c>
    </row>
    <row r="3065" spans="1:27" ht="18">
      <c r="A3065" s="2714"/>
      <c r="B3065" s="371">
        <v>102.003</v>
      </c>
      <c r="C3065" s="371"/>
      <c r="D3065" s="2716">
        <f t="shared" si="360"/>
        <v>1</v>
      </c>
      <c r="E3065" s="2721" t="s">
        <v>568</v>
      </c>
      <c r="F3065" s="294"/>
      <c r="G3065" s="1485" t="str">
        <f>G$3051&amp;" "</f>
        <v xml:space="preserve">非专利技术 </v>
      </c>
      <c r="H3065" s="309"/>
      <c r="I3065" s="1465">
        <v>0</v>
      </c>
      <c r="J3065" s="1465">
        <v>0</v>
      </c>
      <c r="K3065" s="1465">
        <v>0</v>
      </c>
      <c r="L3065" s="309"/>
      <c r="M3065" s="309"/>
      <c r="N3065" s="320"/>
      <c r="O3065" s="309"/>
      <c r="P3065" s="1477">
        <f t="shared" si="362"/>
        <v>0</v>
      </c>
      <c r="S3065" s="364"/>
      <c r="Z3065" s="609" t="s">
        <v>1246</v>
      </c>
      <c r="AA3065" s="609" t="s">
        <v>3720</v>
      </c>
    </row>
    <row r="3066" spans="1:27" ht="18">
      <c r="A3066" s="2714"/>
      <c r="B3066" s="371">
        <v>102.004</v>
      </c>
      <c r="C3066" s="371" t="s">
        <v>2791</v>
      </c>
      <c r="D3066" s="2716">
        <f t="shared" si="360"/>
        <v>1</v>
      </c>
      <c r="E3066" s="2721" t="s">
        <v>568</v>
      </c>
      <c r="F3066" s="294"/>
      <c r="G3066" s="1485" t="str">
        <f>G$3052&amp;" "</f>
        <v xml:space="preserve">计算机软件 </v>
      </c>
      <c r="H3066" s="309"/>
      <c r="I3066" s="1465">
        <v>0</v>
      </c>
      <c r="J3066" s="1465">
        <v>0</v>
      </c>
      <c r="K3066" s="1465">
        <v>0</v>
      </c>
      <c r="L3066" s="309">
        <v>77952.14</v>
      </c>
      <c r="M3066" s="309"/>
      <c r="N3066" s="320"/>
      <c r="O3066" s="309">
        <v>77952.14</v>
      </c>
      <c r="P3066" s="1477">
        <f t="shared" si="362"/>
        <v>0</v>
      </c>
      <c r="S3066" s="364"/>
      <c r="Z3066" s="609" t="s">
        <v>1246</v>
      </c>
      <c r="AA3066" s="609" t="s">
        <v>3720</v>
      </c>
    </row>
    <row r="3067" spans="1:27" ht="18">
      <c r="A3067" s="2714"/>
      <c r="B3067" s="371">
        <v>102.005</v>
      </c>
      <c r="C3067" s="371" t="s">
        <v>2791</v>
      </c>
      <c r="D3067" s="2716">
        <f t="shared" si="360"/>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2"/>
        <v>0</v>
      </c>
      <c r="S3067" s="364"/>
      <c r="Z3067" s="609" t="s">
        <v>1246</v>
      </c>
      <c r="AA3067" s="609" t="s">
        <v>3720</v>
      </c>
    </row>
    <row r="3068" spans="1:27" ht="18">
      <c r="A3068" s="2714"/>
      <c r="B3068" s="371">
        <v>102.006</v>
      </c>
      <c r="C3068" s="371" t="s">
        <v>2791</v>
      </c>
      <c r="D3068" s="2716">
        <f t="shared" si="360"/>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2"/>
        <v>0</v>
      </c>
      <c r="S3068" s="364"/>
      <c r="Z3068" s="609" t="s">
        <v>1246</v>
      </c>
      <c r="AA3068" s="609" t="s">
        <v>3720</v>
      </c>
    </row>
    <row r="3069" spans="1:27" ht="18">
      <c r="A3069" s="2714"/>
      <c r="B3069" s="371">
        <v>102.00700000000001</v>
      </c>
      <c r="C3069" s="371" t="s">
        <v>2791</v>
      </c>
      <c r="D3069" s="2716">
        <f t="shared" si="360"/>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2"/>
        <v>0</v>
      </c>
      <c r="S3069" s="364"/>
      <c r="Z3069" s="609" t="s">
        <v>1246</v>
      </c>
      <c r="AA3069" s="609" t="s">
        <v>3720</v>
      </c>
    </row>
    <row r="3070" spans="1:27" ht="18">
      <c r="A3070" s="2714"/>
      <c r="B3070" s="371">
        <v>102.008</v>
      </c>
      <c r="C3070" s="371" t="s">
        <v>2791</v>
      </c>
      <c r="D3070" s="2716">
        <f t="shared" si="360"/>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2"/>
        <v>0</v>
      </c>
      <c r="S3070" s="364"/>
      <c r="Z3070" s="609" t="s">
        <v>1246</v>
      </c>
      <c r="AA3070" s="609" t="s">
        <v>3720</v>
      </c>
    </row>
    <row r="3071" spans="1:27" ht="18">
      <c r="A3071" s="2714"/>
      <c r="B3071" s="371">
        <v>102.009</v>
      </c>
      <c r="C3071" s="371" t="s">
        <v>2791</v>
      </c>
      <c r="D3071" s="2716">
        <f t="shared" si="360"/>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2"/>
        <v>0</v>
      </c>
      <c r="S3071" s="364"/>
      <c r="Z3071" s="609" t="s">
        <v>1246</v>
      </c>
      <c r="AA3071" s="609" t="s">
        <v>3720</v>
      </c>
    </row>
    <row r="3072" spans="1:27" ht="18">
      <c r="A3072" s="2714"/>
      <c r="B3072" s="371">
        <v>102.01</v>
      </c>
      <c r="C3072" s="371" t="s">
        <v>2791</v>
      </c>
      <c r="D3072" s="2716">
        <f t="shared" si="360"/>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2"/>
        <v>0</v>
      </c>
      <c r="S3072" s="364"/>
      <c r="Z3072" s="609" t="s">
        <v>1246</v>
      </c>
      <c r="AA3072" s="609" t="s">
        <v>3720</v>
      </c>
    </row>
    <row r="3073" spans="1:27" ht="18">
      <c r="A3073" s="2714"/>
      <c r="B3073" s="371">
        <v>102.011</v>
      </c>
      <c r="C3073" s="371" t="s">
        <v>2791</v>
      </c>
      <c r="D3073" s="2716">
        <f t="shared" si="360"/>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2"/>
        <v>0</v>
      </c>
      <c r="S3073" s="364"/>
      <c r="Z3073" s="609" t="s">
        <v>1246</v>
      </c>
      <c r="AA3073" s="609" t="s">
        <v>3720</v>
      </c>
    </row>
    <row r="3074" spans="1:27" ht="18">
      <c r="A3074" s="2714"/>
      <c r="B3074" s="371">
        <v>102.012</v>
      </c>
      <c r="C3074" s="371" t="s">
        <v>2791</v>
      </c>
      <c r="D3074" s="2716">
        <f t="shared" si="360"/>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2"/>
        <v>0</v>
      </c>
      <c r="S3074" s="364"/>
      <c r="Z3074" s="609" t="s">
        <v>1246</v>
      </c>
      <c r="AA3074" s="609" t="s">
        <v>3720</v>
      </c>
    </row>
    <row r="3075" spans="1:27" ht="18">
      <c r="A3075" s="2714"/>
      <c r="B3075" s="371">
        <v>102.999</v>
      </c>
      <c r="C3075" s="371" t="s">
        <v>2793</v>
      </c>
      <c r="D3075" s="2716">
        <f t="shared" si="360"/>
        <v>1</v>
      </c>
      <c r="E3075" s="2721">
        <v>-1</v>
      </c>
      <c r="F3075" s="294"/>
      <c r="G3075" s="308" t="s">
        <v>5184</v>
      </c>
      <c r="H3075" s="1476">
        <f>SUMIF($E$3047:$E$3102,$G3075,H$3047:H$3102)</f>
        <v>0</v>
      </c>
      <c r="I3075" s="1483">
        <v>0</v>
      </c>
      <c r="J3075" s="1483">
        <v>0</v>
      </c>
      <c r="K3075" s="1483">
        <v>0</v>
      </c>
      <c r="L3075" s="1476">
        <f>SUMIF($E$3047:$E$3102,$G3075,L$3047:L$3102)</f>
        <v>77952.14</v>
      </c>
      <c r="M3075" s="1476">
        <f>SUMIF($E$3047:$E$3102,$G3075,M$3047:M$3102)</f>
        <v>0</v>
      </c>
      <c r="N3075" s="1476">
        <f>SUMIF($E$3047:$E$3102,$G3075,N$3047:N$3102)</f>
        <v>0</v>
      </c>
      <c r="O3075" s="1476">
        <f>SUMIF($E$3047:$E$3102,$G3075,O$3047:O$3102)</f>
        <v>77952.14</v>
      </c>
      <c r="P3075" s="1477">
        <f>SUMIF($E$3047:$E$3102,$G3075,P$3047:P$3102)</f>
        <v>0</v>
      </c>
      <c r="S3075" s="364"/>
      <c r="Z3075" s="609" t="s">
        <v>1246</v>
      </c>
      <c r="AA3075" s="609" t="s">
        <v>3720</v>
      </c>
    </row>
    <row r="3076" spans="1:27" ht="18">
      <c r="A3076" s="2714"/>
      <c r="B3076" s="371">
        <v>103</v>
      </c>
      <c r="C3076" s="371"/>
      <c r="D3076" s="2716">
        <f t="shared" si="360"/>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0"/>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2"/>
        <v>0</v>
      </c>
      <c r="S3077" s="364"/>
      <c r="Z3077" s="609" t="s">
        <v>1246</v>
      </c>
      <c r="AA3077" s="609" t="s">
        <v>3720</v>
      </c>
    </row>
    <row r="3078" spans="1:27" ht="18">
      <c r="A3078" s="2714"/>
      <c r="B3078" s="371">
        <v>103.002</v>
      </c>
      <c r="C3078" s="371"/>
      <c r="D3078" s="2716">
        <f t="shared" si="360"/>
        <v>1</v>
      </c>
      <c r="E3078" s="2721" t="s">
        <v>3097</v>
      </c>
      <c r="F3078" s="294"/>
      <c r="G3078" s="1485" t="str">
        <f>G$3050&amp;"  "</f>
        <v xml:space="preserve">专利权  </v>
      </c>
      <c r="H3078" s="309"/>
      <c r="I3078" s="1465">
        <v>0</v>
      </c>
      <c r="J3078" s="1465">
        <v>0</v>
      </c>
      <c r="K3078" s="1465">
        <v>0</v>
      </c>
      <c r="L3078" s="309"/>
      <c r="M3078" s="309"/>
      <c r="N3078" s="320"/>
      <c r="O3078" s="309"/>
      <c r="P3078" s="1477">
        <f t="shared" si="362"/>
        <v>0</v>
      </c>
      <c r="S3078" s="364"/>
      <c r="Z3078" s="609" t="s">
        <v>1246</v>
      </c>
      <c r="AA3078" s="609" t="s">
        <v>3720</v>
      </c>
    </row>
    <row r="3079" spans="1:27" ht="18">
      <c r="A3079" s="2714"/>
      <c r="B3079" s="371">
        <v>103.003</v>
      </c>
      <c r="C3079" s="371"/>
      <c r="D3079" s="2716">
        <f t="shared" si="360"/>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2"/>
        <v>0</v>
      </c>
      <c r="S3079" s="364"/>
      <c r="Z3079" s="609" t="s">
        <v>1246</v>
      </c>
      <c r="AA3079" s="609" t="s">
        <v>3720</v>
      </c>
    </row>
    <row r="3080" spans="1:27" ht="18">
      <c r="A3080" s="2714"/>
      <c r="B3080" s="371">
        <v>103.004</v>
      </c>
      <c r="C3080" s="371" t="s">
        <v>2791</v>
      </c>
      <c r="D3080" s="2716">
        <f t="shared" ref="D3080:D3103" si="363">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2"/>
        <v>0</v>
      </c>
      <c r="S3080" s="364"/>
      <c r="Z3080" s="609" t="s">
        <v>1246</v>
      </c>
      <c r="AA3080" s="609" t="s">
        <v>3720</v>
      </c>
    </row>
    <row r="3081" spans="1:27" ht="18">
      <c r="A3081" s="2714"/>
      <c r="B3081" s="371">
        <v>103.005</v>
      </c>
      <c r="C3081" s="371" t="s">
        <v>2791</v>
      </c>
      <c r="D3081" s="2716">
        <f t="shared" si="363"/>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2"/>
        <v>0</v>
      </c>
      <c r="S3081" s="364"/>
      <c r="Z3081" s="609" t="s">
        <v>1246</v>
      </c>
      <c r="AA3081" s="609" t="s">
        <v>3720</v>
      </c>
    </row>
    <row r="3082" spans="1:27" ht="18">
      <c r="A3082" s="2714"/>
      <c r="B3082" s="371">
        <v>103.006</v>
      </c>
      <c r="C3082" s="371" t="s">
        <v>2791</v>
      </c>
      <c r="D3082" s="2716">
        <f t="shared" si="363"/>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2"/>
        <v>0</v>
      </c>
      <c r="S3082" s="364"/>
      <c r="Z3082" s="609" t="s">
        <v>1246</v>
      </c>
      <c r="AA3082" s="609" t="s">
        <v>3720</v>
      </c>
    </row>
    <row r="3083" spans="1:27" ht="18">
      <c r="A3083" s="2714"/>
      <c r="B3083" s="371">
        <v>103.00700000000001</v>
      </c>
      <c r="C3083" s="371" t="s">
        <v>2791</v>
      </c>
      <c r="D3083" s="2716">
        <f t="shared" si="363"/>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2"/>
        <v>0</v>
      </c>
      <c r="S3083" s="364"/>
      <c r="Z3083" s="609" t="s">
        <v>1246</v>
      </c>
      <c r="AA3083" s="609" t="s">
        <v>3720</v>
      </c>
    </row>
    <row r="3084" spans="1:27" ht="18">
      <c r="A3084" s="2714"/>
      <c r="B3084" s="371">
        <v>103.008</v>
      </c>
      <c r="C3084" s="371" t="s">
        <v>2791</v>
      </c>
      <c r="D3084" s="2716">
        <f t="shared" si="363"/>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2"/>
        <v>0</v>
      </c>
      <c r="S3084" s="364"/>
      <c r="Z3084" s="609" t="s">
        <v>1246</v>
      </c>
      <c r="AA3084" s="609" t="s">
        <v>3720</v>
      </c>
    </row>
    <row r="3085" spans="1:27" ht="18">
      <c r="A3085" s="2714"/>
      <c r="B3085" s="371">
        <v>103.009</v>
      </c>
      <c r="C3085" s="371" t="s">
        <v>2791</v>
      </c>
      <c r="D3085" s="2716">
        <f t="shared" si="363"/>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2"/>
        <v>0</v>
      </c>
      <c r="S3085" s="364"/>
      <c r="Z3085" s="609" t="s">
        <v>1246</v>
      </c>
      <c r="AA3085" s="609" t="s">
        <v>3720</v>
      </c>
    </row>
    <row r="3086" spans="1:27" ht="18">
      <c r="A3086" s="2714"/>
      <c r="B3086" s="371">
        <v>103.01</v>
      </c>
      <c r="C3086" s="371" t="s">
        <v>2791</v>
      </c>
      <c r="D3086" s="2716">
        <f t="shared" si="363"/>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2"/>
        <v>0</v>
      </c>
      <c r="S3086" s="364"/>
      <c r="Z3086" s="609" t="s">
        <v>1246</v>
      </c>
      <c r="AA3086" s="609" t="s">
        <v>3720</v>
      </c>
    </row>
    <row r="3087" spans="1:27" ht="18">
      <c r="A3087" s="2714"/>
      <c r="B3087" s="371">
        <v>103.011</v>
      </c>
      <c r="C3087" s="371" t="s">
        <v>2791</v>
      </c>
      <c r="D3087" s="2716">
        <f t="shared" si="363"/>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2"/>
        <v>0</v>
      </c>
      <c r="S3087" s="364"/>
      <c r="Z3087" s="609" t="s">
        <v>1246</v>
      </c>
      <c r="AA3087" s="609" t="s">
        <v>3720</v>
      </c>
    </row>
    <row r="3088" spans="1:27" ht="18">
      <c r="A3088" s="2714"/>
      <c r="B3088" s="371">
        <v>103.012</v>
      </c>
      <c r="C3088" s="371" t="s">
        <v>2791</v>
      </c>
      <c r="D3088" s="2716">
        <f t="shared" si="363"/>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2"/>
        <v>0</v>
      </c>
      <c r="S3088" s="364"/>
      <c r="Z3088" s="609" t="s">
        <v>1246</v>
      </c>
      <c r="AA3088" s="609" t="s">
        <v>3720</v>
      </c>
    </row>
    <row r="3089" spans="1:29" ht="18">
      <c r="A3089" s="2714"/>
      <c r="B3089" s="371">
        <v>103.999</v>
      </c>
      <c r="C3089" s="371" t="s">
        <v>2793</v>
      </c>
      <c r="D3089" s="2716">
        <f t="shared" si="363"/>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HYPERLINK("#'"&amp;$G$1&amp;"'!"&amp;ADDRESS(ROW(Notes!L4890),COLUMN(Notes!L4890),4),"*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3"/>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3"/>
        <v>1</v>
      </c>
      <c r="E3091" s="2721">
        <v>0</v>
      </c>
      <c r="F3091" s="294"/>
      <c r="G3091" s="1485" t="str">
        <f>G$3049&amp;"   "</f>
        <v xml:space="preserve">土地使用权   </v>
      </c>
      <c r="H3091" s="1476">
        <f>H3049-H3063-H3077</f>
        <v>0</v>
      </c>
      <c r="I3091" s="1465">
        <v>0</v>
      </c>
      <c r="J3091" s="1465">
        <v>0</v>
      </c>
      <c r="K3091" s="1465">
        <v>0</v>
      </c>
      <c r="L3091" s="1465">
        <v>0</v>
      </c>
      <c r="M3091" s="1465">
        <v>0</v>
      </c>
      <c r="N3091" s="1487">
        <v>0</v>
      </c>
      <c r="O3091" s="1465">
        <v>0</v>
      </c>
      <c r="P3091" s="1477">
        <f>P3049-P3063-P3077</f>
        <v>0</v>
      </c>
      <c r="S3091" s="364"/>
      <c r="Z3091" s="609" t="s">
        <v>1246</v>
      </c>
      <c r="AA3091" s="609" t="s">
        <v>3720</v>
      </c>
    </row>
    <row r="3092" spans="1:29" ht="18">
      <c r="A3092" s="2714"/>
      <c r="B3092" s="371">
        <v>106</v>
      </c>
      <c r="C3092" s="371"/>
      <c r="D3092" s="2716">
        <f t="shared" si="363"/>
        <v>1</v>
      </c>
      <c r="E3092" s="2721">
        <v>0</v>
      </c>
      <c r="F3092" s="294"/>
      <c r="G3092" s="1485" t="str">
        <f>G$3050&amp;"   "</f>
        <v xml:space="preserve">专利权   </v>
      </c>
      <c r="H3092" s="1476">
        <f t="shared" ref="H3092:H3102" si="364">H3050-H3064-H3078</f>
        <v>0</v>
      </c>
      <c r="I3092" s="1465">
        <v>0</v>
      </c>
      <c r="J3092" s="1465">
        <v>0</v>
      </c>
      <c r="K3092" s="1465">
        <v>0</v>
      </c>
      <c r="L3092" s="1465">
        <v>0</v>
      </c>
      <c r="M3092" s="1465">
        <v>0</v>
      </c>
      <c r="N3092" s="1487">
        <v>0</v>
      </c>
      <c r="O3092" s="1465">
        <v>0</v>
      </c>
      <c r="P3092" s="1477">
        <f t="shared" ref="P3092:P3102" si="365">P3050-P3064-P3078</f>
        <v>0</v>
      </c>
      <c r="S3092" s="364"/>
      <c r="Z3092" s="609" t="s">
        <v>1246</v>
      </c>
      <c r="AA3092" s="609" t="s">
        <v>3720</v>
      </c>
    </row>
    <row r="3093" spans="1:29" ht="18">
      <c r="A3093" s="2714"/>
      <c r="B3093" s="371">
        <v>107</v>
      </c>
      <c r="C3093" s="371"/>
      <c r="D3093" s="2716">
        <f t="shared" si="363"/>
        <v>1</v>
      </c>
      <c r="E3093" s="2721">
        <v>0</v>
      </c>
      <c r="F3093" s="294"/>
      <c r="G3093" s="1485" t="str">
        <f>G$3051&amp;"   "</f>
        <v xml:space="preserve">非专利技术   </v>
      </c>
      <c r="H3093" s="1476">
        <f t="shared" si="364"/>
        <v>0</v>
      </c>
      <c r="I3093" s="1465">
        <v>0</v>
      </c>
      <c r="J3093" s="1465">
        <v>0</v>
      </c>
      <c r="K3093" s="1465">
        <v>0</v>
      </c>
      <c r="L3093" s="1465">
        <v>0</v>
      </c>
      <c r="M3093" s="1465">
        <v>0</v>
      </c>
      <c r="N3093" s="1487">
        <v>0</v>
      </c>
      <c r="O3093" s="1465">
        <v>0</v>
      </c>
      <c r="P3093" s="1477">
        <f t="shared" si="365"/>
        <v>0</v>
      </c>
      <c r="S3093" s="364"/>
      <c r="Z3093" s="609" t="s">
        <v>1246</v>
      </c>
      <c r="AA3093" s="609" t="s">
        <v>3720</v>
      </c>
    </row>
    <row r="3094" spans="1:29" ht="18">
      <c r="A3094" s="2714"/>
      <c r="B3094" s="371">
        <v>108</v>
      </c>
      <c r="C3094" s="371" t="s">
        <v>2791</v>
      </c>
      <c r="D3094" s="2716">
        <f t="shared" si="363"/>
        <v>1</v>
      </c>
      <c r="E3094" s="2721">
        <v>0</v>
      </c>
      <c r="F3094" s="294"/>
      <c r="G3094" s="1485" t="str">
        <f>G$3052&amp;"   "</f>
        <v xml:space="preserve">计算机软件   </v>
      </c>
      <c r="H3094" s="1476">
        <f t="shared" si="364"/>
        <v>132000</v>
      </c>
      <c r="I3094" s="1465">
        <v>0</v>
      </c>
      <c r="J3094" s="1465">
        <v>0</v>
      </c>
      <c r="K3094" s="1465">
        <v>0</v>
      </c>
      <c r="L3094" s="1465">
        <v>0</v>
      </c>
      <c r="M3094" s="1465">
        <v>0</v>
      </c>
      <c r="N3094" s="1487">
        <v>0</v>
      </c>
      <c r="O3094" s="1465">
        <v>0</v>
      </c>
      <c r="P3094" s="1477">
        <f t="shared" si="365"/>
        <v>0</v>
      </c>
      <c r="S3094" s="364"/>
      <c r="Z3094" s="609" t="s">
        <v>1246</v>
      </c>
      <c r="AA3094" s="609" t="s">
        <v>3720</v>
      </c>
    </row>
    <row r="3095" spans="1:29" ht="18">
      <c r="A3095" s="2714"/>
      <c r="B3095" s="371">
        <v>109</v>
      </c>
      <c r="C3095" s="371" t="s">
        <v>2791</v>
      </c>
      <c r="D3095" s="2716">
        <f t="shared" si="363"/>
        <v>1</v>
      </c>
      <c r="E3095" s="2721">
        <v>0</v>
      </c>
      <c r="F3095" s="294"/>
      <c r="G3095" s="1485" t="str">
        <f>G$3053&amp;"   "</f>
        <v xml:space="preserve">*5（在原值处修改清除）   </v>
      </c>
      <c r="H3095" s="1476">
        <f t="shared" si="364"/>
        <v>0</v>
      </c>
      <c r="I3095" s="1465">
        <v>0</v>
      </c>
      <c r="J3095" s="1465">
        <v>0</v>
      </c>
      <c r="K3095" s="1465">
        <v>0</v>
      </c>
      <c r="L3095" s="1465">
        <v>0</v>
      </c>
      <c r="M3095" s="1465">
        <v>0</v>
      </c>
      <c r="N3095" s="1487">
        <v>0</v>
      </c>
      <c r="O3095" s="1465">
        <v>0</v>
      </c>
      <c r="P3095" s="1477">
        <f t="shared" si="365"/>
        <v>0</v>
      </c>
      <c r="S3095" s="364"/>
      <c r="Z3095" s="609" t="s">
        <v>1246</v>
      </c>
      <c r="AA3095" s="609" t="s">
        <v>3720</v>
      </c>
    </row>
    <row r="3096" spans="1:29" ht="18">
      <c r="A3096" s="2714"/>
      <c r="B3096" s="371">
        <v>110</v>
      </c>
      <c r="C3096" s="371" t="s">
        <v>2791</v>
      </c>
      <c r="D3096" s="2716">
        <f t="shared" si="363"/>
        <v>1</v>
      </c>
      <c r="E3096" s="2721">
        <v>0</v>
      </c>
      <c r="F3096" s="294"/>
      <c r="G3096" s="1485" t="str">
        <f>G$3054&amp;"   "</f>
        <v xml:space="preserve">*6（在原值处修改清除）   </v>
      </c>
      <c r="H3096" s="1476">
        <f t="shared" si="364"/>
        <v>0</v>
      </c>
      <c r="I3096" s="1465">
        <v>0</v>
      </c>
      <c r="J3096" s="1465">
        <v>0</v>
      </c>
      <c r="K3096" s="1465">
        <v>0</v>
      </c>
      <c r="L3096" s="1465">
        <v>0</v>
      </c>
      <c r="M3096" s="1465">
        <v>0</v>
      </c>
      <c r="N3096" s="1487">
        <v>0</v>
      </c>
      <c r="O3096" s="1465">
        <v>0</v>
      </c>
      <c r="P3096" s="1477">
        <f t="shared" si="365"/>
        <v>0</v>
      </c>
      <c r="S3096" s="364"/>
      <c r="Z3096" s="609" t="s">
        <v>1246</v>
      </c>
      <c r="AA3096" s="609" t="s">
        <v>3720</v>
      </c>
    </row>
    <row r="3097" spans="1:29" ht="18">
      <c r="A3097" s="2714"/>
      <c r="B3097" s="371">
        <v>111</v>
      </c>
      <c r="C3097" s="371" t="s">
        <v>2791</v>
      </c>
      <c r="D3097" s="2716">
        <f t="shared" si="363"/>
        <v>1</v>
      </c>
      <c r="E3097" s="2721">
        <v>0</v>
      </c>
      <c r="F3097" s="294"/>
      <c r="G3097" s="1485" t="str">
        <f>G$3055&amp;"   "</f>
        <v xml:space="preserve">*7（在原值处修改清除）   </v>
      </c>
      <c r="H3097" s="1476">
        <f t="shared" si="364"/>
        <v>0</v>
      </c>
      <c r="I3097" s="1465">
        <v>0</v>
      </c>
      <c r="J3097" s="1465">
        <v>0</v>
      </c>
      <c r="K3097" s="1465">
        <v>0</v>
      </c>
      <c r="L3097" s="1465">
        <v>0</v>
      </c>
      <c r="M3097" s="1465">
        <v>0</v>
      </c>
      <c r="N3097" s="1487">
        <v>0</v>
      </c>
      <c r="O3097" s="1465">
        <v>0</v>
      </c>
      <c r="P3097" s="1477">
        <f t="shared" si="365"/>
        <v>0</v>
      </c>
      <c r="S3097" s="364"/>
      <c r="Z3097" s="609" t="s">
        <v>1246</v>
      </c>
      <c r="AA3097" s="609" t="s">
        <v>3720</v>
      </c>
    </row>
    <row r="3098" spans="1:29" ht="18">
      <c r="A3098" s="2714"/>
      <c r="B3098" s="371">
        <v>112</v>
      </c>
      <c r="C3098" s="371" t="s">
        <v>2791</v>
      </c>
      <c r="D3098" s="2716">
        <f t="shared" si="363"/>
        <v>1</v>
      </c>
      <c r="E3098" s="2721">
        <v>0</v>
      </c>
      <c r="F3098" s="294"/>
      <c r="G3098" s="1485" t="str">
        <f>G$3056&amp;"   "</f>
        <v xml:space="preserve">*8（在原值处修改清除）   </v>
      </c>
      <c r="H3098" s="1476">
        <f t="shared" si="364"/>
        <v>0</v>
      </c>
      <c r="I3098" s="1465">
        <v>0</v>
      </c>
      <c r="J3098" s="1465">
        <v>0</v>
      </c>
      <c r="K3098" s="1465">
        <v>0</v>
      </c>
      <c r="L3098" s="1465">
        <v>0</v>
      </c>
      <c r="M3098" s="1465">
        <v>0</v>
      </c>
      <c r="N3098" s="1487">
        <v>0</v>
      </c>
      <c r="O3098" s="1465">
        <v>0</v>
      </c>
      <c r="P3098" s="1477">
        <f t="shared" si="365"/>
        <v>0</v>
      </c>
      <c r="S3098" s="364"/>
      <c r="Z3098" s="609" t="s">
        <v>1246</v>
      </c>
      <c r="AA3098" s="609" t="s">
        <v>3720</v>
      </c>
    </row>
    <row r="3099" spans="1:29" ht="18">
      <c r="A3099" s="2714"/>
      <c r="B3099" s="371">
        <v>113</v>
      </c>
      <c r="C3099" s="371" t="s">
        <v>2791</v>
      </c>
      <c r="D3099" s="2716">
        <f t="shared" si="363"/>
        <v>1</v>
      </c>
      <c r="E3099" s="2721">
        <v>0</v>
      </c>
      <c r="F3099" s="294"/>
      <c r="G3099" s="1485" t="str">
        <f>G$3057&amp;"   "</f>
        <v xml:space="preserve">*9（在原值处修改清除）   </v>
      </c>
      <c r="H3099" s="1476">
        <f t="shared" si="364"/>
        <v>0</v>
      </c>
      <c r="I3099" s="1465">
        <v>0</v>
      </c>
      <c r="J3099" s="1465">
        <v>0</v>
      </c>
      <c r="K3099" s="1465">
        <v>0</v>
      </c>
      <c r="L3099" s="1465">
        <v>0</v>
      </c>
      <c r="M3099" s="1465">
        <v>0</v>
      </c>
      <c r="N3099" s="1487">
        <v>0</v>
      </c>
      <c r="O3099" s="1465">
        <v>0</v>
      </c>
      <c r="P3099" s="1477">
        <f t="shared" si="365"/>
        <v>0</v>
      </c>
      <c r="S3099" s="364"/>
      <c r="Z3099" s="609" t="s">
        <v>1246</v>
      </c>
      <c r="AA3099" s="609" t="s">
        <v>3720</v>
      </c>
    </row>
    <row r="3100" spans="1:29" ht="18">
      <c r="A3100" s="2714"/>
      <c r="B3100" s="371">
        <v>114</v>
      </c>
      <c r="C3100" s="371" t="s">
        <v>2791</v>
      </c>
      <c r="D3100" s="2716">
        <f t="shared" si="363"/>
        <v>1</v>
      </c>
      <c r="E3100" s="2721">
        <v>0</v>
      </c>
      <c r="F3100" s="294"/>
      <c r="G3100" s="1485" t="str">
        <f>G$3058&amp;"   "</f>
        <v xml:space="preserve">*10（在原值处修改清除）   </v>
      </c>
      <c r="H3100" s="1476">
        <f t="shared" si="364"/>
        <v>0</v>
      </c>
      <c r="I3100" s="1465">
        <v>0</v>
      </c>
      <c r="J3100" s="1465">
        <v>0</v>
      </c>
      <c r="K3100" s="1465">
        <v>0</v>
      </c>
      <c r="L3100" s="1465">
        <v>0</v>
      </c>
      <c r="M3100" s="1465">
        <v>0</v>
      </c>
      <c r="N3100" s="1487">
        <v>0</v>
      </c>
      <c r="O3100" s="1465">
        <v>0</v>
      </c>
      <c r="P3100" s="1477">
        <f t="shared" si="365"/>
        <v>0</v>
      </c>
      <c r="S3100" s="364"/>
      <c r="Z3100" s="609" t="s">
        <v>1246</v>
      </c>
      <c r="AA3100" s="609" t="s">
        <v>3720</v>
      </c>
    </row>
    <row r="3101" spans="1:29" ht="18">
      <c r="A3101" s="2714"/>
      <c r="B3101" s="371">
        <v>115</v>
      </c>
      <c r="C3101" s="371" t="s">
        <v>2791</v>
      </c>
      <c r="D3101" s="2716">
        <f t="shared" si="363"/>
        <v>1</v>
      </c>
      <c r="E3101" s="2721">
        <v>0</v>
      </c>
      <c r="F3101" s="294"/>
      <c r="G3101" s="1485" t="str">
        <f>G$3059&amp;"   "</f>
        <v xml:space="preserve">*11（在原值处修改清除）   </v>
      </c>
      <c r="H3101" s="1476">
        <f t="shared" si="364"/>
        <v>0</v>
      </c>
      <c r="I3101" s="1465">
        <v>0</v>
      </c>
      <c r="J3101" s="1465">
        <v>0</v>
      </c>
      <c r="K3101" s="1465">
        <v>0</v>
      </c>
      <c r="L3101" s="1465">
        <v>0</v>
      </c>
      <c r="M3101" s="1465">
        <v>0</v>
      </c>
      <c r="N3101" s="1487">
        <v>0</v>
      </c>
      <c r="O3101" s="1465">
        <v>0</v>
      </c>
      <c r="P3101" s="1477">
        <f t="shared" si="365"/>
        <v>0</v>
      </c>
      <c r="S3101" s="364"/>
      <c r="Z3101" s="609" t="s">
        <v>1246</v>
      </c>
      <c r="AA3101" s="609" t="s">
        <v>3720</v>
      </c>
    </row>
    <row r="3102" spans="1:29" ht="18">
      <c r="A3102" s="2714"/>
      <c r="B3102" s="371">
        <v>116</v>
      </c>
      <c r="C3102" s="371" t="s">
        <v>2791</v>
      </c>
      <c r="D3102" s="2716">
        <f t="shared" si="363"/>
        <v>1</v>
      </c>
      <c r="E3102" s="2721">
        <v>0</v>
      </c>
      <c r="F3102" s="294"/>
      <c r="G3102" s="1485" t="str">
        <f>G$3060&amp;"   "</f>
        <v xml:space="preserve">*12（在原值处修改清除）   </v>
      </c>
      <c r="H3102" s="1476">
        <f t="shared" si="364"/>
        <v>0</v>
      </c>
      <c r="I3102" s="1465">
        <v>0</v>
      </c>
      <c r="J3102" s="1465">
        <v>0</v>
      </c>
      <c r="K3102" s="1465">
        <v>0</v>
      </c>
      <c r="L3102" s="1465">
        <v>0</v>
      </c>
      <c r="M3102" s="1465">
        <v>0</v>
      </c>
      <c r="N3102" s="1487">
        <v>0</v>
      </c>
      <c r="O3102" s="1465">
        <v>0</v>
      </c>
      <c r="P3102" s="1477">
        <f t="shared" si="365"/>
        <v>0</v>
      </c>
      <c r="S3102" s="364"/>
      <c r="Z3102" s="609" t="s">
        <v>1246</v>
      </c>
      <c r="AA3102" s="609" t="s">
        <v>3720</v>
      </c>
    </row>
    <row r="3103" spans="1:29" ht="18.75" thickBot="1">
      <c r="A3103" s="2714"/>
      <c r="B3103" s="371"/>
      <c r="C3103" s="371"/>
      <c r="D3103" s="2716">
        <f t="shared" si="363"/>
        <v>1</v>
      </c>
      <c r="E3103" s="2721" t="s">
        <v>3032</v>
      </c>
      <c r="F3103" s="294"/>
      <c r="G3103" s="2382" t="s">
        <v>5186</v>
      </c>
      <c r="H3103" s="1478">
        <f>SUMPRODUCT($E3047:$E3102,H3047:H3102)</f>
        <v>132000</v>
      </c>
      <c r="I3103" s="2383">
        <v>0</v>
      </c>
      <c r="J3103" s="2383">
        <v>0</v>
      </c>
      <c r="K3103" s="2383">
        <v>0</v>
      </c>
      <c r="L3103" s="2383">
        <v>0</v>
      </c>
      <c r="M3103" s="2383">
        <v>0</v>
      </c>
      <c r="N3103" s="2383">
        <v>0</v>
      </c>
      <c r="O3103" s="2383">
        <v>0</v>
      </c>
      <c r="P3103" s="1479">
        <f>SUMPRODUCT($E3047:$E3102,P3047:P3102)</f>
        <v>0</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132000</v>
      </c>
      <c r="I3107" s="351"/>
      <c r="J3107" s="351"/>
      <c r="K3107" s="351"/>
      <c r="L3107" s="351"/>
      <c r="M3107" s="351"/>
      <c r="N3107" s="351"/>
      <c r="O3107" s="351"/>
      <c r="P3107" s="456">
        <f>SUM(P3091:P3102)</f>
        <v>0</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132000</v>
      </c>
      <c r="I3108" s="351"/>
      <c r="J3108" s="351"/>
      <c r="K3108" s="351"/>
      <c r="L3108" s="351"/>
      <c r="M3108" s="351"/>
      <c r="N3108" s="351"/>
      <c r="O3108" s="351"/>
      <c r="P3108" s="456">
        <f>P3103</f>
        <v>0</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66">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66"/>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66"/>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66"/>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66"/>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66"/>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66"/>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66"/>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66"/>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6532</v>
      </c>
      <c r="F3126" s="294"/>
      <c r="G3126" s="372" t="str">
        <f>"("&amp;B3126&amp;")"&amp;D3126</f>
        <v>(3)未办妥产权证书的土地使用权及其累计摊销明细项目</v>
      </c>
      <c r="H3126" s="1517" t="str">
        <f>$A3126</f>
        <v>1701e</v>
      </c>
      <c r="I3126" s="343" t="s">
        <v>5966</v>
      </c>
      <c r="J3126" s="301"/>
      <c r="K3126" s="3071"/>
      <c r="L3126" s="345"/>
      <c r="M3126" s="301"/>
      <c r="N3126" s="3071"/>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67">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67"/>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67"/>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67"/>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67"/>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67"/>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6532</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68">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68"/>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68"/>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68"/>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68"/>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68"/>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68"/>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68"/>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68"/>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6532</v>
      </c>
      <c r="F3149" s="293"/>
      <c r="G3149" s="372" t="str">
        <f>"("&amp;B3149&amp;")"&amp;D3149</f>
        <v>(5)无形资产补充资料</v>
      </c>
      <c r="H3149" s="1517" t="str">
        <f>$A3149</f>
        <v>1701h</v>
      </c>
      <c r="I3149" s="343" t="s">
        <v>6057</v>
      </c>
      <c r="J3149" s="301" t="s">
        <v>6058</v>
      </c>
      <c r="K3149" s="2210">
        <f>H3160</f>
        <v>0</v>
      </c>
      <c r="L3149" s="349" t="str">
        <f>IF($I3149="适用",IF(ROUND(K$3042-K3149,2)=0,"F/S",ROUND(K$3042-K3149,2)),"#N/A")</f>
        <v>F/S</v>
      </c>
      <c r="M3149" s="301" t="s">
        <v>6059</v>
      </c>
      <c r="N3149" s="2210">
        <f>I3160</f>
        <v>0</v>
      </c>
      <c r="O3149" s="349">
        <f>IF($I3149="适用",IF(ROUND(N$3042-N3149,2)=0,"F/S",ROUND(N$3042-N3149,2)),"#N/A")</f>
        <v>132000</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69">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69"/>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69"/>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69"/>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69"/>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69"/>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69"/>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69"/>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69"/>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6532</v>
      </c>
      <c r="F3162" s="294"/>
      <c r="G3162" s="372" t="str">
        <f>"("&amp;B3162&amp;")"&amp;D3162</f>
        <v>(6)无形资产累计摊销补充资料</v>
      </c>
      <c r="H3162" s="1517" t="str">
        <f>$A3162</f>
        <v>1701x</v>
      </c>
      <c r="I3162" s="343" t="s">
        <v>5966</v>
      </c>
      <c r="J3162" s="301"/>
      <c r="K3162" s="3071"/>
      <c r="L3162" s="315"/>
      <c r="M3162" s="301"/>
      <c r="N3162" s="3071"/>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0">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0"/>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0"/>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0"/>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0"/>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0"/>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0"/>
        <v>0</v>
      </c>
      <c r="E3171" s="2721">
        <v>1</v>
      </c>
      <c r="F3171" s="294"/>
      <c r="G3171" s="2375" t="s">
        <v>2792</v>
      </c>
      <c r="H3171" s="2275"/>
      <c r="I3171" s="2276"/>
      <c r="S3171" s="364"/>
      <c r="Z3171" s="609" t="s">
        <v>1246</v>
      </c>
      <c r="AA3171" s="609" t="s">
        <v>3720</v>
      </c>
    </row>
    <row r="3172" spans="1:27" ht="18.75" thickBot="1">
      <c r="A3172" s="2714"/>
      <c r="B3172" s="371"/>
      <c r="C3172" s="371"/>
      <c r="D3172" s="2716">
        <f t="shared" si="370"/>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0</v>
      </c>
      <c r="L3174" s="541"/>
      <c r="M3174" s="540" t="s">
        <v>2741</v>
      </c>
      <c r="N3174" s="341">
        <f>VLOOKUP($A3174,Sheet_Trialbal,10,0)</f>
        <v>0</v>
      </c>
      <c r="O3174" s="540"/>
      <c r="S3174" s="364"/>
      <c r="Z3174" s="609" t="s">
        <v>3728</v>
      </c>
      <c r="AA3174" s="609" t="s">
        <v>5666</v>
      </c>
    </row>
    <row r="3175" spans="1:27" ht="18">
      <c r="A3175" s="2714" t="s">
        <v>6567</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M3185</f>
        <v>13725286.220000001</v>
      </c>
      <c r="L3175" s="345">
        <f>IF($I3175="适用",IF(ROUND(K3174-K3175,2)=0,"F/S",ROUND(K3174-K3175,2)),"#N/A")</f>
        <v>-13725286.220000001</v>
      </c>
      <c r="M3175" s="301" t="s">
        <v>2745</v>
      </c>
      <c r="N3175" s="2210">
        <f>H3185</f>
        <v>0</v>
      </c>
      <c r="O3175" s="345" t="str">
        <f>IF($I3175="适用",IF(ROUND(N3174-N3175,2)=0,"F/S",ROUND(N3174-N3175,2)),"#N/A")</f>
        <v>F/S</v>
      </c>
      <c r="P3175" s="301"/>
      <c r="Q3175" s="290" t="str">
        <f>IF($I3175="不适用","",IF(ROUND(SUM($H$3180:$P$3185),2)=0,"请输入",""))</f>
        <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261" t="s">
        <v>47</v>
      </c>
      <c r="H3178" s="3223" t="str">
        <f>$V$3</f>
        <v>2018年12月31日</v>
      </c>
      <c r="I3178" s="3222" t="s">
        <v>3027</v>
      </c>
      <c r="J3178" s="3222"/>
      <c r="K3178" s="3222" t="s">
        <v>3028</v>
      </c>
      <c r="L3178" s="3222"/>
      <c r="M3178" s="3166" t="str">
        <f>$V$2</f>
        <v>2019年12月31日</v>
      </c>
      <c r="N3178" s="3194" t="s">
        <v>3742</v>
      </c>
      <c r="O3178" s="3194" t="s">
        <v>3743</v>
      </c>
      <c r="P3178" s="3164" t="s">
        <v>3744</v>
      </c>
      <c r="Q3178" s="355" t="s">
        <v>5293</v>
      </c>
      <c r="R3178" s="367"/>
      <c r="S3178" s="364"/>
      <c r="Z3178" s="609" t="s">
        <v>3728</v>
      </c>
      <c r="AA3178" s="609" t="s">
        <v>5666</v>
      </c>
    </row>
    <row r="3179" spans="1:27" ht="18">
      <c r="A3179" s="2714"/>
      <c r="B3179" s="371"/>
      <c r="C3179" s="371"/>
      <c r="D3179" s="371"/>
      <c r="E3179" s="2716" t="s">
        <v>2749</v>
      </c>
      <c r="F3179" s="294"/>
      <c r="G3179" s="3262"/>
      <c r="H3179" s="3224"/>
      <c r="I3179" s="554" t="s">
        <v>3745</v>
      </c>
      <c r="J3179" s="587" t="s">
        <v>3704</v>
      </c>
      <c r="K3179" s="554" t="s">
        <v>3746</v>
      </c>
      <c r="L3179" s="1491" t="s">
        <v>5200</v>
      </c>
      <c r="M3179" s="3167"/>
      <c r="N3179" s="3195"/>
      <c r="O3179" s="3195"/>
      <c r="P3179" s="3165"/>
      <c r="Q3179" s="367"/>
      <c r="R3179" s="367"/>
      <c r="S3179" s="364"/>
      <c r="Z3179" s="609" t="s">
        <v>3728</v>
      </c>
      <c r="AA3179" s="609" t="s">
        <v>5666</v>
      </c>
    </row>
    <row r="3180" spans="1:27" ht="18">
      <c r="A3180" s="2714"/>
      <c r="B3180" s="371">
        <v>101</v>
      </c>
      <c r="C3180" s="371" t="s">
        <v>2791</v>
      </c>
      <c r="D3180" s="2716">
        <f t="shared" ref="D3180:D3185" si="371">IF(OR(G3180="*",G3180="",G3180=0),0,COUNTIF($G$3180:$G$3185,G3180))</f>
        <v>1</v>
      </c>
      <c r="E3180" s="2721">
        <v>1</v>
      </c>
      <c r="F3180" s="294"/>
      <c r="G3180" s="409" t="s">
        <v>6842</v>
      </c>
      <c r="H3180" s="383"/>
      <c r="I3180" s="383">
        <v>13725286.220000001</v>
      </c>
      <c r="J3180" s="383"/>
      <c r="K3180" s="383"/>
      <c r="L3180" s="383"/>
      <c r="M3180" s="561">
        <f>SUM(H3180:J3180,-K3180,-L3180)</f>
        <v>13725286.220000001</v>
      </c>
      <c r="N3180" s="469"/>
      <c r="O3180" s="469"/>
      <c r="P3180" s="492"/>
      <c r="Q3180" s="367"/>
      <c r="R3180" s="367"/>
      <c r="S3180" s="364"/>
      <c r="Z3180" s="609" t="s">
        <v>3728</v>
      </c>
      <c r="AA3180" s="609" t="s">
        <v>5666</v>
      </c>
    </row>
    <row r="3181" spans="1:27" ht="18">
      <c r="A3181" s="2714"/>
      <c r="B3181" s="371">
        <v>102</v>
      </c>
      <c r="C3181" s="371" t="s">
        <v>2791</v>
      </c>
      <c r="D3181" s="2716">
        <f t="shared" si="371"/>
        <v>0</v>
      </c>
      <c r="E3181" s="2721">
        <v>1</v>
      </c>
      <c r="F3181" s="294"/>
      <c r="G3181" s="409" t="s">
        <v>2792</v>
      </c>
      <c r="H3181" s="383"/>
      <c r="I3181" s="383"/>
      <c r="J3181" s="383"/>
      <c r="K3181" s="383"/>
      <c r="L3181" s="383"/>
      <c r="M3181" s="561">
        <f>SUM(H3181:J3181,-K3181,-L3181)</f>
        <v>0</v>
      </c>
      <c r="N3181" s="469"/>
      <c r="O3181" s="469"/>
      <c r="P3181" s="492"/>
      <c r="Q3181" s="367"/>
      <c r="R3181" s="367"/>
      <c r="S3181" s="364"/>
      <c r="Z3181" s="609" t="s">
        <v>3728</v>
      </c>
      <c r="AA3181" s="609" t="s">
        <v>5666</v>
      </c>
    </row>
    <row r="3182" spans="1:27" ht="18">
      <c r="A3182" s="2714"/>
      <c r="B3182" s="371">
        <v>103</v>
      </c>
      <c r="C3182" s="371" t="s">
        <v>2791</v>
      </c>
      <c r="D3182" s="2716">
        <f t="shared" si="371"/>
        <v>0</v>
      </c>
      <c r="E3182" s="2721">
        <v>1</v>
      </c>
      <c r="F3182" s="294"/>
      <c r="G3182" s="409" t="s">
        <v>2792</v>
      </c>
      <c r="H3182" s="383"/>
      <c r="I3182" s="383"/>
      <c r="J3182" s="383"/>
      <c r="K3182" s="383"/>
      <c r="L3182" s="383"/>
      <c r="M3182" s="561">
        <f>SUM(H3182:J3182,-K3182,-L3182)</f>
        <v>0</v>
      </c>
      <c r="N3182" s="469"/>
      <c r="O3182" s="469"/>
      <c r="P3182" s="492"/>
      <c r="Q3182" s="367"/>
      <c r="R3182" s="367"/>
      <c r="S3182" s="364"/>
      <c r="Z3182" s="609" t="s">
        <v>3728</v>
      </c>
      <c r="AA3182" s="609" t="s">
        <v>5666</v>
      </c>
    </row>
    <row r="3183" spans="1:27" ht="18">
      <c r="A3183" s="2714"/>
      <c r="B3183" s="371">
        <v>104</v>
      </c>
      <c r="C3183" s="371" t="s">
        <v>2791</v>
      </c>
      <c r="D3183" s="2716">
        <f t="shared" si="371"/>
        <v>0</v>
      </c>
      <c r="E3183" s="2721">
        <v>1</v>
      </c>
      <c r="F3183" s="294"/>
      <c r="G3183" s="409" t="s">
        <v>2792</v>
      </c>
      <c r="H3183" s="383"/>
      <c r="I3183" s="383"/>
      <c r="J3183" s="383"/>
      <c r="K3183" s="383"/>
      <c r="L3183" s="383"/>
      <c r="M3183" s="561">
        <f>SUM(H3183:J3183,-K3183,-L3183)</f>
        <v>0</v>
      </c>
      <c r="N3183" s="469"/>
      <c r="O3183" s="469"/>
      <c r="P3183" s="492"/>
      <c r="Q3183" s="367"/>
      <c r="R3183" s="367"/>
      <c r="S3183" s="364"/>
      <c r="Z3183" s="609" t="s">
        <v>3728</v>
      </c>
      <c r="AA3183" s="609" t="s">
        <v>5666</v>
      </c>
    </row>
    <row r="3184" spans="1:27" ht="18">
      <c r="A3184" s="2714"/>
      <c r="B3184" s="371">
        <v>105</v>
      </c>
      <c r="C3184" s="371" t="s">
        <v>2791</v>
      </c>
      <c r="D3184" s="2716">
        <f t="shared" si="371"/>
        <v>0</v>
      </c>
      <c r="E3184" s="2721">
        <v>1</v>
      </c>
      <c r="F3184" s="294"/>
      <c r="G3184" s="409" t="s">
        <v>2792</v>
      </c>
      <c r="H3184" s="383"/>
      <c r="I3184" s="383"/>
      <c r="J3184" s="383"/>
      <c r="K3184" s="383"/>
      <c r="L3184" s="383"/>
      <c r="M3184" s="561">
        <f>SUM(H3184:J3184,-K3184,-L3184)</f>
        <v>0</v>
      </c>
      <c r="N3184" s="469"/>
      <c r="O3184" s="469"/>
      <c r="P3184" s="492"/>
      <c r="Q3184" s="367"/>
      <c r="R3184" s="367"/>
      <c r="S3184" s="364"/>
      <c r="Z3184" s="609" t="s">
        <v>3728</v>
      </c>
      <c r="AA3184" s="609" t="s">
        <v>5666</v>
      </c>
    </row>
    <row r="3185" spans="1:27" ht="18.75" thickBot="1">
      <c r="A3185" s="2714"/>
      <c r="B3185" s="371"/>
      <c r="C3185" s="371"/>
      <c r="D3185" s="2716">
        <f t="shared" si="371"/>
        <v>1</v>
      </c>
      <c r="E3185" s="2721" t="s">
        <v>2751</v>
      </c>
      <c r="F3185" s="294"/>
      <c r="G3185" s="403" t="s">
        <v>2752</v>
      </c>
      <c r="H3185" s="503">
        <f t="shared" ref="H3185:M3185" si="372">SUMPRODUCT($E3179:$E3184,H3179:H3184)</f>
        <v>0</v>
      </c>
      <c r="I3185" s="503">
        <f t="shared" si="372"/>
        <v>13725286.220000001</v>
      </c>
      <c r="J3185" s="503">
        <f t="shared" si="372"/>
        <v>0</v>
      </c>
      <c r="K3185" s="503">
        <f t="shared" si="372"/>
        <v>0</v>
      </c>
      <c r="L3185" s="503">
        <f t="shared" si="372"/>
        <v>0</v>
      </c>
      <c r="M3185" s="503">
        <f t="shared" si="372"/>
        <v>13725286.220000001</v>
      </c>
      <c r="N3185" s="2591"/>
      <c r="O3185" s="2591"/>
      <c r="P3185" s="2592"/>
      <c r="Q3185" s="367"/>
      <c r="R3185" s="367"/>
      <c r="S3185" s="364"/>
      <c r="Z3185" s="609" t="s">
        <v>3728</v>
      </c>
      <c r="AA3185" s="609" t="s">
        <v>5666</v>
      </c>
    </row>
    <row r="3186" spans="1:27" ht="18">
      <c r="A3186" s="2714"/>
      <c r="B3186" s="371"/>
      <c r="C3186" s="371" t="s">
        <v>2755</v>
      </c>
      <c r="D3186" s="371"/>
      <c r="F3186" s="294"/>
      <c r="G3186" s="557"/>
      <c r="H3186" s="349"/>
      <c r="I3186" s="349"/>
      <c r="J3186" s="349"/>
      <c r="K3186" s="349"/>
      <c r="L3186" s="349"/>
      <c r="M3186" s="349"/>
      <c r="N3186" s="350"/>
      <c r="O3186" s="350"/>
      <c r="P3186" s="350"/>
      <c r="Q3186" s="367"/>
      <c r="R3186" s="367"/>
      <c r="S3186" s="364"/>
      <c r="Z3186" s="609" t="s">
        <v>3728</v>
      </c>
      <c r="AA3186" s="609" t="s">
        <v>5666</v>
      </c>
    </row>
    <row r="3187" spans="1:27" ht="18">
      <c r="A3187" s="2714">
        <v>1711</v>
      </c>
      <c r="B3187" s="371">
        <v>29</v>
      </c>
      <c r="C3187" s="2716" t="str">
        <f>VLOOKUP($A3187,Sheet_Items,2,0)</f>
        <v>商誉</v>
      </c>
      <c r="D3187" s="371"/>
      <c r="E3187" s="2716" t="s">
        <v>2739</v>
      </c>
      <c r="F3187" s="294"/>
      <c r="G3187" s="305" t="str">
        <f>B3187&amp;" "&amp;C3187</f>
        <v>29 商誉</v>
      </c>
      <c r="H3187" s="306"/>
      <c r="I3187" s="306"/>
      <c r="J3187" s="306" t="s">
        <v>2740</v>
      </c>
      <c r="K3187" s="341">
        <f>VLOOKUP($A3187,Sheet_Trialbal,6,0)</f>
        <v>0</v>
      </c>
      <c r="L3187" s="342"/>
      <c r="M3187" s="306" t="s">
        <v>2741</v>
      </c>
      <c r="N3187" s="341">
        <f>VLOOKUP($A3187,Sheet_Trialbal,10,0)</f>
        <v>0</v>
      </c>
      <c r="O3187" s="306"/>
      <c r="P3187" s="301"/>
      <c r="S3187" s="364"/>
      <c r="Z3187" s="609" t="s">
        <v>1296</v>
      </c>
      <c r="AA3187" s="609" t="s">
        <v>5667</v>
      </c>
    </row>
    <row r="3188" spans="1:27" ht="18">
      <c r="A3188" s="2714" t="s">
        <v>1294</v>
      </c>
      <c r="B3188" s="371">
        <v>1</v>
      </c>
      <c r="C3188" s="371"/>
      <c r="D3188" s="2716" t="str">
        <f>VLOOKUP($A3188,Sheet_NoteList,2,0)</f>
        <v>商誉账面原值</v>
      </c>
      <c r="E3188" s="2716" t="s">
        <v>2742</v>
      </c>
      <c r="F3188" s="294"/>
      <c r="G3188" s="307" t="str">
        <f>"("&amp;B3188&amp;")"&amp;D3188</f>
        <v>(1)商誉账面原值</v>
      </c>
      <c r="H3188" s="1517" t="str">
        <f>$A3188</f>
        <v>1711a</v>
      </c>
      <c r="I3188" s="343" t="s">
        <v>2743</v>
      </c>
      <c r="J3188" s="301" t="s">
        <v>2744</v>
      </c>
      <c r="K3188" s="2210">
        <f>M3198-K3200</f>
        <v>0</v>
      </c>
      <c r="L3188" s="345" t="str">
        <f>IF($I3188="适用",IF(ROUND(K3187-K3188-K3200,2)=0,"F/S",ROUND(K3187-K3188-K3200,2)),"#N/A")</f>
        <v>F/S</v>
      </c>
      <c r="M3188" s="301" t="s">
        <v>2745</v>
      </c>
      <c r="N3188" s="2210">
        <f>H3198-N3200</f>
        <v>0</v>
      </c>
      <c r="O3188" s="345" t="str">
        <f>IF($I3188="适用",IF(ROUND(N3187-N3188-N3200,2)=0,"F/S",ROUND(N3187-N3188-N3200,2)),"#N/A")</f>
        <v>F/S</v>
      </c>
      <c r="P3188" s="301"/>
      <c r="Q3188" s="290" t="str">
        <f>IF($I3188="不适用","",IF(ROUND(SUM($H$3193:$M$3198),2)=0,"请输入",""))</f>
        <v>请输入</v>
      </c>
      <c r="S3188" s="364"/>
      <c r="Z3188" s="609" t="s">
        <v>1296</v>
      </c>
      <c r="AA3188" s="609" t="s">
        <v>5667</v>
      </c>
    </row>
    <row r="3189" spans="1:27" ht="0.75" customHeight="1">
      <c r="A3189" s="2714"/>
      <c r="B3189" s="371"/>
      <c r="C3189" s="371"/>
      <c r="D3189" s="371"/>
      <c r="E3189" s="586"/>
      <c r="F3189" s="518"/>
      <c r="G3189" s="518" t="s">
        <v>3747</v>
      </c>
      <c r="H3189" s="304" t="s">
        <v>2904</v>
      </c>
      <c r="I3189" s="304" t="s">
        <v>3748</v>
      </c>
      <c r="J3189" s="304" t="s">
        <v>3578</v>
      </c>
      <c r="K3189" s="304" t="s">
        <v>3579</v>
      </c>
      <c r="L3189" s="304" t="s">
        <v>3580</v>
      </c>
      <c r="M3189" s="304" t="s">
        <v>3221</v>
      </c>
      <c r="P3189" s="291"/>
      <c r="S3189" s="364"/>
      <c r="Z3189" s="609" t="s">
        <v>1296</v>
      </c>
      <c r="AA3189" s="609" t="s">
        <v>5667</v>
      </c>
    </row>
    <row r="3190" spans="1:27" ht="0.75" customHeight="1" thickBot="1">
      <c r="A3190" s="2714"/>
      <c r="B3190" s="371"/>
      <c r="C3190" s="371"/>
      <c r="D3190" s="371"/>
      <c r="E3190" s="586"/>
      <c r="F3190" s="518"/>
      <c r="G3190" s="518"/>
      <c r="H3190" s="304" t="s">
        <v>3691</v>
      </c>
      <c r="I3190" s="304" t="s">
        <v>3749</v>
      </c>
      <c r="J3190" s="304" t="s">
        <v>3736</v>
      </c>
      <c r="K3190" s="304" t="s">
        <v>3750</v>
      </c>
      <c r="L3190" s="304" t="s">
        <v>3751</v>
      </c>
      <c r="M3190" s="304" t="s">
        <v>3508</v>
      </c>
      <c r="P3190" s="291"/>
      <c r="S3190" s="364"/>
      <c r="Z3190" s="609" t="s">
        <v>1296</v>
      </c>
      <c r="AA3190" s="609" t="s">
        <v>5667</v>
      </c>
    </row>
    <row r="3191" spans="1:27" ht="24" customHeight="1">
      <c r="A3191" s="2714"/>
      <c r="B3191" s="371"/>
      <c r="C3191" s="371"/>
      <c r="D3191" s="371"/>
      <c r="E3191" s="586" t="s">
        <v>2749</v>
      </c>
      <c r="F3191" s="2343"/>
      <c r="G3191" s="3220" t="s">
        <v>3752</v>
      </c>
      <c r="H3191" s="3141" t="str">
        <f>$V$3</f>
        <v>2018年12月31日</v>
      </c>
      <c r="I3191" s="3188" t="s">
        <v>3027</v>
      </c>
      <c r="J3191" s="3188"/>
      <c r="K3191" s="3188" t="s">
        <v>3028</v>
      </c>
      <c r="L3191" s="3188"/>
      <c r="M3191" s="3233" t="str">
        <f>$V$2</f>
        <v>2019年12月31日</v>
      </c>
      <c r="N3191" s="355" t="s">
        <v>5294</v>
      </c>
      <c r="P3191" s="291"/>
      <c r="S3191" s="364"/>
      <c r="Z3191" s="609" t="s">
        <v>1296</v>
      </c>
      <c r="AA3191" s="609" t="s">
        <v>5667</v>
      </c>
    </row>
    <row r="3192" spans="1:27" ht="18">
      <c r="A3192" s="2714"/>
      <c r="B3192" s="371"/>
      <c r="C3192" s="371"/>
      <c r="D3192" s="371"/>
      <c r="E3192" s="586" t="s">
        <v>2749</v>
      </c>
      <c r="F3192" s="363"/>
      <c r="G3192" s="3221"/>
      <c r="H3192" s="3142"/>
      <c r="I3192" s="2369" t="s">
        <v>6067</v>
      </c>
      <c r="J3192" s="2369" t="s">
        <v>3704</v>
      </c>
      <c r="K3192" s="2369" t="s">
        <v>3596</v>
      </c>
      <c r="L3192" s="2369" t="s">
        <v>3658</v>
      </c>
      <c r="M3192" s="3234"/>
      <c r="P3192" s="291"/>
      <c r="S3192" s="364"/>
      <c r="Z3192" s="609" t="s">
        <v>1296</v>
      </c>
      <c r="AA3192" s="609" t="s">
        <v>5667</v>
      </c>
    </row>
    <row r="3193" spans="1:27" ht="18">
      <c r="A3193" s="2714"/>
      <c r="B3193" s="371">
        <v>101</v>
      </c>
      <c r="C3193" s="371" t="s">
        <v>2791</v>
      </c>
      <c r="D3193" s="2716">
        <f t="shared" ref="D3193:D3198" si="373">IF(OR(G3193="*",G3193="",G3193=0),0,COUNTIF($G$3193:$G$3198,G3193))</f>
        <v>0</v>
      </c>
      <c r="E3193" s="2721">
        <v>1</v>
      </c>
      <c r="F3193" s="294"/>
      <c r="G3193" s="2375" t="s">
        <v>2792</v>
      </c>
      <c r="H3193" s="2275"/>
      <c r="I3193" s="2275"/>
      <c r="J3193" s="2275"/>
      <c r="K3193" s="2275"/>
      <c r="L3193" s="2275"/>
      <c r="M3193" s="1477">
        <f>SUM(H3193:J3193,-K3193,-L3193)</f>
        <v>0</v>
      </c>
      <c r="N3193" s="291"/>
      <c r="O3193" s="291"/>
      <c r="P3193" s="291"/>
      <c r="S3193" s="364"/>
      <c r="Z3193" s="609" t="s">
        <v>1296</v>
      </c>
      <c r="AA3193" s="609" t="s">
        <v>5667</v>
      </c>
    </row>
    <row r="3194" spans="1:27" ht="18">
      <c r="A3194" s="2714"/>
      <c r="B3194" s="371">
        <v>102</v>
      </c>
      <c r="C3194" s="371" t="s">
        <v>2791</v>
      </c>
      <c r="D3194" s="2716">
        <f t="shared" si="373"/>
        <v>0</v>
      </c>
      <c r="E3194" s="2721">
        <v>1</v>
      </c>
      <c r="F3194" s="294"/>
      <c r="G3194" s="2375" t="s">
        <v>2792</v>
      </c>
      <c r="H3194" s="2275"/>
      <c r="I3194" s="2275"/>
      <c r="J3194" s="2275"/>
      <c r="K3194" s="2275"/>
      <c r="L3194" s="2275"/>
      <c r="M3194" s="1477">
        <f>SUM(H3194:J3194,-K3194,-L3194)</f>
        <v>0</v>
      </c>
      <c r="N3194" s="291"/>
      <c r="O3194" s="291"/>
      <c r="P3194" s="291"/>
      <c r="S3194" s="364"/>
      <c r="Z3194" s="609" t="s">
        <v>1296</v>
      </c>
      <c r="AA3194" s="609" t="s">
        <v>5667</v>
      </c>
    </row>
    <row r="3195" spans="1:27" ht="18">
      <c r="A3195" s="2714"/>
      <c r="B3195" s="371">
        <v>103</v>
      </c>
      <c r="C3195" s="371" t="s">
        <v>2791</v>
      </c>
      <c r="D3195" s="2716">
        <f t="shared" si="373"/>
        <v>0</v>
      </c>
      <c r="E3195" s="2721">
        <v>1</v>
      </c>
      <c r="F3195" s="294"/>
      <c r="G3195" s="2375" t="s">
        <v>2792</v>
      </c>
      <c r="H3195" s="2275"/>
      <c r="I3195" s="2275"/>
      <c r="J3195" s="2275"/>
      <c r="K3195" s="2275"/>
      <c r="L3195" s="2275"/>
      <c r="M3195" s="1477">
        <f>SUM(H3195:J3195,-K3195,-L3195)</f>
        <v>0</v>
      </c>
      <c r="N3195" s="291"/>
      <c r="O3195" s="291"/>
      <c r="P3195" s="291"/>
      <c r="S3195" s="364"/>
      <c r="Z3195" s="609" t="s">
        <v>1296</v>
      </c>
      <c r="AA3195" s="609" t="s">
        <v>5667</v>
      </c>
    </row>
    <row r="3196" spans="1:27" ht="18">
      <c r="A3196" s="2714"/>
      <c r="B3196" s="371">
        <v>104</v>
      </c>
      <c r="C3196" s="371" t="s">
        <v>2791</v>
      </c>
      <c r="D3196" s="2716">
        <f t="shared" si="373"/>
        <v>0</v>
      </c>
      <c r="E3196" s="2721">
        <v>1</v>
      </c>
      <c r="F3196" s="294"/>
      <c r="G3196" s="2375" t="s">
        <v>2792</v>
      </c>
      <c r="H3196" s="2275"/>
      <c r="I3196" s="2275"/>
      <c r="J3196" s="2275"/>
      <c r="K3196" s="2275"/>
      <c r="L3196" s="2275"/>
      <c r="M3196" s="1477">
        <f>SUM(H3196:J3196,-K3196,-L3196)</f>
        <v>0</v>
      </c>
      <c r="N3196" s="291"/>
      <c r="O3196" s="291"/>
      <c r="P3196" s="291"/>
      <c r="S3196" s="364"/>
      <c r="Z3196" s="609" t="s">
        <v>1296</v>
      </c>
      <c r="AA3196" s="609" t="s">
        <v>5667</v>
      </c>
    </row>
    <row r="3197" spans="1:27" ht="18">
      <c r="A3197" s="2714"/>
      <c r="B3197" s="371">
        <v>105</v>
      </c>
      <c r="C3197" s="371" t="s">
        <v>2791</v>
      </c>
      <c r="D3197" s="2716">
        <f t="shared" si="373"/>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75" thickBot="1">
      <c r="A3198" s="2714"/>
      <c r="B3198" s="371"/>
      <c r="C3198" s="371"/>
      <c r="D3198" s="2716">
        <f t="shared" si="373"/>
        <v>1</v>
      </c>
      <c r="E3198" s="2721" t="s">
        <v>2751</v>
      </c>
      <c r="F3198" s="294"/>
      <c r="G3198" s="374" t="s">
        <v>2752</v>
      </c>
      <c r="H3198" s="1478">
        <f t="shared" ref="H3198:M3198" si="374">SUMPRODUCT($E3192:$E3197,H3192:H3197)</f>
        <v>0</v>
      </c>
      <c r="I3198" s="1478">
        <f t="shared" si="374"/>
        <v>0</v>
      </c>
      <c r="J3198" s="1478">
        <f t="shared" si="374"/>
        <v>0</v>
      </c>
      <c r="K3198" s="1478">
        <f t="shared" si="374"/>
        <v>0</v>
      </c>
      <c r="L3198" s="1478">
        <f t="shared" si="374"/>
        <v>0</v>
      </c>
      <c r="M3198" s="1479">
        <f t="shared" si="374"/>
        <v>0</v>
      </c>
      <c r="N3198" s="291"/>
      <c r="O3198" s="291"/>
      <c r="P3198" s="291"/>
      <c r="S3198" s="364"/>
      <c r="Z3198" s="609" t="s">
        <v>1296</v>
      </c>
      <c r="AA3198" s="609" t="s">
        <v>5667</v>
      </c>
    </row>
    <row r="3199" spans="1:27" ht="18">
      <c r="A3199" s="2714"/>
      <c r="B3199" s="371"/>
      <c r="C3199" s="371" t="s">
        <v>2755</v>
      </c>
      <c r="D3199" s="371"/>
      <c r="F3199" s="294"/>
      <c r="G3199" s="301"/>
      <c r="H3199" s="315"/>
      <c r="I3199" s="315"/>
      <c r="J3199" s="315"/>
      <c r="K3199" s="315"/>
      <c r="L3199" s="315"/>
      <c r="M3199" s="315"/>
      <c r="N3199" s="291"/>
      <c r="O3199" s="291"/>
      <c r="P3199" s="291"/>
      <c r="S3199" s="364"/>
      <c r="Z3199" s="609" t="s">
        <v>1296</v>
      </c>
      <c r="AA3199" s="609" t="s">
        <v>5667</v>
      </c>
    </row>
    <row r="3200" spans="1:27" ht="18">
      <c r="A3200" s="2714" t="s">
        <v>1300</v>
      </c>
      <c r="B3200" s="371">
        <v>2</v>
      </c>
      <c r="C3200" s="371"/>
      <c r="D3200" s="2716" t="str">
        <f>VLOOKUP($A3200,Sheet_NoteList,2,0)</f>
        <v>商誉减值准备</v>
      </c>
      <c r="E3200" s="2716" t="s">
        <v>2742</v>
      </c>
      <c r="F3200" s="294"/>
      <c r="G3200" s="307" t="str">
        <f>"("&amp;B3200&amp;")"&amp;D3200</f>
        <v>(2)商誉减值准备</v>
      </c>
      <c r="H3200" s="1517" t="str">
        <f>$A3200</f>
        <v>1711b</v>
      </c>
      <c r="I3200" s="343" t="s">
        <v>2743</v>
      </c>
      <c r="J3200" s="301" t="s">
        <v>2744</v>
      </c>
      <c r="K3200" s="2210">
        <f>M3210</f>
        <v>0</v>
      </c>
      <c r="L3200" s="345"/>
      <c r="M3200" s="301" t="s">
        <v>2745</v>
      </c>
      <c r="N3200" s="2210">
        <f>H3210</f>
        <v>0</v>
      </c>
      <c r="O3200" s="315"/>
      <c r="P3200" s="301"/>
      <c r="Q3200" s="290" t="str">
        <f>IF($I3200="不适用","",IF(ROUND(SUM($H$3205:$M$3210),2)=0,"请输入",""))</f>
        <v>请输入</v>
      </c>
      <c r="S3200" s="364"/>
      <c r="Z3200" s="609" t="s">
        <v>1296</v>
      </c>
      <c r="AA3200" s="609" t="s">
        <v>5667</v>
      </c>
    </row>
    <row r="3201" spans="1:34" ht="0.75" customHeight="1">
      <c r="A3201" s="2714"/>
      <c r="B3201" s="371"/>
      <c r="C3201" s="371"/>
      <c r="D3201" s="371"/>
      <c r="E3201" s="586"/>
      <c r="F3201" s="518"/>
      <c r="G3201" s="518" t="s">
        <v>3753</v>
      </c>
      <c r="H3201" s="304" t="s">
        <v>2904</v>
      </c>
      <c r="I3201" s="304" t="s">
        <v>2905</v>
      </c>
      <c r="J3201" s="304" t="s">
        <v>3578</v>
      </c>
      <c r="K3201" s="304" t="s">
        <v>3579</v>
      </c>
      <c r="L3201" s="304" t="s">
        <v>3580</v>
      </c>
      <c r="M3201" s="304" t="s">
        <v>3221</v>
      </c>
      <c r="P3201" s="291"/>
      <c r="S3201" s="364"/>
      <c r="Z3201" s="609" t="s">
        <v>1296</v>
      </c>
      <c r="AA3201" s="609" t="s">
        <v>5667</v>
      </c>
    </row>
    <row r="3202" spans="1:34" ht="0.75" customHeight="1" thickBot="1">
      <c r="A3202" s="2714"/>
      <c r="B3202" s="371"/>
      <c r="C3202" s="371"/>
      <c r="D3202" s="371"/>
      <c r="E3202" s="586"/>
      <c r="F3202" s="518"/>
      <c r="G3202" s="518"/>
      <c r="H3202" s="304" t="s">
        <v>3691</v>
      </c>
      <c r="I3202" s="304" t="s">
        <v>3021</v>
      </c>
      <c r="J3202" s="304" t="s">
        <v>3736</v>
      </c>
      <c r="K3202" s="304" t="s">
        <v>3750</v>
      </c>
      <c r="L3202" s="304" t="s">
        <v>3751</v>
      </c>
      <c r="M3202" s="304" t="s">
        <v>3508</v>
      </c>
      <c r="P3202" s="291"/>
      <c r="S3202" s="364"/>
      <c r="Z3202" s="609" t="s">
        <v>1296</v>
      </c>
      <c r="AA3202" s="609" t="s">
        <v>5667</v>
      </c>
    </row>
    <row r="3203" spans="1:34" ht="24" customHeight="1">
      <c r="A3203" s="2714"/>
      <c r="B3203" s="371"/>
      <c r="C3203" s="371"/>
      <c r="D3203" s="371"/>
      <c r="E3203" s="586" t="s">
        <v>2749</v>
      </c>
      <c r="F3203" s="2343"/>
      <c r="G3203" s="3220" t="s">
        <v>3752</v>
      </c>
      <c r="H3203" s="3141" t="str">
        <f>$V$3</f>
        <v>2018年12月31日</v>
      </c>
      <c r="I3203" s="3188" t="s">
        <v>3027</v>
      </c>
      <c r="J3203" s="3188"/>
      <c r="K3203" s="3188" t="s">
        <v>3028</v>
      </c>
      <c r="L3203" s="3188"/>
      <c r="M3203" s="3233" t="str">
        <f>$V$2</f>
        <v>2019年12月31日</v>
      </c>
      <c r="N3203" s="355" t="s">
        <v>5294</v>
      </c>
      <c r="P3203" s="291"/>
      <c r="S3203" s="364"/>
      <c r="Z3203" s="609" t="s">
        <v>1296</v>
      </c>
      <c r="AA3203" s="609" t="s">
        <v>5667</v>
      </c>
    </row>
    <row r="3204" spans="1:34" ht="18">
      <c r="A3204" s="2714"/>
      <c r="B3204" s="371"/>
      <c r="C3204" s="371"/>
      <c r="D3204" s="371"/>
      <c r="E3204" s="586" t="s">
        <v>2749</v>
      </c>
      <c r="F3204" s="363"/>
      <c r="G3204" s="3221"/>
      <c r="H3204" s="3142"/>
      <c r="I3204" s="2369" t="s">
        <v>2920</v>
      </c>
      <c r="J3204" s="2369" t="s">
        <v>3704</v>
      </c>
      <c r="K3204" s="2369" t="s">
        <v>3596</v>
      </c>
      <c r="L3204" s="2369" t="s">
        <v>3658</v>
      </c>
      <c r="M3204" s="3234"/>
      <c r="P3204" s="291"/>
      <c r="S3204" s="364"/>
      <c r="Z3204" s="609" t="s">
        <v>1296</v>
      </c>
      <c r="AA3204" s="609" t="s">
        <v>5667</v>
      </c>
    </row>
    <row r="3205" spans="1:34" ht="18">
      <c r="A3205" s="2714"/>
      <c r="B3205" s="371">
        <v>101</v>
      </c>
      <c r="C3205" s="371" t="s">
        <v>2791</v>
      </c>
      <c r="D3205" s="2716">
        <f t="shared" ref="D3205:D3210" si="375">IF(OR(G3205="*",G3205="",G3205=0),0,COUNTIF($G$3205:$G$3210,G3205))</f>
        <v>0</v>
      </c>
      <c r="E3205" s="2721">
        <v>1</v>
      </c>
      <c r="F3205" s="294"/>
      <c r="G3205" s="2375" t="s">
        <v>2792</v>
      </c>
      <c r="H3205" s="2275"/>
      <c r="I3205" s="2275"/>
      <c r="J3205" s="2275"/>
      <c r="K3205" s="2275"/>
      <c r="L3205" s="2275"/>
      <c r="M3205" s="1477">
        <f>SUM(H3205:J3205,-K3205,-L3205)</f>
        <v>0</v>
      </c>
      <c r="N3205" s="291"/>
      <c r="O3205" s="291"/>
      <c r="P3205" s="291"/>
      <c r="S3205" s="364"/>
      <c r="Z3205" s="609" t="s">
        <v>1296</v>
      </c>
      <c r="AA3205" s="609" t="s">
        <v>5667</v>
      </c>
    </row>
    <row r="3206" spans="1:34" ht="18">
      <c r="A3206" s="2714"/>
      <c r="B3206" s="371">
        <v>102</v>
      </c>
      <c r="C3206" s="371" t="s">
        <v>2791</v>
      </c>
      <c r="D3206" s="2716">
        <f t="shared" si="375"/>
        <v>0</v>
      </c>
      <c r="E3206" s="2721">
        <v>1</v>
      </c>
      <c r="F3206" s="294"/>
      <c r="G3206" s="2375" t="s">
        <v>2792</v>
      </c>
      <c r="H3206" s="2275"/>
      <c r="I3206" s="2275"/>
      <c r="J3206" s="2275"/>
      <c r="K3206" s="2275"/>
      <c r="L3206" s="2275"/>
      <c r="M3206" s="1477">
        <f>SUM(H3206:J3206,-K3206,-L3206)</f>
        <v>0</v>
      </c>
      <c r="N3206" s="291"/>
      <c r="O3206" s="291"/>
      <c r="P3206" s="291"/>
      <c r="S3206" s="364"/>
      <c r="Z3206" s="609" t="s">
        <v>1296</v>
      </c>
      <c r="AA3206" s="609" t="s">
        <v>5667</v>
      </c>
    </row>
    <row r="3207" spans="1:34" ht="18">
      <c r="A3207" s="2714"/>
      <c r="B3207" s="371">
        <v>103</v>
      </c>
      <c r="C3207" s="371" t="s">
        <v>2791</v>
      </c>
      <c r="D3207" s="2716">
        <f t="shared" si="375"/>
        <v>0</v>
      </c>
      <c r="E3207" s="2721">
        <v>1</v>
      </c>
      <c r="F3207" s="294"/>
      <c r="G3207" s="2375" t="s">
        <v>2792</v>
      </c>
      <c r="H3207" s="2275"/>
      <c r="I3207" s="2275"/>
      <c r="J3207" s="2275"/>
      <c r="K3207" s="2275"/>
      <c r="L3207" s="2275"/>
      <c r="M3207" s="1477">
        <f>SUM(H3207:J3207,-K3207,-L3207)</f>
        <v>0</v>
      </c>
      <c r="N3207" s="291"/>
      <c r="O3207" s="291"/>
      <c r="P3207" s="291"/>
      <c r="S3207" s="364"/>
      <c r="Z3207" s="609" t="s">
        <v>1296</v>
      </c>
      <c r="AA3207" s="609" t="s">
        <v>5667</v>
      </c>
    </row>
    <row r="3208" spans="1:34" ht="18">
      <c r="A3208" s="2714"/>
      <c r="B3208" s="371">
        <v>104</v>
      </c>
      <c r="C3208" s="371" t="s">
        <v>2791</v>
      </c>
      <c r="D3208" s="2716">
        <f t="shared" si="375"/>
        <v>0</v>
      </c>
      <c r="E3208" s="2721">
        <v>1</v>
      </c>
      <c r="F3208" s="294"/>
      <c r="G3208" s="2375" t="s">
        <v>2792</v>
      </c>
      <c r="H3208" s="2275"/>
      <c r="I3208" s="2275"/>
      <c r="J3208" s="2275"/>
      <c r="K3208" s="2275"/>
      <c r="L3208" s="2275"/>
      <c r="M3208" s="1477">
        <f>SUM(H3208:J3208,-K3208,-L3208)</f>
        <v>0</v>
      </c>
      <c r="N3208" s="291"/>
      <c r="O3208" s="291"/>
      <c r="P3208" s="291"/>
      <c r="S3208" s="364"/>
      <c r="Z3208" s="609" t="s">
        <v>1296</v>
      </c>
      <c r="AA3208" s="609" t="s">
        <v>5667</v>
      </c>
    </row>
    <row r="3209" spans="1:34" ht="18">
      <c r="A3209" s="2714"/>
      <c r="B3209" s="371">
        <v>105</v>
      </c>
      <c r="C3209" s="371" t="s">
        <v>2791</v>
      </c>
      <c r="D3209" s="2716">
        <f t="shared" si="375"/>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34" ht="18.75" thickBot="1">
      <c r="A3210" s="2714"/>
      <c r="B3210" s="371"/>
      <c r="C3210" s="371"/>
      <c r="D3210" s="2716">
        <f t="shared" si="375"/>
        <v>1</v>
      </c>
      <c r="E3210" s="2721" t="s">
        <v>2751</v>
      </c>
      <c r="F3210" s="294"/>
      <c r="G3210" s="374" t="s">
        <v>2752</v>
      </c>
      <c r="H3210" s="1478">
        <f t="shared" ref="H3210:M3210" si="376">SUMPRODUCT($E3204:$E3209,H3204:H3209)</f>
        <v>0</v>
      </c>
      <c r="I3210" s="1478">
        <f t="shared" si="376"/>
        <v>0</v>
      </c>
      <c r="J3210" s="1478">
        <f t="shared" si="376"/>
        <v>0</v>
      </c>
      <c r="K3210" s="1478">
        <f t="shared" si="376"/>
        <v>0</v>
      </c>
      <c r="L3210" s="1478">
        <f t="shared" si="376"/>
        <v>0</v>
      </c>
      <c r="M3210" s="1479">
        <f t="shared" si="376"/>
        <v>0</v>
      </c>
      <c r="N3210" s="1533" t="str">
        <f ca="1">HYPERLINK("#'"&amp;$G$1&amp;"'!"&amp;ADDRESS(ROW(Notes!L4891),COLUMN(Notes!L4891),4),"* 请勿删除此行！点击往勾稽单元格，F5+Enter返回")</f>
        <v>* 请勿删除此行！点击往勾稽单元格，F5+Enter返回</v>
      </c>
      <c r="O3210" s="291"/>
      <c r="P3210" s="291"/>
      <c r="S3210" s="364"/>
      <c r="Z3210" s="609" t="s">
        <v>1296</v>
      </c>
      <c r="AA3210" s="609" t="s">
        <v>5667</v>
      </c>
      <c r="AC3210" s="369" t="s">
        <v>2794</v>
      </c>
    </row>
    <row r="3211" spans="1:34" ht="18">
      <c r="A3211" s="2714"/>
      <c r="B3211" s="371"/>
      <c r="C3211" s="371" t="s">
        <v>2755</v>
      </c>
      <c r="D3211" s="371"/>
      <c r="F3211" s="294"/>
      <c r="G3211" s="301"/>
      <c r="H3211" s="315"/>
      <c r="I3211" s="315"/>
      <c r="J3211" s="315"/>
      <c r="K3211" s="315"/>
      <c r="L3211" s="315"/>
      <c r="M3211" s="315"/>
      <c r="N3211" s="291"/>
      <c r="O3211" s="291"/>
      <c r="P3211" s="291"/>
      <c r="S3211" s="364"/>
      <c r="Z3211" s="609" t="s">
        <v>1296</v>
      </c>
      <c r="AA3211" s="609" t="s">
        <v>5667</v>
      </c>
    </row>
    <row r="3212" spans="1:34" ht="18">
      <c r="A3212" s="2714">
        <v>1801</v>
      </c>
      <c r="B3212" s="371">
        <v>30</v>
      </c>
      <c r="C3212" s="2716" t="str">
        <f>VLOOKUP($A3212,Sheet_Items,2,0)</f>
        <v>长期待摊费用</v>
      </c>
      <c r="D3212" s="371"/>
      <c r="E3212" s="2716" t="s">
        <v>2739</v>
      </c>
      <c r="F3212" s="294"/>
      <c r="G3212" s="305" t="str">
        <f>B3212&amp;" "&amp;C3212</f>
        <v>30 长期待摊费用</v>
      </c>
      <c r="H3212" s="306"/>
      <c r="I3212" s="306"/>
      <c r="J3212" s="306" t="s">
        <v>2740</v>
      </c>
      <c r="K3212" s="341">
        <f>VLOOKUP($A3212,Sheet_Trialbal,6,0)</f>
        <v>0</v>
      </c>
      <c r="L3212" s="342"/>
      <c r="M3212" s="306" t="s">
        <v>2741</v>
      </c>
      <c r="N3212" s="341">
        <f>VLOOKUP($A3212,Sheet_Trialbal,10,0)</f>
        <v>983014.49</v>
      </c>
      <c r="O3212" s="306"/>
      <c r="P3212" s="301"/>
      <c r="S3212" s="364"/>
      <c r="Z3212" s="609" t="s">
        <v>1306</v>
      </c>
      <c r="AA3212" s="609" t="s">
        <v>5668</v>
      </c>
    </row>
    <row r="3213" spans="1:34" ht="18">
      <c r="A3213" s="2714" t="s">
        <v>1304</v>
      </c>
      <c r="B3213" s="371">
        <v>1</v>
      </c>
      <c r="C3213" s="371"/>
      <c r="D3213" s="2716" t="str">
        <f>VLOOKUP($A3213,Sheet_NoteList,2,0)</f>
        <v>长期待摊费用明细项目</v>
      </c>
      <c r="E3213" s="2716" t="s">
        <v>2742</v>
      </c>
      <c r="F3213" s="294"/>
      <c r="G3213" s="307" t="str">
        <f>"("&amp;B3213&amp;")"&amp;D3213</f>
        <v>(1)长期待摊费用明细项目</v>
      </c>
      <c r="H3213" s="1517" t="str">
        <f>$A3213</f>
        <v>1801a</v>
      </c>
      <c r="I3213" s="343" t="s">
        <v>2743</v>
      </c>
      <c r="J3213" s="301" t="s">
        <v>2744</v>
      </c>
      <c r="K3213" s="2210">
        <f>L3223</f>
        <v>0</v>
      </c>
      <c r="L3213" s="345" t="str">
        <f>IF($I3213="适用",IF(ROUND(K3212-K3213,2)=0,"F/S",ROUND(K3212-K3213,2)),"#N/A")</f>
        <v>F/S</v>
      </c>
      <c r="M3213" s="301" t="s">
        <v>2745</v>
      </c>
      <c r="N3213" s="2210">
        <f>H3223</f>
        <v>983014.49</v>
      </c>
      <c r="O3213" s="345" t="str">
        <f>IF($I3213="适用",IF(ROUND(N3212-N3213,2)=0,"F/S",ROUND(N3212-N3213,2)),"#N/A")</f>
        <v>F/S</v>
      </c>
      <c r="P3213" s="301"/>
      <c r="Q3213" s="290" t="str">
        <f>IF($I3213="不适用","",IF(ROUND(SUM($H$3218:$M$3223),2)=0,"请输入",""))</f>
        <v/>
      </c>
      <c r="S3213" s="364"/>
      <c r="Z3213" s="609" t="s">
        <v>1306</v>
      </c>
      <c r="AA3213" s="609" t="s">
        <v>5668</v>
      </c>
    </row>
    <row r="3214" spans="1:34" s="289" customFormat="1" ht="0.75" customHeight="1">
      <c r="A3214" s="2714"/>
      <c r="B3214" s="371"/>
      <c r="C3214" s="371"/>
      <c r="D3214" s="371"/>
      <c r="E3214" s="2716"/>
      <c r="F3214" s="371"/>
      <c r="G3214" s="371" t="s">
        <v>3754</v>
      </c>
      <c r="H3214" s="371" t="s">
        <v>2904</v>
      </c>
      <c r="I3214" s="371" t="s">
        <v>3255</v>
      </c>
      <c r="J3214" s="371" t="s">
        <v>3755</v>
      </c>
      <c r="K3214" s="371" t="s">
        <v>3654</v>
      </c>
      <c r="L3214" s="371" t="s">
        <v>3252</v>
      </c>
      <c r="M3214" s="591"/>
      <c r="N3214" s="592"/>
      <c r="O3214" s="591"/>
      <c r="P3214" s="591"/>
      <c r="Q3214" s="592"/>
      <c r="R3214" s="595"/>
      <c r="S3214" s="564"/>
      <c r="T3214" s="292"/>
      <c r="U3214" s="292"/>
      <c r="V3214" s="292"/>
      <c r="W3214" s="292"/>
      <c r="X3214" s="292"/>
      <c r="Y3214" s="292"/>
      <c r="Z3214" s="609" t="s">
        <v>1306</v>
      </c>
      <c r="AA3214" s="609" t="s">
        <v>5668</v>
      </c>
      <c r="AB3214" s="369"/>
      <c r="AC3214" s="369"/>
      <c r="AD3214" s="369"/>
      <c r="AE3214" s="369"/>
      <c r="AF3214" s="292"/>
      <c r="AG3214" s="292"/>
      <c r="AH3214" s="292"/>
    </row>
    <row r="3215" spans="1:34" s="289" customFormat="1" ht="0.75" customHeight="1" thickBot="1">
      <c r="A3215" s="2714"/>
      <c r="B3215" s="371"/>
      <c r="C3215" s="371"/>
      <c r="D3215" s="371"/>
      <c r="E3215" s="2716"/>
      <c r="F3215" s="371"/>
      <c r="G3215" s="371"/>
      <c r="H3215" s="371" t="s">
        <v>2911</v>
      </c>
      <c r="I3215" s="371" t="s">
        <v>3756</v>
      </c>
      <c r="J3215" s="371" t="s">
        <v>3757</v>
      </c>
      <c r="K3215" s="371" t="s">
        <v>3758</v>
      </c>
      <c r="L3215" s="371" t="s">
        <v>3508</v>
      </c>
      <c r="M3215" s="591"/>
      <c r="N3215" s="592"/>
      <c r="O3215" s="591"/>
      <c r="P3215" s="591"/>
      <c r="Q3215" s="592"/>
      <c r="R3215" s="595"/>
      <c r="S3215" s="564"/>
      <c r="T3215" s="292"/>
      <c r="U3215" s="292"/>
      <c r="V3215" s="292"/>
      <c r="W3215" s="292"/>
      <c r="X3215" s="292"/>
      <c r="Y3215" s="292"/>
      <c r="Z3215" s="609" t="s">
        <v>1306</v>
      </c>
      <c r="AA3215" s="609" t="s">
        <v>5668</v>
      </c>
      <c r="AB3215" s="369"/>
      <c r="AC3215" s="369"/>
      <c r="AD3215" s="369"/>
      <c r="AE3215" s="369"/>
      <c r="AF3215" s="292"/>
      <c r="AG3215" s="292"/>
      <c r="AH3215" s="292"/>
    </row>
    <row r="3216" spans="1:34" s="289" customFormat="1" ht="15.75" customHeight="1">
      <c r="A3216" s="2714"/>
      <c r="B3216" s="371"/>
      <c r="C3216" s="371"/>
      <c r="D3216" s="371"/>
      <c r="E3216" s="2716" t="s">
        <v>2749</v>
      </c>
      <c r="F3216" s="368"/>
      <c r="G3216" s="3248" t="s">
        <v>47</v>
      </c>
      <c r="H3216" s="3250" t="str">
        <f>$V$3</f>
        <v>2018年12月31日</v>
      </c>
      <c r="I3216" s="3238" t="s">
        <v>3027</v>
      </c>
      <c r="J3216" s="3145" t="s">
        <v>3028</v>
      </c>
      <c r="K3216" s="3145"/>
      <c r="L3216" s="3205" t="str">
        <f>$V$2</f>
        <v>2019年12月31日</v>
      </c>
      <c r="M3216" s="355" t="s">
        <v>5295</v>
      </c>
      <c r="N3216" s="592"/>
      <c r="O3216" s="591"/>
      <c r="P3216" s="591"/>
      <c r="Q3216" s="592"/>
      <c r="R3216" s="595"/>
      <c r="S3216" s="564"/>
      <c r="T3216" s="292"/>
      <c r="U3216" s="292"/>
      <c r="V3216" s="292"/>
      <c r="W3216" s="292"/>
      <c r="X3216" s="292"/>
      <c r="Y3216" s="292"/>
      <c r="Z3216" s="609" t="s">
        <v>1306</v>
      </c>
      <c r="AA3216" s="609" t="s">
        <v>5668</v>
      </c>
      <c r="AB3216" s="369"/>
      <c r="AC3216" s="369"/>
      <c r="AD3216" s="369"/>
      <c r="AE3216" s="369"/>
      <c r="AF3216" s="292"/>
      <c r="AG3216" s="292"/>
      <c r="AH3216" s="292"/>
    </row>
    <row r="3217" spans="1:27" ht="18">
      <c r="A3217" s="2714"/>
      <c r="B3217" s="371"/>
      <c r="C3217" s="371"/>
      <c r="D3217" s="371"/>
      <c r="E3217" s="2716" t="s">
        <v>2749</v>
      </c>
      <c r="F3217" s="294"/>
      <c r="G3217" s="3249"/>
      <c r="H3217" s="3251"/>
      <c r="I3217" s="3239"/>
      <c r="J3217" s="558" t="s">
        <v>3759</v>
      </c>
      <c r="K3217" s="1492" t="s">
        <v>5201</v>
      </c>
      <c r="L3217" s="3206"/>
      <c r="M3217" s="571"/>
      <c r="N3217" s="574"/>
      <c r="O3217" s="472"/>
      <c r="P3217" s="472"/>
      <c r="Q3217" s="442"/>
      <c r="R3217" s="443"/>
      <c r="S3217" s="364"/>
      <c r="Z3217" s="609" t="s">
        <v>1306</v>
      </c>
      <c r="AA3217" s="609" t="s">
        <v>5668</v>
      </c>
    </row>
    <row r="3218" spans="1:27" ht="18">
      <c r="A3218" s="2714"/>
      <c r="B3218" s="371">
        <v>101</v>
      </c>
      <c r="C3218" s="371" t="s">
        <v>2791</v>
      </c>
      <c r="D3218" s="2716">
        <f t="shared" ref="D3218:D3223" si="377">IF(OR(G3218="*",G3218="",G3218=0),0,COUNTIF($G$3218:$G$3223,G3218))</f>
        <v>1</v>
      </c>
      <c r="E3218" s="2721">
        <v>1</v>
      </c>
      <c r="F3218" s="294"/>
      <c r="G3218" s="319" t="s">
        <v>6843</v>
      </c>
      <c r="H3218" s="309">
        <v>983014.49</v>
      </c>
      <c r="I3218" s="309"/>
      <c r="J3218" s="309">
        <v>380521.72</v>
      </c>
      <c r="K3218" s="309">
        <v>602492.77</v>
      </c>
      <c r="L3218" s="361">
        <f>H3218+I3218-J3218-K3218</f>
        <v>0</v>
      </c>
      <c r="M3218" s="438"/>
      <c r="N3218" s="442"/>
      <c r="O3218" s="472"/>
      <c r="P3218" s="472"/>
      <c r="Q3218" s="442"/>
      <c r="R3218" s="443"/>
      <c r="S3218" s="364"/>
      <c r="Z3218" s="609" t="s">
        <v>1306</v>
      </c>
      <c r="AA3218" s="609" t="s">
        <v>5668</v>
      </c>
    </row>
    <row r="3219" spans="1:27" ht="18">
      <c r="A3219" s="2714"/>
      <c r="B3219" s="371">
        <v>102</v>
      </c>
      <c r="C3219" s="371" t="s">
        <v>2791</v>
      </c>
      <c r="D3219" s="2716">
        <f t="shared" si="377"/>
        <v>0</v>
      </c>
      <c r="E3219" s="2721">
        <v>1</v>
      </c>
      <c r="F3219" s="294"/>
      <c r="G3219" s="319" t="s">
        <v>2792</v>
      </c>
      <c r="H3219" s="309"/>
      <c r="I3219" s="309"/>
      <c r="J3219" s="309"/>
      <c r="K3219" s="309"/>
      <c r="L3219" s="361">
        <f>H3219+I3219-J3219-K3219</f>
        <v>0</v>
      </c>
      <c r="M3219" s="438"/>
      <c r="N3219" s="442"/>
      <c r="O3219" s="472"/>
      <c r="P3219" s="472"/>
      <c r="Q3219" s="442"/>
      <c r="R3219" s="443"/>
      <c r="S3219" s="364"/>
      <c r="Z3219" s="609" t="s">
        <v>1306</v>
      </c>
      <c r="AA3219" s="609" t="s">
        <v>5668</v>
      </c>
    </row>
    <row r="3220" spans="1:27" ht="18">
      <c r="A3220" s="2714"/>
      <c r="B3220" s="371">
        <v>103</v>
      </c>
      <c r="C3220" s="371" t="s">
        <v>2791</v>
      </c>
      <c r="D3220" s="2716">
        <f t="shared" si="377"/>
        <v>0</v>
      </c>
      <c r="E3220" s="2721">
        <v>1</v>
      </c>
      <c r="F3220" s="294"/>
      <c r="G3220" s="319" t="s">
        <v>2792</v>
      </c>
      <c r="H3220" s="309"/>
      <c r="I3220" s="309"/>
      <c r="J3220" s="309"/>
      <c r="K3220" s="309"/>
      <c r="L3220" s="361">
        <f>H3220+I3220-J3220-K3220</f>
        <v>0</v>
      </c>
      <c r="M3220" s="438"/>
      <c r="N3220" s="442"/>
      <c r="O3220" s="472"/>
      <c r="P3220" s="472"/>
      <c r="Q3220" s="442"/>
      <c r="R3220" s="443"/>
      <c r="S3220" s="364"/>
      <c r="Z3220" s="609" t="s">
        <v>1306</v>
      </c>
      <c r="AA3220" s="609" t="s">
        <v>5668</v>
      </c>
    </row>
    <row r="3221" spans="1:27" ht="18">
      <c r="A3221" s="2714"/>
      <c r="B3221" s="371">
        <v>104</v>
      </c>
      <c r="C3221" s="371" t="s">
        <v>2791</v>
      </c>
      <c r="D3221" s="2716">
        <f t="shared" si="377"/>
        <v>0</v>
      </c>
      <c r="E3221" s="2721">
        <v>1</v>
      </c>
      <c r="F3221" s="294"/>
      <c r="G3221" s="319" t="s">
        <v>2792</v>
      </c>
      <c r="H3221" s="309"/>
      <c r="I3221" s="309"/>
      <c r="J3221" s="309"/>
      <c r="K3221" s="309"/>
      <c r="L3221" s="361">
        <f>H3221+I3221-J3221-K3221</f>
        <v>0</v>
      </c>
      <c r="M3221" s="438"/>
      <c r="N3221" s="442"/>
      <c r="O3221" s="472"/>
      <c r="P3221" s="472"/>
      <c r="Q3221" s="442"/>
      <c r="R3221" s="443"/>
      <c r="S3221" s="364"/>
      <c r="Z3221" s="609" t="s">
        <v>1306</v>
      </c>
      <c r="AA3221" s="609" t="s">
        <v>5668</v>
      </c>
    </row>
    <row r="3222" spans="1:27" ht="18">
      <c r="A3222" s="2714"/>
      <c r="B3222" s="371">
        <v>105</v>
      </c>
      <c r="C3222" s="371" t="s">
        <v>2791</v>
      </c>
      <c r="D3222" s="2716">
        <f t="shared" si="377"/>
        <v>0</v>
      </c>
      <c r="E3222" s="2721">
        <v>1</v>
      </c>
      <c r="F3222" s="294"/>
      <c r="G3222" s="319" t="s">
        <v>2792</v>
      </c>
      <c r="H3222" s="309"/>
      <c r="I3222" s="309"/>
      <c r="J3222" s="309"/>
      <c r="K3222" s="309"/>
      <c r="L3222" s="361">
        <f>H3222+I3222-J3222-K3222</f>
        <v>0</v>
      </c>
      <c r="M3222" s="438"/>
      <c r="N3222" s="442"/>
      <c r="O3222" s="472"/>
      <c r="P3222" s="472"/>
      <c r="Q3222" s="442"/>
      <c r="R3222" s="443"/>
      <c r="S3222" s="364"/>
      <c r="Z3222" s="609" t="s">
        <v>1306</v>
      </c>
      <c r="AA3222" s="609" t="s">
        <v>5668</v>
      </c>
    </row>
    <row r="3223" spans="1:27" ht="18.75" thickBot="1">
      <c r="A3223" s="2714"/>
      <c r="B3223" s="371"/>
      <c r="C3223" s="371"/>
      <c r="D3223" s="2716">
        <f t="shared" si="377"/>
        <v>1</v>
      </c>
      <c r="E3223" s="2721" t="s">
        <v>2751</v>
      </c>
      <c r="F3223" s="294"/>
      <c r="G3223" s="374" t="s">
        <v>2752</v>
      </c>
      <c r="H3223" s="375">
        <f>SUMPRODUCT($E3217:$E3222,H3217:H3222)</f>
        <v>983014.49</v>
      </c>
      <c r="I3223" s="375">
        <f>SUMPRODUCT($E3217:$E3222,I3217:I3222)</f>
        <v>0</v>
      </c>
      <c r="J3223" s="375">
        <f>SUMPRODUCT($E3217:$E3222,J3217:J3222)</f>
        <v>380521.72</v>
      </c>
      <c r="K3223" s="375">
        <f>SUMPRODUCT($E3217:$E3222,K3217:K3222)</f>
        <v>602492.77</v>
      </c>
      <c r="L3223" s="395">
        <f>SUMPRODUCT($E3217:$E3222,L3217:L3222)</f>
        <v>0</v>
      </c>
      <c r="M3223" s="438"/>
      <c r="N3223" s="442"/>
      <c r="O3223" s="472"/>
      <c r="P3223" s="472"/>
      <c r="Q3223" s="442"/>
      <c r="R3223" s="443"/>
      <c r="S3223" s="364"/>
      <c r="Z3223" s="609" t="s">
        <v>1306</v>
      </c>
      <c r="AA3223" s="609" t="s">
        <v>5668</v>
      </c>
    </row>
    <row r="3224" spans="1:27" ht="18">
      <c r="A3224" s="2714"/>
      <c r="B3224" s="371"/>
      <c r="C3224" s="371" t="s">
        <v>2755</v>
      </c>
      <c r="D3224" s="371"/>
      <c r="F3224" s="294"/>
      <c r="G3224" s="301"/>
      <c r="H3224" s="315"/>
      <c r="I3224" s="315"/>
      <c r="J3224" s="315"/>
      <c r="K3224" s="315"/>
      <c r="L3224" s="315"/>
      <c r="M3224" s="438"/>
      <c r="N3224" s="438"/>
      <c r="O3224" s="472"/>
      <c r="P3224" s="472"/>
      <c r="Q3224" s="442"/>
      <c r="R3224" s="443"/>
      <c r="S3224" s="364"/>
      <c r="Z3224" s="609" t="s">
        <v>1306</v>
      </c>
      <c r="AA3224" s="609" t="s">
        <v>5668</v>
      </c>
    </row>
    <row r="3225" spans="1:27" ht="18">
      <c r="A3225" s="2714" t="s">
        <v>1310</v>
      </c>
      <c r="B3225" s="371">
        <v>2</v>
      </c>
      <c r="C3225" s="371"/>
      <c r="D3225" s="2716" t="str">
        <f>VLOOKUP($A3225,Sheet_NoteList,2,0)</f>
        <v>长期待摊费用补充资料</v>
      </c>
      <c r="E3225" s="2716" t="s">
        <v>6532</v>
      </c>
      <c r="F3225" s="294"/>
      <c r="G3225" s="307" t="str">
        <f>"("&amp;B3225&amp;")"&amp;D3225</f>
        <v>(2)长期待摊费用补充资料</v>
      </c>
      <c r="H3225" s="1517" t="str">
        <f>$A3225</f>
        <v>1801x</v>
      </c>
      <c r="I3225" s="343" t="s">
        <v>5966</v>
      </c>
      <c r="J3225" s="301"/>
      <c r="K3225" s="391"/>
      <c r="L3225" s="345"/>
      <c r="M3225" s="301"/>
      <c r="N3225" s="391"/>
      <c r="O3225" s="345"/>
      <c r="P3225" s="301"/>
      <c r="S3225" s="364"/>
      <c r="Z3225" s="609" t="s">
        <v>1306</v>
      </c>
      <c r="AA3225" s="609" t="s">
        <v>5668</v>
      </c>
    </row>
    <row r="3226" spans="1:27" ht="0.75" customHeight="1" thickBot="1">
      <c r="A3226" s="2714"/>
      <c r="B3226" s="371"/>
      <c r="C3226" s="371"/>
      <c r="D3226" s="371"/>
      <c r="F3226" s="371"/>
      <c r="G3226" s="371" t="s">
        <v>3760</v>
      </c>
      <c r="H3226" s="371" t="s">
        <v>3620</v>
      </c>
      <c r="I3226" s="371" t="s">
        <v>2821</v>
      </c>
      <c r="J3226" s="291"/>
      <c r="O3226" s="291"/>
      <c r="P3226" s="291"/>
      <c r="S3226" s="364"/>
      <c r="Z3226" s="609" t="s">
        <v>1306</v>
      </c>
      <c r="AA3226" s="609" t="s">
        <v>5668</v>
      </c>
    </row>
    <row r="3227" spans="1:27" ht="18">
      <c r="A3227" s="2714"/>
      <c r="B3227" s="371"/>
      <c r="C3227" s="371"/>
      <c r="D3227" s="371"/>
      <c r="E3227" s="2716" t="s">
        <v>2749</v>
      </c>
      <c r="F3227" s="294"/>
      <c r="G3227" s="2386" t="s">
        <v>47</v>
      </c>
      <c r="H3227" s="2387" t="s">
        <v>2887</v>
      </c>
      <c r="I3227" s="2388" t="s">
        <v>2508</v>
      </c>
      <c r="J3227" s="355" t="s">
        <v>6176</v>
      </c>
      <c r="O3227" s="291"/>
      <c r="P3227" s="291"/>
      <c r="S3227" s="364"/>
      <c r="Z3227" s="609" t="s">
        <v>1306</v>
      </c>
      <c r="AA3227" s="609" t="s">
        <v>5668</v>
      </c>
    </row>
    <row r="3228" spans="1:27" ht="18">
      <c r="A3228" s="2714"/>
      <c r="B3228" s="371">
        <v>101</v>
      </c>
      <c r="C3228" s="371"/>
      <c r="D3228" s="2716">
        <f t="shared" ref="D3228:D3235" si="378">IF(OR(G3228="*",G3228="",G3228=0),0,COUNTIF($G$3228:$G$3235,G3228))</f>
        <v>1</v>
      </c>
      <c r="E3228" s="2721" t="s">
        <v>41</v>
      </c>
      <c r="F3228" s="294"/>
      <c r="G3228" s="308" t="s">
        <v>3761</v>
      </c>
      <c r="H3228" s="309"/>
      <c r="I3228" s="388"/>
      <c r="J3228" s="579"/>
      <c r="O3228" s="291"/>
      <c r="P3228" s="291"/>
      <c r="S3228" s="364"/>
      <c r="Z3228" s="609" t="s">
        <v>1306</v>
      </c>
      <c r="AA3228" s="609" t="s">
        <v>5668</v>
      </c>
    </row>
    <row r="3229" spans="1:27" ht="18">
      <c r="A3229" s="2714"/>
      <c r="B3229" s="371">
        <v>102</v>
      </c>
      <c r="C3229" s="371"/>
      <c r="D3229" s="2716">
        <f t="shared" si="378"/>
        <v>1</v>
      </c>
      <c r="E3229" s="2721">
        <v>-1</v>
      </c>
      <c r="F3229" s="294"/>
      <c r="G3229" s="308" t="s">
        <v>3762</v>
      </c>
      <c r="H3229" s="309"/>
      <c r="I3229" s="388"/>
      <c r="O3229" s="291"/>
      <c r="P3229" s="291"/>
      <c r="S3229" s="364"/>
      <c r="Z3229" s="609" t="s">
        <v>1306</v>
      </c>
      <c r="AA3229" s="609" t="s">
        <v>5668</v>
      </c>
    </row>
    <row r="3230" spans="1:27" ht="18">
      <c r="A3230" s="2714"/>
      <c r="B3230" s="371">
        <v>103</v>
      </c>
      <c r="C3230" s="371" t="s">
        <v>2791</v>
      </c>
      <c r="D3230" s="2716">
        <f t="shared" si="378"/>
        <v>1</v>
      </c>
      <c r="E3230" s="2721">
        <v>1</v>
      </c>
      <c r="F3230" s="294"/>
      <c r="G3230" s="578" t="s">
        <v>685</v>
      </c>
      <c r="H3230" s="309"/>
      <c r="I3230" s="388"/>
      <c r="O3230" s="291"/>
      <c r="P3230" s="291"/>
      <c r="S3230" s="364"/>
      <c r="Z3230" s="609" t="s">
        <v>1306</v>
      </c>
      <c r="AA3230" s="609" t="s">
        <v>5668</v>
      </c>
    </row>
    <row r="3231" spans="1:27" ht="18">
      <c r="A3231" s="2714"/>
      <c r="B3231" s="371">
        <v>104</v>
      </c>
      <c r="C3231" s="371" t="s">
        <v>2791</v>
      </c>
      <c r="D3231" s="2716">
        <f t="shared" si="378"/>
        <v>1</v>
      </c>
      <c r="E3231" s="2721">
        <v>1</v>
      </c>
      <c r="F3231" s="294"/>
      <c r="G3231" s="578" t="s">
        <v>680</v>
      </c>
      <c r="H3231" s="309"/>
      <c r="I3231" s="388"/>
      <c r="O3231" s="291"/>
      <c r="P3231" s="291"/>
      <c r="S3231" s="364"/>
      <c r="Z3231" s="609" t="s">
        <v>1306</v>
      </c>
      <c r="AA3231" s="609" t="s">
        <v>5668</v>
      </c>
    </row>
    <row r="3232" spans="1:27" ht="18">
      <c r="A3232" s="2714"/>
      <c r="B3232" s="371">
        <v>105</v>
      </c>
      <c r="C3232" s="371" t="s">
        <v>2791</v>
      </c>
      <c r="D3232" s="2716">
        <f t="shared" si="378"/>
        <v>1</v>
      </c>
      <c r="E3232" s="2721">
        <v>1</v>
      </c>
      <c r="F3232" s="294"/>
      <c r="G3232" s="578" t="s">
        <v>362</v>
      </c>
      <c r="H3232" s="309"/>
      <c r="I3232" s="388"/>
      <c r="O3232" s="291"/>
      <c r="P3232" s="291"/>
      <c r="S3232" s="364"/>
      <c r="Z3232" s="609" t="s">
        <v>1306</v>
      </c>
      <c r="AA3232" s="609" t="s">
        <v>5668</v>
      </c>
    </row>
    <row r="3233" spans="1:27" ht="18">
      <c r="A3233" s="2714"/>
      <c r="B3233" s="371">
        <v>106</v>
      </c>
      <c r="C3233" s="371" t="s">
        <v>2791</v>
      </c>
      <c r="D3233" s="2716">
        <f t="shared" si="378"/>
        <v>1</v>
      </c>
      <c r="E3233" s="2721">
        <v>1</v>
      </c>
      <c r="F3233" s="294"/>
      <c r="G3233" s="578" t="s">
        <v>369</v>
      </c>
      <c r="H3233" s="309"/>
      <c r="I3233" s="388"/>
      <c r="O3233" s="291"/>
      <c r="P3233" s="291"/>
      <c r="S3233" s="364"/>
      <c r="Z3233" s="609" t="s">
        <v>1306</v>
      </c>
      <c r="AA3233" s="609" t="s">
        <v>5668</v>
      </c>
    </row>
    <row r="3234" spans="1:27" ht="18">
      <c r="A3234" s="2714"/>
      <c r="B3234" s="371">
        <v>107</v>
      </c>
      <c r="C3234" s="371" t="s">
        <v>2791</v>
      </c>
      <c r="D3234" s="2716">
        <f t="shared" si="378"/>
        <v>0</v>
      </c>
      <c r="E3234" s="2721">
        <v>1</v>
      </c>
      <c r="F3234" s="294"/>
      <c r="G3234" s="578" t="s">
        <v>2792</v>
      </c>
      <c r="H3234" s="309"/>
      <c r="I3234" s="388"/>
      <c r="O3234" s="291"/>
      <c r="P3234" s="291"/>
      <c r="S3234" s="364"/>
      <c r="Z3234" s="609" t="s">
        <v>1306</v>
      </c>
      <c r="AA3234" s="609" t="s">
        <v>5668</v>
      </c>
    </row>
    <row r="3235" spans="1:27" ht="18.75" thickBot="1">
      <c r="A3235" s="2714"/>
      <c r="B3235" s="371"/>
      <c r="C3235" s="371"/>
      <c r="D3235" s="2716">
        <f t="shared" si="378"/>
        <v>1</v>
      </c>
      <c r="E3235" s="2721" t="s">
        <v>2751</v>
      </c>
      <c r="F3235" s="294"/>
      <c r="G3235" s="1529" t="s">
        <v>2752</v>
      </c>
      <c r="H3235" s="2391">
        <f>SUMPRODUCT($E3227:$E3234,H3227:H3234)</f>
        <v>0</v>
      </c>
      <c r="I3235" s="2392"/>
      <c r="O3235" s="291"/>
      <c r="P3235" s="291"/>
      <c r="S3235" s="364"/>
      <c r="Z3235" s="609" t="s">
        <v>1306</v>
      </c>
      <c r="AA3235" s="609" t="s">
        <v>5668</v>
      </c>
    </row>
    <row r="3236" spans="1:27" ht="18">
      <c r="A3236" s="2714"/>
      <c r="B3236" s="371"/>
      <c r="C3236" s="371" t="s">
        <v>2755</v>
      </c>
      <c r="D3236" s="371"/>
      <c r="F3236" s="294"/>
      <c r="G3236" s="301"/>
      <c r="H3236" s="315"/>
      <c r="I3236" s="393"/>
      <c r="J3236" s="349"/>
      <c r="K3236" s="349"/>
      <c r="L3236" s="349"/>
      <c r="M3236" s="349"/>
      <c r="N3236" s="349"/>
      <c r="O3236" s="291"/>
      <c r="P3236" s="291"/>
      <c r="S3236" s="364"/>
      <c r="Z3236" s="609" t="s">
        <v>1306</v>
      </c>
      <c r="AA3236" s="609" t="s">
        <v>5668</v>
      </c>
    </row>
    <row r="3237" spans="1:27" ht="18">
      <c r="A3237" s="2714">
        <v>1829</v>
      </c>
      <c r="B3237" s="371">
        <v>31</v>
      </c>
      <c r="C3237" s="2716" t="str">
        <f>VLOOKUP($A3237,Sheet_Items,2,0)</f>
        <v>递延所得税资产与递延所得税负债</v>
      </c>
      <c r="D3237" s="371"/>
      <c r="E3237" s="2716" t="s">
        <v>2739</v>
      </c>
      <c r="F3237" s="294"/>
      <c r="G3237" s="535" t="str">
        <f>B3237&amp;" "&amp;C3237</f>
        <v>31 递延所得税资产与递延所得税负债</v>
      </c>
      <c r="H3237" s="306"/>
      <c r="I3237" s="306"/>
      <c r="J3237" s="306"/>
      <c r="K3237" s="539"/>
      <c r="L3237" s="342"/>
      <c r="M3237" s="306"/>
      <c r="N3237" s="539"/>
      <c r="O3237" s="306"/>
      <c r="P3237" s="301"/>
      <c r="S3237" s="364"/>
      <c r="Z3237" s="609" t="s">
        <v>1317</v>
      </c>
      <c r="AA3237" s="609"/>
    </row>
    <row r="3238" spans="1:27" ht="18">
      <c r="A3238" s="2714">
        <v>1811</v>
      </c>
      <c r="B3238" s="371">
        <v>31.1</v>
      </c>
      <c r="C3238" s="2716" t="str">
        <f>VLOOKUP($A3238,Sheet_Items,2,0)</f>
        <v>递延所得税资产</v>
      </c>
      <c r="D3238" s="371"/>
      <c r="F3238" s="294"/>
      <c r="G3238" s="589" t="str">
        <f>B3238&amp;" "&amp;C3238</f>
        <v>31.1 递延所得税资产</v>
      </c>
      <c r="H3238" s="290"/>
      <c r="I3238" s="290"/>
      <c r="J3238" s="540" t="s">
        <v>2740</v>
      </c>
      <c r="K3238" s="341">
        <f>VLOOKUP($A3238,Sheet_Trialbal,6,0)</f>
        <v>0</v>
      </c>
      <c r="L3238" s="541"/>
      <c r="M3238" s="540" t="s">
        <v>2741</v>
      </c>
      <c r="N3238" s="341">
        <f>VLOOKUP($A3238,Sheet_Trialbal,10,0)</f>
        <v>0</v>
      </c>
      <c r="O3238" s="542"/>
      <c r="S3238" s="364"/>
      <c r="Z3238" s="609" t="s">
        <v>3763</v>
      </c>
      <c r="AA3238" s="609" t="s">
        <v>5669</v>
      </c>
    </row>
    <row r="3239" spans="1:27" ht="18">
      <c r="A3239" s="2714">
        <v>2901</v>
      </c>
      <c r="B3239" s="371">
        <v>31.2</v>
      </c>
      <c r="C3239" s="2716" t="str">
        <f>VLOOKUP($A3239,Sheet_Items,2,0)</f>
        <v>递延所得税负债</v>
      </c>
      <c r="D3239" s="371"/>
      <c r="F3239" s="294"/>
      <c r="G3239" s="589" t="str">
        <f>B3239&amp;" "&amp;C3239</f>
        <v>31.2 递延所得税负债</v>
      </c>
      <c r="H3239" s="290"/>
      <c r="I3239" s="290"/>
      <c r="J3239" s="540" t="s">
        <v>2740</v>
      </c>
      <c r="K3239" s="341">
        <f>VLOOKUP($A3239,Sheet_Trialbal,6,0)</f>
        <v>0</v>
      </c>
      <c r="L3239" s="541"/>
      <c r="M3239" s="540" t="s">
        <v>2741</v>
      </c>
      <c r="N3239" s="341">
        <f>VLOOKUP($A3239,Sheet_Trialbal,10,0)</f>
        <v>0</v>
      </c>
      <c r="O3239" s="540"/>
      <c r="S3239" s="364"/>
      <c r="Z3239" s="609" t="s">
        <v>3764</v>
      </c>
      <c r="AA3239" s="609" t="s">
        <v>5694</v>
      </c>
    </row>
    <row r="3240" spans="1:27" ht="24">
      <c r="A3240" s="2714" t="s">
        <v>1315</v>
      </c>
      <c r="B3240" s="371">
        <v>1</v>
      </c>
      <c r="C3240" s="371"/>
      <c r="D3240" s="2716" t="str">
        <f>VLOOKUP($A3240,Sheet_NoteList,2,0)</f>
        <v>未经抵销的递延所得税资产</v>
      </c>
      <c r="E3240" s="2716" t="s">
        <v>2742</v>
      </c>
      <c r="F3240" s="294"/>
      <c r="G3240" s="372" t="str">
        <f>"("&amp;B3240&amp;")"&amp;D3240</f>
        <v>(1)未经抵销的递延所得税资产</v>
      </c>
      <c r="H3240" s="1517" t="str">
        <f>$A3240</f>
        <v>1829a</v>
      </c>
      <c r="I3240" s="343" t="s">
        <v>2743</v>
      </c>
      <c r="J3240" s="301" t="s">
        <v>2744</v>
      </c>
      <c r="K3240" s="2210">
        <f>I3254</f>
        <v>0</v>
      </c>
      <c r="L3240" s="345" t="str">
        <f>IF($I3240="适用",IF(ROUND(K3238-K3240,2)=0,"F/S",ROUND(K3238-K3240,2)),"#N/A")</f>
        <v>F/S</v>
      </c>
      <c r="M3240" s="301" t="s">
        <v>2745</v>
      </c>
      <c r="N3240" s="2210">
        <f>K3254</f>
        <v>0</v>
      </c>
      <c r="O3240" s="345" t="str">
        <f>IF($I3240="适用",IF(ROUND(N3238-N3240,2)=0,"F/S",ROUND(N3238-N3240,2)),"#N/A")</f>
        <v>F/S</v>
      </c>
      <c r="P3240" s="301"/>
      <c r="Q3240" s="290" t="str">
        <f>IF($I3240="不适用","",IF(ROUND(SUM($H$3245:$K$3254),2)=0,"请输入",""))</f>
        <v>请输入</v>
      </c>
      <c r="S3240" s="364"/>
      <c r="Z3240" s="609" t="s">
        <v>3763</v>
      </c>
      <c r="AA3240" s="609" t="s">
        <v>5669</v>
      </c>
    </row>
    <row r="3241" spans="1:27" ht="0.75" customHeight="1">
      <c r="A3241" s="2714"/>
      <c r="B3241" s="371"/>
      <c r="C3241" s="371"/>
      <c r="D3241" s="371"/>
      <c r="E3241" s="586"/>
      <c r="F3241" s="518"/>
      <c r="G3241" s="518" t="s">
        <v>3765</v>
      </c>
      <c r="H3241" s="304" t="s">
        <v>3766</v>
      </c>
      <c r="I3241" s="304" t="s">
        <v>3767</v>
      </c>
      <c r="J3241" s="304" t="s">
        <v>3768</v>
      </c>
      <c r="K3241" s="304" t="s">
        <v>3769</v>
      </c>
      <c r="L3241" s="291"/>
      <c r="M3241" s="291"/>
      <c r="N3241" s="291"/>
      <c r="O3241" s="291"/>
      <c r="S3241" s="364"/>
      <c r="Z3241" s="609" t="s">
        <v>3763</v>
      </c>
      <c r="AA3241" s="609" t="s">
        <v>5669</v>
      </c>
    </row>
    <row r="3242" spans="1:27" ht="0.75" customHeight="1" thickBot="1">
      <c r="A3242" s="2714"/>
      <c r="B3242" s="371"/>
      <c r="C3242" s="371"/>
      <c r="D3242" s="371"/>
      <c r="E3242" s="586"/>
      <c r="F3242" s="518"/>
      <c r="G3242" s="518"/>
      <c r="H3242" s="304" t="s">
        <v>3770</v>
      </c>
      <c r="I3242" s="304" t="s">
        <v>3771</v>
      </c>
      <c r="J3242" s="304" t="s">
        <v>3772</v>
      </c>
      <c r="K3242" s="304" t="s">
        <v>3773</v>
      </c>
      <c r="L3242" s="291"/>
      <c r="M3242" s="291"/>
      <c r="N3242" s="291"/>
      <c r="O3242" s="291"/>
      <c r="S3242" s="364"/>
      <c r="Z3242" s="609" t="s">
        <v>3763</v>
      </c>
      <c r="AA3242" s="609" t="s">
        <v>5669</v>
      </c>
    </row>
    <row r="3243" spans="1:27" ht="18">
      <c r="A3243" s="2714"/>
      <c r="B3243" s="371"/>
      <c r="C3243" s="371"/>
      <c r="D3243" s="371"/>
      <c r="E3243" s="586" t="s">
        <v>2749</v>
      </c>
      <c r="F3243" s="363"/>
      <c r="G3243" s="3220" t="s">
        <v>47</v>
      </c>
      <c r="H3243" s="3183" t="str">
        <f>$V$2</f>
        <v>2019年12月31日</v>
      </c>
      <c r="I3243" s="3185"/>
      <c r="J3243" s="3183" t="str">
        <f>$V$3</f>
        <v>2018年12月31日</v>
      </c>
      <c r="K3243" s="3184"/>
      <c r="L3243" s="355" t="s">
        <v>5296</v>
      </c>
      <c r="M3243" s="291"/>
      <c r="N3243" s="291"/>
      <c r="O3243" s="291"/>
      <c r="S3243" s="364"/>
      <c r="Z3243" s="609" t="s">
        <v>3763</v>
      </c>
      <c r="AA3243" s="609" t="s">
        <v>5669</v>
      </c>
    </row>
    <row r="3244" spans="1:27" ht="24">
      <c r="A3244" s="2714"/>
      <c r="B3244" s="371"/>
      <c r="C3244" s="371"/>
      <c r="D3244" s="371"/>
      <c r="E3244" s="586" t="s">
        <v>2749</v>
      </c>
      <c r="F3244" s="363"/>
      <c r="G3244" s="3221"/>
      <c r="H3244" s="2369" t="s">
        <v>3774</v>
      </c>
      <c r="I3244" s="2369" t="s">
        <v>422</v>
      </c>
      <c r="J3244" s="2369" t="s">
        <v>3774</v>
      </c>
      <c r="K3244" s="2374" t="s">
        <v>422</v>
      </c>
      <c r="L3244" s="594"/>
      <c r="M3244" s="291"/>
      <c r="N3244" s="291"/>
      <c r="O3244" s="291"/>
      <c r="S3244" s="364"/>
      <c r="Z3244" s="609" t="s">
        <v>3763</v>
      </c>
      <c r="AA3244" s="609" t="s">
        <v>5669</v>
      </c>
    </row>
    <row r="3245" spans="1:27" ht="18">
      <c r="A3245" s="2714"/>
      <c r="B3245" s="371">
        <v>101</v>
      </c>
      <c r="C3245" s="371"/>
      <c r="D3245" s="2716">
        <f t="shared" ref="D3245:D3254" si="379">IF(OR(G3245="*",G3245="",G3245=0),0,COUNTIF($G$3245:$G$3254,G3245))</f>
        <v>1</v>
      </c>
      <c r="E3245" s="2721">
        <v>1</v>
      </c>
      <c r="F3245" s="294"/>
      <c r="G3245" s="1474" t="s">
        <v>2302</v>
      </c>
      <c r="H3245" s="2275"/>
      <c r="I3245" s="2275"/>
      <c r="J3245" s="2275"/>
      <c r="K3245" s="2296"/>
      <c r="L3245" s="291"/>
      <c r="M3245" s="291"/>
      <c r="N3245" s="291"/>
      <c r="O3245" s="291"/>
      <c r="S3245" s="364"/>
      <c r="Z3245" s="609" t="s">
        <v>3763</v>
      </c>
      <c r="AA3245" s="609" t="s">
        <v>5669</v>
      </c>
    </row>
    <row r="3246" spans="1:27" ht="18">
      <c r="A3246" s="2714"/>
      <c r="B3246" s="371">
        <v>102</v>
      </c>
      <c r="C3246" s="371"/>
      <c r="D3246" s="2716">
        <f t="shared" si="379"/>
        <v>1</v>
      </c>
      <c r="E3246" s="2721">
        <v>1</v>
      </c>
      <c r="F3246" s="294"/>
      <c r="G3246" s="1474" t="s">
        <v>3775</v>
      </c>
      <c r="H3246" s="2275"/>
      <c r="I3246" s="2275"/>
      <c r="J3246" s="2299">
        <v>0</v>
      </c>
      <c r="K3246" s="2297">
        <v>0</v>
      </c>
      <c r="L3246" s="291"/>
      <c r="M3246" s="291"/>
      <c r="N3246" s="291"/>
      <c r="O3246" s="291"/>
      <c r="S3246" s="364"/>
      <c r="Z3246" s="609" t="s">
        <v>3763</v>
      </c>
      <c r="AA3246" s="609" t="s">
        <v>5669</v>
      </c>
    </row>
    <row r="3247" spans="1:27" ht="18">
      <c r="A3247" s="2714"/>
      <c r="B3247" s="371">
        <v>103</v>
      </c>
      <c r="C3247" s="371"/>
      <c r="D3247" s="2716">
        <f t="shared" si="379"/>
        <v>1</v>
      </c>
      <c r="E3247" s="2721">
        <v>1</v>
      </c>
      <c r="F3247" s="294"/>
      <c r="G3247" s="1474" t="s">
        <v>3776</v>
      </c>
      <c r="H3247" s="2275"/>
      <c r="I3247" s="2275"/>
      <c r="J3247" s="2275"/>
      <c r="K3247" s="2296"/>
      <c r="L3247" s="291"/>
      <c r="M3247" s="291"/>
      <c r="N3247" s="291"/>
      <c r="O3247" s="291"/>
      <c r="S3247" s="364"/>
      <c r="Z3247" s="609" t="s">
        <v>3763</v>
      </c>
      <c r="AA3247" s="609" t="s">
        <v>5669</v>
      </c>
    </row>
    <row r="3248" spans="1:27" ht="18">
      <c r="A3248" s="2714"/>
      <c r="B3248" s="371">
        <v>104</v>
      </c>
      <c r="C3248" s="371"/>
      <c r="D3248" s="2716">
        <f t="shared" si="379"/>
        <v>1</v>
      </c>
      <c r="E3248" s="2721">
        <v>1</v>
      </c>
      <c r="F3248" s="294"/>
      <c r="G3248" s="1474" t="s">
        <v>3777</v>
      </c>
      <c r="H3248" s="2275"/>
      <c r="I3248" s="2275"/>
      <c r="J3248" s="2275"/>
      <c r="K3248" s="2296"/>
      <c r="L3248" s="291"/>
      <c r="M3248" s="291"/>
      <c r="N3248" s="291"/>
      <c r="O3248" s="291"/>
      <c r="S3248" s="364"/>
      <c r="Z3248" s="609" t="s">
        <v>3763</v>
      </c>
      <c r="AA3248" s="609" t="s">
        <v>5669</v>
      </c>
    </row>
    <row r="3249" spans="1:27" ht="24">
      <c r="A3249" s="2714"/>
      <c r="B3249" s="371">
        <v>105</v>
      </c>
      <c r="C3249" s="371" t="s">
        <v>2791</v>
      </c>
      <c r="D3249" s="2716">
        <f t="shared" si="379"/>
        <v>1</v>
      </c>
      <c r="E3249" s="2721">
        <v>1</v>
      </c>
      <c r="F3249" s="294"/>
      <c r="G3249" s="2375" t="s">
        <v>5643</v>
      </c>
      <c r="H3249" s="2275"/>
      <c r="I3249" s="2275"/>
      <c r="J3249" s="2275"/>
      <c r="K3249" s="2296"/>
      <c r="L3249" s="291"/>
      <c r="M3249" s="291"/>
      <c r="N3249" s="291"/>
      <c r="O3249" s="291"/>
      <c r="S3249" s="364"/>
      <c r="Z3249" s="609" t="s">
        <v>3763</v>
      </c>
      <c r="AA3249" s="609" t="s">
        <v>5669</v>
      </c>
    </row>
    <row r="3250" spans="1:27" ht="18">
      <c r="A3250" s="2714"/>
      <c r="B3250" s="371">
        <v>106</v>
      </c>
      <c r="C3250" s="371" t="s">
        <v>2791</v>
      </c>
      <c r="D3250" s="2716">
        <f t="shared" si="379"/>
        <v>1</v>
      </c>
      <c r="E3250" s="2721">
        <v>1</v>
      </c>
      <c r="F3250" s="294"/>
      <c r="G3250" s="2375" t="s">
        <v>570</v>
      </c>
      <c r="H3250" s="2275"/>
      <c r="I3250" s="2275"/>
      <c r="J3250" s="2275"/>
      <c r="K3250" s="2296"/>
      <c r="L3250" s="291"/>
      <c r="M3250" s="291"/>
      <c r="N3250" s="291"/>
      <c r="O3250" s="291"/>
      <c r="S3250" s="364"/>
      <c r="Z3250" s="609" t="s">
        <v>3763</v>
      </c>
      <c r="AA3250" s="609" t="s">
        <v>5669</v>
      </c>
    </row>
    <row r="3251" spans="1:27" ht="18">
      <c r="A3251" s="2714"/>
      <c r="B3251" s="371">
        <v>107</v>
      </c>
      <c r="C3251" s="371" t="s">
        <v>2791</v>
      </c>
      <c r="D3251" s="2716">
        <f t="shared" si="379"/>
        <v>1</v>
      </c>
      <c r="E3251" s="2721">
        <v>1</v>
      </c>
      <c r="F3251" s="294"/>
      <c r="G3251" s="2375" t="s">
        <v>489</v>
      </c>
      <c r="H3251" s="2275"/>
      <c r="I3251" s="2275"/>
      <c r="J3251" s="2275"/>
      <c r="K3251" s="2296"/>
      <c r="L3251" s="291"/>
      <c r="M3251" s="291"/>
      <c r="N3251" s="291"/>
      <c r="O3251" s="291"/>
      <c r="S3251" s="364"/>
      <c r="Z3251" s="609" t="s">
        <v>3763</v>
      </c>
      <c r="AA3251" s="609" t="s">
        <v>5669</v>
      </c>
    </row>
    <row r="3252" spans="1:27" ht="18">
      <c r="A3252" s="2714"/>
      <c r="B3252" s="371">
        <v>108</v>
      </c>
      <c r="C3252" s="371" t="s">
        <v>2791</v>
      </c>
      <c r="D3252" s="2716">
        <f t="shared" si="379"/>
        <v>0</v>
      </c>
      <c r="E3252" s="2721">
        <v>1</v>
      </c>
      <c r="F3252" s="294"/>
      <c r="G3252" s="2375" t="s">
        <v>2792</v>
      </c>
      <c r="H3252" s="2275"/>
      <c r="I3252" s="2275"/>
      <c r="J3252" s="2275"/>
      <c r="K3252" s="2296"/>
      <c r="L3252" s="291"/>
      <c r="M3252" s="291"/>
      <c r="N3252" s="291"/>
      <c r="O3252" s="291"/>
      <c r="S3252" s="364"/>
      <c r="Z3252" s="609" t="s">
        <v>3763</v>
      </c>
      <c r="AA3252" s="609" t="s">
        <v>5669</v>
      </c>
    </row>
    <row r="3253" spans="1:27" ht="18">
      <c r="A3253" s="2714"/>
      <c r="B3253" s="371">
        <v>109</v>
      </c>
      <c r="C3253" s="371" t="s">
        <v>2791</v>
      </c>
      <c r="D3253" s="2716">
        <f t="shared" si="379"/>
        <v>0</v>
      </c>
      <c r="E3253" s="2721">
        <v>1</v>
      </c>
      <c r="F3253" s="294"/>
      <c r="G3253" s="2375" t="s">
        <v>2792</v>
      </c>
      <c r="H3253" s="2275"/>
      <c r="I3253" s="2275"/>
      <c r="J3253" s="2275"/>
      <c r="K3253" s="2296"/>
      <c r="L3253" s="291"/>
      <c r="M3253" s="291"/>
      <c r="N3253" s="291"/>
      <c r="O3253" s="291"/>
      <c r="S3253" s="364"/>
      <c r="Z3253" s="609" t="s">
        <v>3763</v>
      </c>
      <c r="AA3253" s="609" t="s">
        <v>5669</v>
      </c>
    </row>
    <row r="3254" spans="1:27" ht="18.75" thickBot="1">
      <c r="A3254" s="2714"/>
      <c r="B3254" s="371"/>
      <c r="C3254" s="371"/>
      <c r="D3254" s="2716">
        <f t="shared" si="379"/>
        <v>1</v>
      </c>
      <c r="E3254" s="2721" t="s">
        <v>2751</v>
      </c>
      <c r="F3254" s="294"/>
      <c r="G3254" s="374" t="s">
        <v>2752</v>
      </c>
      <c r="H3254" s="1478">
        <f>SUMPRODUCT($E3244:$E3253,H3244:H3253)</f>
        <v>0</v>
      </c>
      <c r="I3254" s="1478">
        <f>SUMPRODUCT($E3244:$E3253,I3244:I3253)</f>
        <v>0</v>
      </c>
      <c r="J3254" s="1478">
        <f>SUMPRODUCT($E3244:$E3253,J3244:J3253)</f>
        <v>0</v>
      </c>
      <c r="K3254" s="1479">
        <f>SUMPRODUCT($E3244:$E3253,K3244:K3253)</f>
        <v>0</v>
      </c>
      <c r="L3254" s="291"/>
      <c r="M3254" s="291"/>
      <c r="N3254" s="291"/>
      <c r="O3254" s="291"/>
      <c r="S3254" s="364"/>
      <c r="Z3254" s="609" t="s">
        <v>3763</v>
      </c>
      <c r="AA3254" s="609" t="s">
        <v>5669</v>
      </c>
    </row>
    <row r="3255" spans="1:27" ht="18">
      <c r="A3255" s="2714"/>
      <c r="B3255" s="371"/>
      <c r="C3255" s="371" t="s">
        <v>2755</v>
      </c>
      <c r="D3255" s="371"/>
      <c r="F3255" s="294"/>
      <c r="G3255" s="301"/>
      <c r="H3255" s="315"/>
      <c r="I3255" s="315"/>
      <c r="J3255" s="315"/>
      <c r="K3255" s="315"/>
      <c r="L3255" s="291"/>
      <c r="M3255" s="291"/>
      <c r="N3255" s="291"/>
      <c r="O3255" s="291"/>
      <c r="S3255" s="364"/>
      <c r="Z3255" s="609" t="s">
        <v>3763</v>
      </c>
      <c r="AA3255" s="609" t="s">
        <v>5669</v>
      </c>
    </row>
    <row r="3256" spans="1:27" ht="24">
      <c r="A3256" s="2714" t="s">
        <v>1321</v>
      </c>
      <c r="B3256" s="371">
        <v>2</v>
      </c>
      <c r="C3256" s="371"/>
      <c r="D3256" s="2716" t="str">
        <f>VLOOKUP($A3256,Sheet_NoteList,2,0)</f>
        <v>未经抵销的递延所得税负债</v>
      </c>
      <c r="E3256" s="2716" t="s">
        <v>2742</v>
      </c>
      <c r="F3256" s="294"/>
      <c r="G3256" s="372" t="str">
        <f>"("&amp;B3256&amp;")"&amp;D3256</f>
        <v>(2)未经抵销的递延所得税负债</v>
      </c>
      <c r="H3256" s="1517" t="str">
        <f>$A3256</f>
        <v>1829b</v>
      </c>
      <c r="I3256" s="343" t="s">
        <v>2743</v>
      </c>
      <c r="J3256" s="301" t="s">
        <v>2744</v>
      </c>
      <c r="K3256" s="2210">
        <f>I3267</f>
        <v>0</v>
      </c>
      <c r="L3256" s="345" t="str">
        <f>IF($I3256="适用",IF(ROUND(K3239-K3256,2)=0,"F/S",ROUND(K3239-K3256,2)),"#N/A")</f>
        <v>F/S</v>
      </c>
      <c r="M3256" s="301" t="s">
        <v>2745</v>
      </c>
      <c r="N3256" s="2210">
        <f>K3267</f>
        <v>0</v>
      </c>
      <c r="O3256" s="345" t="str">
        <f>IF($I3256="适用",IF(ROUND(N3239-N3256,2)=0,"F/S",ROUND(N3239-N3256,2)),"#N/A")</f>
        <v>F/S</v>
      </c>
      <c r="P3256" s="301"/>
      <c r="Q3256" s="290" t="str">
        <f>IF($I3256="不适用","",IF(ROUND(SUM($H$3261:$K$3267),2)=0,"请输入",""))</f>
        <v>请输入</v>
      </c>
      <c r="S3256" s="364"/>
      <c r="Z3256" s="609" t="s">
        <v>3764</v>
      </c>
      <c r="AA3256" s="609" t="s">
        <v>5694</v>
      </c>
    </row>
    <row r="3257" spans="1:27" ht="0.75" customHeight="1">
      <c r="A3257" s="2714"/>
      <c r="B3257" s="371"/>
      <c r="C3257" s="371"/>
      <c r="D3257" s="371"/>
      <c r="E3257" s="586"/>
      <c r="F3257" s="518"/>
      <c r="G3257" s="518" t="s">
        <v>3778</v>
      </c>
      <c r="H3257" s="304" t="s">
        <v>3779</v>
      </c>
      <c r="I3257" s="304" t="s">
        <v>3780</v>
      </c>
      <c r="J3257" s="304" t="s">
        <v>3781</v>
      </c>
      <c r="K3257" s="304" t="s">
        <v>3782</v>
      </c>
      <c r="L3257" s="291"/>
      <c r="M3257" s="291"/>
      <c r="N3257" s="291"/>
      <c r="O3257" s="291"/>
      <c r="S3257" s="364"/>
      <c r="Z3257" s="609" t="s">
        <v>3764</v>
      </c>
      <c r="AA3257" s="609" t="s">
        <v>5694</v>
      </c>
    </row>
    <row r="3258" spans="1:27" ht="0.75" customHeight="1" thickBot="1">
      <c r="A3258" s="2714"/>
      <c r="B3258" s="371"/>
      <c r="C3258" s="371"/>
      <c r="D3258" s="371"/>
      <c r="E3258" s="586"/>
      <c r="F3258" s="518"/>
      <c r="G3258" s="518"/>
      <c r="H3258" s="304" t="s">
        <v>3783</v>
      </c>
      <c r="I3258" s="304" t="s">
        <v>3784</v>
      </c>
      <c r="J3258" s="304" t="s">
        <v>3785</v>
      </c>
      <c r="K3258" s="304" t="s">
        <v>3786</v>
      </c>
      <c r="L3258" s="291"/>
      <c r="M3258" s="291"/>
      <c r="N3258" s="291"/>
      <c r="O3258" s="291"/>
      <c r="S3258" s="364"/>
      <c r="Z3258" s="609" t="s">
        <v>3764</v>
      </c>
      <c r="AA3258" s="609" t="s">
        <v>5694</v>
      </c>
    </row>
    <row r="3259" spans="1:27" ht="18">
      <c r="A3259" s="2714"/>
      <c r="B3259" s="371"/>
      <c r="C3259" s="371"/>
      <c r="D3259" s="371"/>
      <c r="E3259" s="586" t="s">
        <v>2749</v>
      </c>
      <c r="F3259" s="363"/>
      <c r="G3259" s="3220" t="s">
        <v>47</v>
      </c>
      <c r="H3259" s="3183" t="str">
        <f>$V$2</f>
        <v>2019年12月31日</v>
      </c>
      <c r="I3259" s="3185"/>
      <c r="J3259" s="3183" t="str">
        <f>$V$3</f>
        <v>2018年12月31日</v>
      </c>
      <c r="K3259" s="3184"/>
      <c r="L3259" s="355" t="s">
        <v>5296</v>
      </c>
      <c r="M3259" s="291"/>
      <c r="N3259" s="291"/>
      <c r="O3259" s="291"/>
      <c r="S3259" s="364"/>
      <c r="Z3259" s="609" t="s">
        <v>3764</v>
      </c>
      <c r="AA3259" s="609" t="s">
        <v>5694</v>
      </c>
    </row>
    <row r="3260" spans="1:27" ht="24">
      <c r="A3260" s="2714"/>
      <c r="B3260" s="371"/>
      <c r="C3260" s="371"/>
      <c r="D3260" s="371"/>
      <c r="E3260" s="586" t="s">
        <v>2749</v>
      </c>
      <c r="F3260" s="363"/>
      <c r="G3260" s="3221"/>
      <c r="H3260" s="2369" t="s">
        <v>3787</v>
      </c>
      <c r="I3260" s="2369" t="s">
        <v>576</v>
      </c>
      <c r="J3260" s="2369" t="s">
        <v>3787</v>
      </c>
      <c r="K3260" s="2374" t="s">
        <v>576</v>
      </c>
      <c r="L3260" s="291"/>
      <c r="M3260" s="291"/>
      <c r="N3260" s="291"/>
      <c r="O3260" s="291"/>
      <c r="S3260" s="364"/>
      <c r="Z3260" s="609" t="s">
        <v>3764</v>
      </c>
      <c r="AA3260" s="609" t="s">
        <v>5694</v>
      </c>
    </row>
    <row r="3261" spans="1:27" ht="24">
      <c r="A3261" s="2714"/>
      <c r="B3261" s="371">
        <v>101</v>
      </c>
      <c r="C3261" s="371"/>
      <c r="D3261" s="2716">
        <f t="shared" ref="D3261:D3267" si="380">IF(OR(G3261="*",G3261="",G3261=0),0,COUNTIF($G$3261:$G$3267,G3261))</f>
        <v>1</v>
      </c>
      <c r="E3261" s="2721">
        <v>1</v>
      </c>
      <c r="F3261" s="294"/>
      <c r="G3261" s="1474" t="s">
        <v>3788</v>
      </c>
      <c r="H3261" s="2275"/>
      <c r="I3261" s="2275"/>
      <c r="J3261" s="2275"/>
      <c r="K3261" s="2296"/>
      <c r="L3261" s="291"/>
      <c r="M3261" s="291"/>
      <c r="N3261" s="291"/>
      <c r="O3261" s="291"/>
      <c r="S3261" s="364"/>
      <c r="Z3261" s="609" t="s">
        <v>3764</v>
      </c>
      <c r="AA3261" s="609" t="s">
        <v>5694</v>
      </c>
    </row>
    <row r="3262" spans="1:27" ht="24">
      <c r="A3262" s="2714"/>
      <c r="B3262" s="371">
        <v>102</v>
      </c>
      <c r="C3262" s="371"/>
      <c r="D3262" s="2716">
        <f t="shared" si="380"/>
        <v>1</v>
      </c>
      <c r="E3262" s="2721">
        <v>1</v>
      </c>
      <c r="F3262" s="294"/>
      <c r="G3262" s="1474" t="s">
        <v>3789</v>
      </c>
      <c r="H3262" s="2275"/>
      <c r="I3262" s="2275"/>
      <c r="J3262" s="2275"/>
      <c r="K3262" s="2296"/>
      <c r="L3262" s="291"/>
      <c r="M3262" s="291"/>
      <c r="N3262" s="291"/>
      <c r="O3262" s="291"/>
      <c r="S3262" s="364"/>
      <c r="Z3262" s="609" t="s">
        <v>3764</v>
      </c>
      <c r="AA3262" s="609" t="s">
        <v>5694</v>
      </c>
    </row>
    <row r="3263" spans="1:27" ht="18">
      <c r="A3263" s="2714"/>
      <c r="B3263" s="371">
        <v>103</v>
      </c>
      <c r="C3263" s="371" t="s">
        <v>2791</v>
      </c>
      <c r="D3263" s="2716">
        <f t="shared" si="380"/>
        <v>0</v>
      </c>
      <c r="E3263" s="2721">
        <v>1</v>
      </c>
      <c r="F3263" s="294"/>
      <c r="G3263" s="2375" t="s">
        <v>2792</v>
      </c>
      <c r="H3263" s="2275"/>
      <c r="I3263" s="2275"/>
      <c r="J3263" s="2275"/>
      <c r="K3263" s="2296"/>
      <c r="L3263" s="291"/>
      <c r="M3263" s="291"/>
      <c r="N3263" s="291"/>
      <c r="O3263" s="291"/>
      <c r="S3263" s="364"/>
      <c r="Z3263" s="609" t="s">
        <v>3764</v>
      </c>
      <c r="AA3263" s="609" t="s">
        <v>5694</v>
      </c>
    </row>
    <row r="3264" spans="1:27" ht="18">
      <c r="A3264" s="2714"/>
      <c r="B3264" s="371">
        <v>104</v>
      </c>
      <c r="C3264" s="371" t="s">
        <v>2791</v>
      </c>
      <c r="D3264" s="2716">
        <f t="shared" si="380"/>
        <v>0</v>
      </c>
      <c r="E3264" s="2721">
        <v>1</v>
      </c>
      <c r="F3264" s="294"/>
      <c r="G3264" s="2375" t="s">
        <v>2792</v>
      </c>
      <c r="H3264" s="2275"/>
      <c r="I3264" s="2275"/>
      <c r="J3264" s="2275"/>
      <c r="K3264" s="2296"/>
      <c r="L3264" s="291"/>
      <c r="M3264" s="291"/>
      <c r="N3264" s="291"/>
      <c r="O3264" s="291"/>
      <c r="S3264" s="364"/>
      <c r="Z3264" s="609" t="s">
        <v>3764</v>
      </c>
      <c r="AA3264" s="609" t="s">
        <v>5694</v>
      </c>
    </row>
    <row r="3265" spans="1:29" ht="18">
      <c r="A3265" s="2714"/>
      <c r="B3265" s="371">
        <v>105</v>
      </c>
      <c r="C3265" s="371" t="s">
        <v>2791</v>
      </c>
      <c r="D3265" s="2716">
        <f t="shared" si="380"/>
        <v>0</v>
      </c>
      <c r="E3265" s="2721">
        <v>1</v>
      </c>
      <c r="F3265" s="294"/>
      <c r="G3265" s="2375" t="s">
        <v>2792</v>
      </c>
      <c r="H3265" s="2275"/>
      <c r="I3265" s="2275"/>
      <c r="J3265" s="2275"/>
      <c r="K3265" s="2296"/>
      <c r="L3265" s="291"/>
      <c r="M3265" s="291"/>
      <c r="N3265" s="291"/>
      <c r="O3265" s="291"/>
      <c r="S3265" s="364"/>
      <c r="Z3265" s="609" t="s">
        <v>3764</v>
      </c>
      <c r="AA3265" s="609" t="s">
        <v>5694</v>
      </c>
    </row>
    <row r="3266" spans="1:29" ht="18">
      <c r="A3266" s="2714"/>
      <c r="B3266" s="371">
        <v>106</v>
      </c>
      <c r="C3266" s="371" t="s">
        <v>2791</v>
      </c>
      <c r="D3266" s="2716">
        <f t="shared" si="380"/>
        <v>0</v>
      </c>
      <c r="E3266" s="2721">
        <v>1</v>
      </c>
      <c r="F3266" s="294"/>
      <c r="G3266" s="2375" t="s">
        <v>2792</v>
      </c>
      <c r="H3266" s="2275"/>
      <c r="I3266" s="2275"/>
      <c r="J3266" s="2275"/>
      <c r="K3266" s="2296"/>
      <c r="L3266" s="291"/>
      <c r="M3266" s="291"/>
      <c r="N3266" s="291"/>
      <c r="O3266" s="291"/>
      <c r="S3266" s="364"/>
      <c r="Z3266" s="609" t="s">
        <v>3764</v>
      </c>
      <c r="AA3266" s="609" t="s">
        <v>5694</v>
      </c>
    </row>
    <row r="3267" spans="1:29" ht="18.75" thickBot="1">
      <c r="A3267" s="2714"/>
      <c r="B3267" s="371"/>
      <c r="C3267" s="371"/>
      <c r="D3267" s="2716">
        <f t="shared" si="380"/>
        <v>1</v>
      </c>
      <c r="E3267" s="2721" t="s">
        <v>2751</v>
      </c>
      <c r="F3267" s="294"/>
      <c r="G3267" s="374" t="s">
        <v>2752</v>
      </c>
      <c r="H3267" s="1478">
        <f>SUMPRODUCT($E3260:$E3266,H3260:H3266)</f>
        <v>0</v>
      </c>
      <c r="I3267" s="1478">
        <f>SUMPRODUCT($E3260:$E3266,I3260:I3266)</f>
        <v>0</v>
      </c>
      <c r="J3267" s="1478">
        <f>SUMPRODUCT($E3260:$E3266,J3260:J3266)</f>
        <v>0</v>
      </c>
      <c r="K3267" s="1479">
        <f>SUMPRODUCT($E3260:$E3266,K3260:K3266)</f>
        <v>0</v>
      </c>
      <c r="L3267" s="291"/>
      <c r="M3267" s="291"/>
      <c r="N3267" s="291"/>
      <c r="O3267" s="291"/>
      <c r="S3267" s="364"/>
      <c r="Z3267" s="609" t="s">
        <v>3764</v>
      </c>
      <c r="AA3267" s="609" t="s">
        <v>5694</v>
      </c>
    </row>
    <row r="3268" spans="1:29" ht="18">
      <c r="A3268" s="2714"/>
      <c r="B3268" s="371"/>
      <c r="C3268" s="371" t="s">
        <v>2755</v>
      </c>
      <c r="D3268" s="371"/>
      <c r="F3268" s="294"/>
      <c r="G3268" s="301"/>
      <c r="H3268" s="315"/>
      <c r="I3268" s="315"/>
      <c r="J3268" s="315"/>
      <c r="K3268" s="315"/>
      <c r="L3268" s="291"/>
      <c r="M3268" s="291"/>
      <c r="N3268" s="291"/>
      <c r="O3268" s="291"/>
      <c r="S3268" s="364"/>
      <c r="Z3268" s="609" t="s">
        <v>3764</v>
      </c>
      <c r="AA3268" s="609" t="s">
        <v>5694</v>
      </c>
    </row>
    <row r="3269" spans="1:29" ht="24">
      <c r="A3269" s="2714" t="s">
        <v>1326</v>
      </c>
      <c r="B3269" s="371">
        <v>3</v>
      </c>
      <c r="C3269" s="371"/>
      <c r="D3269" s="2716" t="str">
        <f>VLOOKUP($A3269,Sheet_NoteList,2,0)</f>
        <v>以抵销后净额列示的递延所得税资产或负债</v>
      </c>
      <c r="E3269" s="2716" t="s">
        <v>2742</v>
      </c>
      <c r="F3269" s="294"/>
      <c r="G3269" s="372" t="str">
        <f>"("&amp;B3269&amp;")"&amp;D3269</f>
        <v>(3)以抵销后净额列示的递延所得税资产或负债</v>
      </c>
      <c r="H3269" s="1517" t="str">
        <f>$A3269</f>
        <v>1829c</v>
      </c>
      <c r="I3269" s="343" t="s">
        <v>2743</v>
      </c>
      <c r="J3269" s="301"/>
      <c r="K3269" s="3071"/>
      <c r="L3269" s="315"/>
      <c r="M3269" s="301"/>
      <c r="N3269" s="3071"/>
      <c r="O3269" s="315"/>
      <c r="P3269" s="301"/>
      <c r="Q3269" s="290" t="str">
        <f>IF($I3269="不适用","",IF(ROUND(SUM($H$3272:$K$3274),2)=0,"请输入",""))</f>
        <v>请输入</v>
      </c>
      <c r="S3269" s="364"/>
      <c r="Z3269" s="609" t="s">
        <v>3790</v>
      </c>
      <c r="AA3269" s="609" t="s">
        <v>6576</v>
      </c>
    </row>
    <row r="3270" spans="1:29" ht="0.75" customHeight="1" thickBot="1">
      <c r="A3270" s="2714"/>
      <c r="B3270" s="371"/>
      <c r="C3270" s="371"/>
      <c r="D3270" s="371"/>
      <c r="E3270" s="586"/>
      <c r="F3270" s="518"/>
      <c r="G3270" s="518" t="s">
        <v>3791</v>
      </c>
      <c r="H3270" s="304" t="s">
        <v>3792</v>
      </c>
      <c r="I3270" s="304" t="s">
        <v>3793</v>
      </c>
      <c r="J3270" s="304" t="s">
        <v>3794</v>
      </c>
      <c r="K3270" s="304" t="s">
        <v>3795</v>
      </c>
      <c r="L3270" s="291"/>
      <c r="M3270" s="291"/>
      <c r="N3270" s="291"/>
      <c r="O3270" s="291"/>
      <c r="S3270" s="364"/>
      <c r="Z3270" s="609" t="s">
        <v>3790</v>
      </c>
      <c r="AA3270" s="609" t="s">
        <v>6576</v>
      </c>
    </row>
    <row r="3271" spans="1:29" ht="48">
      <c r="A3271" s="2714"/>
      <c r="B3271" s="371"/>
      <c r="C3271" s="371"/>
      <c r="D3271" s="371"/>
      <c r="E3271" s="586" t="s">
        <v>2749</v>
      </c>
      <c r="F3271" s="363"/>
      <c r="G3271" s="2362" t="s">
        <v>47</v>
      </c>
      <c r="H3271" s="2368" t="str">
        <f>"递延所得税资产和负债于"&amp;$W$2&amp;"互抵金额"</f>
        <v>递延所得税资产和负债于2019年12月31日互抵金额</v>
      </c>
      <c r="I3271" s="2368" t="str">
        <f>"抵销后递延所得税资产或负债于"&amp;$W$2&amp;"余额"</f>
        <v>抵销后递延所得税资产或负债于2019年12月31日余额</v>
      </c>
      <c r="J3271" s="2368" t="str">
        <f>"递延所得税资产和负债于"&amp;$W$3&amp;"互抵金额"</f>
        <v>递延所得税资产和负债于2018年12月31日互抵金额</v>
      </c>
      <c r="K3271" s="2373" t="str">
        <f>"抵销后递延所得税资产或负债于"&amp;$W$3&amp;"余额"</f>
        <v>抵销后递延所得税资产或负债于2018年12月31日余额</v>
      </c>
      <c r="L3271" s="355" t="s">
        <v>5296</v>
      </c>
      <c r="M3271" s="291"/>
      <c r="N3271" s="291"/>
      <c r="O3271" s="291"/>
      <c r="S3271" s="364"/>
      <c r="Z3271" s="609" t="s">
        <v>3790</v>
      </c>
      <c r="AA3271" s="609" t="s">
        <v>6576</v>
      </c>
    </row>
    <row r="3272" spans="1:29" ht="18">
      <c r="A3272" s="2714"/>
      <c r="B3272" s="371">
        <v>101</v>
      </c>
      <c r="C3272" s="371"/>
      <c r="D3272" s="2716">
        <f>IF(OR(G3272="*",G3272="",G3272=0),0,COUNTIF($G$3272:$G$3274,G3272))</f>
        <v>1</v>
      </c>
      <c r="E3272" s="2721">
        <v>1</v>
      </c>
      <c r="F3272" s="294"/>
      <c r="G3272" s="1474" t="s">
        <v>422</v>
      </c>
      <c r="H3272" s="2275"/>
      <c r="I3272" s="2275"/>
      <c r="J3272" s="2275"/>
      <c r="K3272" s="2296"/>
      <c r="L3272" s="291"/>
      <c r="M3272" s="291"/>
      <c r="N3272" s="291"/>
      <c r="O3272" s="291"/>
      <c r="S3272" s="364"/>
      <c r="Z3272" s="609" t="s">
        <v>3790</v>
      </c>
      <c r="AA3272" s="609" t="s">
        <v>6576</v>
      </c>
    </row>
    <row r="3273" spans="1:29" ht="18">
      <c r="A3273" s="2714"/>
      <c r="B3273" s="371">
        <v>102</v>
      </c>
      <c r="C3273" s="371"/>
      <c r="D3273" s="2716">
        <f>IF(OR(G3273="*",G3273="",G3273=0),0,COUNTIF($G$3272:$G$3274,G3273))</f>
        <v>1</v>
      </c>
      <c r="E3273" s="2721">
        <v>1</v>
      </c>
      <c r="F3273" s="294"/>
      <c r="G3273" s="1474" t="s">
        <v>576</v>
      </c>
      <c r="H3273" s="2275"/>
      <c r="I3273" s="2275"/>
      <c r="J3273" s="2275"/>
      <c r="K3273" s="2296"/>
      <c r="L3273" s="291"/>
      <c r="M3273" s="291"/>
      <c r="N3273" s="291"/>
      <c r="O3273" s="291"/>
      <c r="S3273" s="364"/>
      <c r="Z3273" s="609" t="s">
        <v>3790</v>
      </c>
      <c r="AA3273" s="609" t="s">
        <v>6576</v>
      </c>
    </row>
    <row r="3274" spans="1:29" ht="18.75" thickBot="1">
      <c r="A3274" s="2714"/>
      <c r="B3274" s="371"/>
      <c r="C3274" s="371" t="s">
        <v>2793</v>
      </c>
      <c r="D3274" s="2716">
        <f>IF(OR(G3274="*",G3274="",G3274=0),0,COUNTIF($G$3272:$G$3274,G3274))</f>
        <v>0</v>
      </c>
      <c r="E3274" s="2721" t="s">
        <v>3595</v>
      </c>
      <c r="F3274" s="294"/>
      <c r="G3274" s="590"/>
      <c r="H3274" s="2317"/>
      <c r="I3274" s="2317"/>
      <c r="J3274" s="2317"/>
      <c r="K3274" s="2384"/>
      <c r="L3274" s="291"/>
      <c r="M3274" s="291"/>
      <c r="N3274" s="291"/>
      <c r="O3274" s="291"/>
      <c r="S3274" s="364"/>
      <c r="Z3274" s="609" t="s">
        <v>3790</v>
      </c>
      <c r="AA3274" s="609" t="s">
        <v>6576</v>
      </c>
    </row>
    <row r="3275" spans="1:29" ht="18">
      <c r="A3275" s="2714"/>
      <c r="B3275" s="371"/>
      <c r="C3275" s="371" t="s">
        <v>2755</v>
      </c>
      <c r="D3275" s="371"/>
      <c r="F3275" s="294"/>
      <c r="G3275" s="301"/>
      <c r="H3275" s="315"/>
      <c r="I3275" s="315"/>
      <c r="J3275" s="315"/>
      <c r="K3275" s="315"/>
      <c r="L3275" s="291"/>
      <c r="M3275" s="291"/>
      <c r="N3275" s="291"/>
      <c r="O3275" s="291"/>
      <c r="S3275" s="364"/>
      <c r="Z3275" s="609" t="s">
        <v>3790</v>
      </c>
      <c r="AA3275" s="609" t="s">
        <v>6576</v>
      </c>
    </row>
    <row r="3276" spans="1:29" ht="24">
      <c r="A3276" s="2714" t="s">
        <v>1331</v>
      </c>
      <c r="B3276" s="371">
        <v>4</v>
      </c>
      <c r="C3276" s="371"/>
      <c r="D3276" s="2716" t="str">
        <f>VLOOKUP($A3276,Sheet_NoteList,2,0)</f>
        <v>未确认递延所得税资产明细</v>
      </c>
      <c r="E3276" s="2716" t="s">
        <v>2742</v>
      </c>
      <c r="F3276" s="294"/>
      <c r="G3276" s="372" t="str">
        <f>"("&amp;B3276&amp;")"&amp;D3276</f>
        <v>(4)未确认递延所得税资产明细</v>
      </c>
      <c r="H3276" s="1517" t="str">
        <f>$A3276</f>
        <v>1829e</v>
      </c>
      <c r="I3276" s="343" t="s">
        <v>2743</v>
      </c>
      <c r="J3276" s="301"/>
      <c r="K3276" s="3071"/>
      <c r="L3276" s="315"/>
      <c r="M3276" s="301"/>
      <c r="N3276" s="3071"/>
      <c r="O3276" s="315"/>
      <c r="P3276" s="301"/>
      <c r="Q3276" s="290" t="str">
        <f>IF($I3276="不适用","",IF(ROUND(SUM($H$3279:$I$3284),2)=0,"请输入",""))</f>
        <v>请输入</v>
      </c>
      <c r="S3276" s="364"/>
      <c r="Z3276" s="609" t="s">
        <v>3763</v>
      </c>
      <c r="AA3276" s="609" t="s">
        <v>5669</v>
      </c>
    </row>
    <row r="3277" spans="1:29" ht="0.75" customHeight="1" thickBot="1">
      <c r="A3277" s="2714"/>
      <c r="B3277" s="371"/>
      <c r="C3277" s="371"/>
      <c r="D3277" s="371"/>
      <c r="E3277" s="586"/>
      <c r="F3277" s="363"/>
      <c r="G3277" s="363" t="s">
        <v>3796</v>
      </c>
      <c r="H3277" s="294" t="s">
        <v>2849</v>
      </c>
      <c r="I3277" s="294" t="s">
        <v>3797</v>
      </c>
      <c r="J3277" s="291"/>
      <c r="K3277" s="291"/>
      <c r="L3277" s="291"/>
      <c r="M3277" s="291"/>
      <c r="S3277" s="364"/>
      <c r="Z3277" s="609" t="s">
        <v>3763</v>
      </c>
      <c r="AA3277" s="609" t="s">
        <v>5669</v>
      </c>
    </row>
    <row r="3278" spans="1:29" ht="18">
      <c r="A3278" s="2714"/>
      <c r="B3278" s="371"/>
      <c r="C3278" s="371"/>
      <c r="D3278" s="371"/>
      <c r="E3278" s="586" t="s">
        <v>2749</v>
      </c>
      <c r="F3278" s="363"/>
      <c r="G3278" s="2362" t="s">
        <v>47</v>
      </c>
      <c r="H3278" s="2225" t="str">
        <f>$V$2</f>
        <v>2019年12月31日</v>
      </c>
      <c r="I3278" s="2226" t="str">
        <f>$V$3</f>
        <v>2018年12月31日</v>
      </c>
      <c r="J3278" s="355" t="s">
        <v>5296</v>
      </c>
      <c r="K3278" s="291"/>
      <c r="L3278" s="291"/>
      <c r="M3278" s="291"/>
      <c r="S3278" s="364"/>
      <c r="Z3278" s="609" t="s">
        <v>3763</v>
      </c>
      <c r="AA3278" s="609" t="s">
        <v>5669</v>
      </c>
    </row>
    <row r="3279" spans="1:29" ht="18">
      <c r="A3279" s="2714"/>
      <c r="B3279" s="371">
        <v>101</v>
      </c>
      <c r="C3279" s="371"/>
      <c r="D3279" s="2716">
        <f t="shared" ref="D3279:D3284" si="381">IF(OR(G3279="*",G3279="",G3279=0),0,COUNTIF($G$3279:$G$3284,G3279))</f>
        <v>1</v>
      </c>
      <c r="E3279" s="2721">
        <v>1</v>
      </c>
      <c r="F3279" s="294"/>
      <c r="G3279" s="1474" t="s">
        <v>3774</v>
      </c>
      <c r="H3279" s="2275"/>
      <c r="I3279" s="2296"/>
      <c r="J3279" s="291"/>
      <c r="K3279" s="291"/>
      <c r="L3279" s="291"/>
      <c r="M3279" s="291"/>
      <c r="S3279" s="364"/>
      <c r="Z3279" s="609" t="s">
        <v>3763</v>
      </c>
      <c r="AA3279" s="609" t="s">
        <v>5669</v>
      </c>
    </row>
    <row r="3280" spans="1:29" ht="18">
      <c r="A3280" s="2714"/>
      <c r="B3280" s="371">
        <v>102</v>
      </c>
      <c r="C3280" s="371"/>
      <c r="D3280" s="2716">
        <f t="shared" si="381"/>
        <v>1</v>
      </c>
      <c r="E3280" s="2721">
        <v>1</v>
      </c>
      <c r="F3280" s="294"/>
      <c r="G3280" s="1474" t="s">
        <v>3777</v>
      </c>
      <c r="H3280" s="2275"/>
      <c r="I3280" s="2296"/>
      <c r="J3280" s="1533" t="str">
        <f ca="1">HYPERLINK("#'"&amp;$G$1&amp;"'!"&amp;ADDRESS(ROW(Notes!H3299),COLUMN(Notes!H3299),4),"* 请勿删除此行！点击往勾稽单元格，F5+Enter返回")</f>
        <v>* 请勿删除此行！点击往勾稽单元格，F5+Enter返回</v>
      </c>
      <c r="K3280" s="291"/>
      <c r="L3280" s="291"/>
      <c r="M3280" s="291"/>
      <c r="S3280" s="364"/>
      <c r="Z3280" s="609" t="s">
        <v>3763</v>
      </c>
      <c r="AA3280" s="609" t="s">
        <v>5669</v>
      </c>
      <c r="AC3280" s="369" t="s">
        <v>6574</v>
      </c>
    </row>
    <row r="3281" spans="1:27" ht="18">
      <c r="A3281" s="2714"/>
      <c r="B3281" s="371">
        <v>103</v>
      </c>
      <c r="C3281" s="371" t="s">
        <v>2791</v>
      </c>
      <c r="D3281" s="2716">
        <f t="shared" si="381"/>
        <v>0</v>
      </c>
      <c r="E3281" s="2721">
        <v>1</v>
      </c>
      <c r="F3281" s="294"/>
      <c r="G3281" s="2375" t="s">
        <v>2792</v>
      </c>
      <c r="H3281" s="2275"/>
      <c r="I3281" s="2296"/>
      <c r="J3281" s="291"/>
      <c r="K3281" s="291"/>
      <c r="L3281" s="291"/>
      <c r="M3281" s="291"/>
      <c r="S3281" s="364"/>
      <c r="Z3281" s="609" t="s">
        <v>3763</v>
      </c>
      <c r="AA3281" s="609" t="s">
        <v>5669</v>
      </c>
    </row>
    <row r="3282" spans="1:27" ht="18">
      <c r="A3282" s="2714"/>
      <c r="B3282" s="371">
        <v>104</v>
      </c>
      <c r="C3282" s="371" t="s">
        <v>2791</v>
      </c>
      <c r="D3282" s="2716">
        <f t="shared" si="381"/>
        <v>0</v>
      </c>
      <c r="E3282" s="2721">
        <v>1</v>
      </c>
      <c r="F3282" s="294"/>
      <c r="G3282" s="2375" t="s">
        <v>2792</v>
      </c>
      <c r="H3282" s="2275"/>
      <c r="I3282" s="2296"/>
      <c r="J3282" s="291"/>
      <c r="K3282" s="291"/>
      <c r="L3282" s="291"/>
      <c r="M3282" s="291"/>
      <c r="S3282" s="364"/>
      <c r="Z3282" s="609" t="s">
        <v>3763</v>
      </c>
      <c r="AA3282" s="609" t="s">
        <v>5669</v>
      </c>
    </row>
    <row r="3283" spans="1:27" ht="18">
      <c r="A3283" s="2714"/>
      <c r="B3283" s="371">
        <v>105</v>
      </c>
      <c r="C3283" s="371" t="s">
        <v>2791</v>
      </c>
      <c r="D3283" s="2716">
        <f t="shared" si="381"/>
        <v>0</v>
      </c>
      <c r="E3283" s="2721">
        <v>1</v>
      </c>
      <c r="F3283" s="294"/>
      <c r="G3283" s="2375" t="s">
        <v>2792</v>
      </c>
      <c r="H3283" s="2275"/>
      <c r="I3283" s="2296"/>
      <c r="J3283" s="291"/>
      <c r="K3283" s="291"/>
      <c r="L3283" s="291"/>
      <c r="M3283" s="291"/>
      <c r="S3283" s="364"/>
      <c r="Z3283" s="609" t="s">
        <v>3763</v>
      </c>
      <c r="AA3283" s="609" t="s">
        <v>5669</v>
      </c>
    </row>
    <row r="3284" spans="1:27" ht="18.75" thickBot="1">
      <c r="A3284" s="2714"/>
      <c r="B3284" s="371"/>
      <c r="C3284" s="371"/>
      <c r="D3284" s="2716">
        <f t="shared" si="381"/>
        <v>1</v>
      </c>
      <c r="E3284" s="2721" t="s">
        <v>3032</v>
      </c>
      <c r="F3284" s="294"/>
      <c r="G3284" s="374" t="s">
        <v>2752</v>
      </c>
      <c r="H3284" s="1478">
        <f>SUMPRODUCT($E3278:$E3283,H3278:H3283)</f>
        <v>0</v>
      </c>
      <c r="I3284" s="1479">
        <f>SUMPRODUCT($E3278:$E3283,I3278:I3283)</f>
        <v>0</v>
      </c>
      <c r="J3284" s="291"/>
      <c r="K3284" s="291"/>
      <c r="L3284" s="291"/>
      <c r="M3284" s="291"/>
      <c r="S3284" s="364"/>
      <c r="Z3284" s="609" t="s">
        <v>3763</v>
      </c>
      <c r="AA3284" s="609" t="s">
        <v>5669</v>
      </c>
    </row>
    <row r="3285" spans="1:27" ht="18">
      <c r="A3285" s="2714"/>
      <c r="B3285" s="371"/>
      <c r="C3285" s="371" t="s">
        <v>2755</v>
      </c>
      <c r="D3285" s="371"/>
      <c r="F3285" s="294"/>
      <c r="G3285" s="301"/>
      <c r="H3285" s="315"/>
      <c r="I3285" s="315"/>
      <c r="J3285" s="291"/>
      <c r="K3285" s="291"/>
      <c r="L3285" s="291"/>
      <c r="M3285" s="291"/>
      <c r="S3285" s="364"/>
      <c r="Z3285" s="609" t="s">
        <v>3763</v>
      </c>
      <c r="AA3285" s="609" t="s">
        <v>5669</v>
      </c>
    </row>
    <row r="3286" spans="1:27" ht="36">
      <c r="A3286" s="2714" t="s">
        <v>1336</v>
      </c>
      <c r="B3286" s="371">
        <v>5</v>
      </c>
      <c r="C3286" s="371"/>
      <c r="D3286" s="2716" t="str">
        <f>VLOOKUP($A3286,Sheet_NoteList,2,0)</f>
        <v>未确认递延所得税资产的可抵扣亏损将于以下年度到期</v>
      </c>
      <c r="E3286" s="2716" t="s">
        <v>2742</v>
      </c>
      <c r="F3286" s="294"/>
      <c r="G3286" s="372" t="str">
        <f>"("&amp;B3286&amp;")"&amp;D3286</f>
        <v>(5)未确认递延所得税资产的可抵扣亏损将于以下年度到期</v>
      </c>
      <c r="H3286" s="1517" t="str">
        <f>$A3286</f>
        <v>1829f</v>
      </c>
      <c r="I3286" s="343" t="s">
        <v>2743</v>
      </c>
      <c r="J3286" s="301"/>
      <c r="K3286" s="3074">
        <f>H3296</f>
        <v>0</v>
      </c>
      <c r="L3286" s="315"/>
      <c r="M3286" s="301"/>
      <c r="N3286" s="3074">
        <f>I3296</f>
        <v>0</v>
      </c>
      <c r="O3286" s="315"/>
      <c r="P3286" s="301"/>
      <c r="Q3286" s="290" t="str">
        <f>IF($I3286="不适用","",IF(ROUND(SUM($H$3289:$J$3296),2)=0,"请输入",""))</f>
        <v>请输入</v>
      </c>
      <c r="S3286" s="364"/>
      <c r="Z3286" s="609" t="s">
        <v>3763</v>
      </c>
      <c r="AA3286" s="609" t="s">
        <v>5669</v>
      </c>
    </row>
    <row r="3287" spans="1:27" ht="0.75" customHeight="1" thickBot="1">
      <c r="A3287" s="2714"/>
      <c r="B3287" s="371"/>
      <c r="C3287" s="371"/>
      <c r="D3287" s="371"/>
      <c r="E3287" s="586"/>
      <c r="F3287" s="586"/>
      <c r="G3287" s="586" t="s">
        <v>3798</v>
      </c>
      <c r="H3287" s="371" t="s">
        <v>6286</v>
      </c>
      <c r="I3287" s="371" t="s">
        <v>6287</v>
      </c>
      <c r="J3287" s="371" t="s">
        <v>6288</v>
      </c>
      <c r="K3287" s="472"/>
      <c r="L3287" s="472"/>
      <c r="M3287" s="472"/>
      <c r="N3287" s="472"/>
      <c r="O3287" s="442"/>
      <c r="P3287" s="442"/>
      <c r="Q3287" s="442"/>
      <c r="R3287" s="443"/>
      <c r="S3287" s="364"/>
      <c r="Z3287" s="609" t="s">
        <v>3763</v>
      </c>
      <c r="AA3287" s="609" t="s">
        <v>5669</v>
      </c>
    </row>
    <row r="3288" spans="1:27" ht="18">
      <c r="A3288" s="2714"/>
      <c r="B3288" s="371"/>
      <c r="C3288" s="371"/>
      <c r="D3288" s="371"/>
      <c r="E3288" s="586" t="s">
        <v>2749</v>
      </c>
      <c r="F3288" s="363"/>
      <c r="G3288" s="2362" t="s">
        <v>3799</v>
      </c>
      <c r="H3288" s="2225" t="str">
        <f>$V$2</f>
        <v>2019年12月31日</v>
      </c>
      <c r="I3288" s="2225" t="str">
        <f>$V$3</f>
        <v>2018年12月31日</v>
      </c>
      <c r="J3288" s="2373" t="s">
        <v>2508</v>
      </c>
      <c r="K3288" s="355" t="s">
        <v>5296</v>
      </c>
      <c r="L3288" s="472"/>
      <c r="M3288" s="472"/>
      <c r="N3288" s="472"/>
      <c r="O3288" s="442"/>
      <c r="P3288" s="442"/>
      <c r="Q3288" s="442"/>
      <c r="R3288" s="443"/>
      <c r="S3288" s="364"/>
      <c r="Z3288" s="609" t="s">
        <v>3763</v>
      </c>
      <c r="AA3288" s="609" t="s">
        <v>5669</v>
      </c>
    </row>
    <row r="3289" spans="1:27" ht="18">
      <c r="A3289" s="2714"/>
      <c r="B3289" s="371">
        <v>101</v>
      </c>
      <c r="C3289" s="371" t="s">
        <v>2791</v>
      </c>
      <c r="D3289" s="2716">
        <f t="shared" ref="D3289:D3296" si="382">IF(OR(G3289="*",G3289="",G3289=0),0,COUNTIF($G$3289:$G$3296,G3289))</f>
        <v>1</v>
      </c>
      <c r="E3289" s="2721">
        <v>1</v>
      </c>
      <c r="F3289" s="294"/>
      <c r="G3289" s="2375" t="s">
        <v>3800</v>
      </c>
      <c r="H3289" s="2275"/>
      <c r="I3289" s="2275"/>
      <c r="J3289" s="2276"/>
      <c r="K3289" s="472"/>
      <c r="L3289" s="472"/>
      <c r="M3289" s="472"/>
      <c r="N3289" s="472"/>
      <c r="O3289" s="442"/>
      <c r="P3289" s="442"/>
      <c r="Q3289" s="442"/>
      <c r="R3289" s="443"/>
      <c r="S3289" s="364"/>
      <c r="Z3289" s="609" t="s">
        <v>3763</v>
      </c>
      <c r="AA3289" s="609" t="s">
        <v>5669</v>
      </c>
    </row>
    <row r="3290" spans="1:27" ht="18">
      <c r="A3290" s="2714"/>
      <c r="B3290" s="371">
        <v>102</v>
      </c>
      <c r="C3290" s="371" t="s">
        <v>2791</v>
      </c>
      <c r="D3290" s="2716">
        <f t="shared" si="382"/>
        <v>1</v>
      </c>
      <c r="E3290" s="2721">
        <v>1</v>
      </c>
      <c r="F3290" s="294"/>
      <c r="G3290" s="2375" t="s">
        <v>3801</v>
      </c>
      <c r="H3290" s="2275"/>
      <c r="I3290" s="2275"/>
      <c r="J3290" s="2276"/>
      <c r="K3290" s="472"/>
      <c r="L3290" s="472"/>
      <c r="M3290" s="472"/>
      <c r="N3290" s="472"/>
      <c r="O3290" s="442"/>
      <c r="P3290" s="442"/>
      <c r="Q3290" s="442"/>
      <c r="R3290" s="443"/>
      <c r="S3290" s="364"/>
      <c r="Z3290" s="609" t="s">
        <v>3763</v>
      </c>
      <c r="AA3290" s="609" t="s">
        <v>5669</v>
      </c>
    </row>
    <row r="3291" spans="1:27" ht="18">
      <c r="A3291" s="2714"/>
      <c r="B3291" s="371">
        <v>103</v>
      </c>
      <c r="C3291" s="371" t="s">
        <v>2791</v>
      </c>
      <c r="D3291" s="2716">
        <f t="shared" si="382"/>
        <v>1</v>
      </c>
      <c r="E3291" s="2721">
        <v>1</v>
      </c>
      <c r="F3291" s="294"/>
      <c r="G3291" s="2375" t="s">
        <v>3802</v>
      </c>
      <c r="H3291" s="2275"/>
      <c r="I3291" s="2275"/>
      <c r="J3291" s="2276"/>
      <c r="K3291" s="472"/>
      <c r="L3291" s="472"/>
      <c r="M3291" s="472"/>
      <c r="N3291" s="472"/>
      <c r="O3291" s="442"/>
      <c r="P3291" s="442"/>
      <c r="Q3291" s="442"/>
      <c r="R3291" s="443"/>
      <c r="S3291" s="364"/>
      <c r="Z3291" s="609" t="s">
        <v>3763</v>
      </c>
      <c r="AA3291" s="609" t="s">
        <v>5669</v>
      </c>
    </row>
    <row r="3292" spans="1:27" ht="18">
      <c r="A3292" s="2714"/>
      <c r="B3292" s="371">
        <v>104</v>
      </c>
      <c r="C3292" s="371" t="s">
        <v>2791</v>
      </c>
      <c r="D3292" s="2716">
        <f t="shared" si="382"/>
        <v>1</v>
      </c>
      <c r="E3292" s="2721">
        <v>1</v>
      </c>
      <c r="F3292" s="294"/>
      <c r="G3292" s="2375" t="s">
        <v>3803</v>
      </c>
      <c r="H3292" s="2275"/>
      <c r="I3292" s="2275"/>
      <c r="J3292" s="2276"/>
      <c r="K3292" s="472"/>
      <c r="L3292" s="472"/>
      <c r="M3292" s="472"/>
      <c r="N3292" s="472"/>
      <c r="O3292" s="442"/>
      <c r="P3292" s="442"/>
      <c r="Q3292" s="442"/>
      <c r="R3292" s="443"/>
      <c r="S3292" s="364"/>
      <c r="Z3292" s="609" t="s">
        <v>3763</v>
      </c>
      <c r="AA3292" s="609" t="s">
        <v>5669</v>
      </c>
    </row>
    <row r="3293" spans="1:27" ht="18">
      <c r="A3293" s="2714"/>
      <c r="B3293" s="371">
        <v>105</v>
      </c>
      <c r="C3293" s="371" t="s">
        <v>2791</v>
      </c>
      <c r="D3293" s="2716">
        <f t="shared" si="382"/>
        <v>1</v>
      </c>
      <c r="E3293" s="2721">
        <v>1</v>
      </c>
      <c r="F3293" s="294"/>
      <c r="G3293" s="2375" t="s">
        <v>3804</v>
      </c>
      <c r="H3293" s="2275"/>
      <c r="I3293" s="2275"/>
      <c r="J3293" s="2276"/>
      <c r="K3293" s="472"/>
      <c r="L3293" s="472"/>
      <c r="M3293" s="472"/>
      <c r="N3293" s="472"/>
      <c r="O3293" s="442"/>
      <c r="P3293" s="442"/>
      <c r="Q3293" s="442"/>
      <c r="R3293" s="443"/>
      <c r="S3293" s="364"/>
      <c r="Z3293" s="609" t="s">
        <v>3763</v>
      </c>
      <c r="AA3293" s="609" t="s">
        <v>5669</v>
      </c>
    </row>
    <row r="3294" spans="1:27" ht="18">
      <c r="A3294" s="2714"/>
      <c r="B3294" s="371">
        <v>106</v>
      </c>
      <c r="C3294" s="371" t="s">
        <v>2791</v>
      </c>
      <c r="D3294" s="2716">
        <f t="shared" si="382"/>
        <v>0</v>
      </c>
      <c r="E3294" s="2721">
        <v>1</v>
      </c>
      <c r="F3294" s="294"/>
      <c r="G3294" s="2375" t="s">
        <v>2792</v>
      </c>
      <c r="H3294" s="2275"/>
      <c r="I3294" s="2275"/>
      <c r="J3294" s="2276"/>
      <c r="K3294" s="472"/>
      <c r="L3294" s="472"/>
      <c r="M3294" s="472"/>
      <c r="N3294" s="472"/>
      <c r="O3294" s="442"/>
      <c r="P3294" s="442"/>
      <c r="Q3294" s="442"/>
      <c r="R3294" s="443"/>
      <c r="S3294" s="364"/>
      <c r="Z3294" s="609" t="s">
        <v>3763</v>
      </c>
      <c r="AA3294" s="609" t="s">
        <v>5669</v>
      </c>
    </row>
    <row r="3295" spans="1:27" ht="18">
      <c r="A3295" s="2714"/>
      <c r="B3295" s="371">
        <v>107</v>
      </c>
      <c r="C3295" s="371" t="s">
        <v>2791</v>
      </c>
      <c r="D3295" s="2716">
        <f t="shared" si="382"/>
        <v>0</v>
      </c>
      <c r="E3295" s="2721">
        <v>1</v>
      </c>
      <c r="F3295" s="294"/>
      <c r="G3295" s="2375" t="s">
        <v>2792</v>
      </c>
      <c r="H3295" s="2275"/>
      <c r="I3295" s="2275"/>
      <c r="J3295" s="2276"/>
      <c r="K3295" s="472"/>
      <c r="L3295" s="472"/>
      <c r="M3295" s="472"/>
      <c r="N3295" s="472"/>
      <c r="O3295" s="442"/>
      <c r="P3295" s="442"/>
      <c r="Q3295" s="442"/>
      <c r="R3295" s="443"/>
      <c r="S3295" s="364"/>
      <c r="Z3295" s="609" t="s">
        <v>3763</v>
      </c>
      <c r="AA3295" s="609" t="s">
        <v>5669</v>
      </c>
    </row>
    <row r="3296" spans="1:27" ht="18.75" thickBot="1">
      <c r="A3296" s="2714"/>
      <c r="B3296" s="371"/>
      <c r="C3296" s="371"/>
      <c r="D3296" s="2716">
        <f t="shared" si="382"/>
        <v>1</v>
      </c>
      <c r="E3296" s="2721" t="s">
        <v>3032</v>
      </c>
      <c r="F3296" s="294"/>
      <c r="G3296" s="374" t="s">
        <v>2752</v>
      </c>
      <c r="H3296" s="1478">
        <f>SUMPRODUCT($E3288:$E3295,H3288:H3295)</f>
        <v>0</v>
      </c>
      <c r="I3296" s="1478">
        <f>SUMPRODUCT($E3288:$E3295,I3288:I3295)</f>
        <v>0</v>
      </c>
      <c r="J3296" s="2260"/>
      <c r="K3296" s="472"/>
      <c r="L3296" s="472"/>
      <c r="M3296" s="472"/>
      <c r="N3296" s="472"/>
      <c r="O3296" s="442"/>
      <c r="P3296" s="442"/>
      <c r="Q3296" s="442"/>
      <c r="R3296" s="443"/>
      <c r="S3296" s="364"/>
      <c r="Z3296" s="609" t="s">
        <v>3763</v>
      </c>
      <c r="AA3296" s="609" t="s">
        <v>5669</v>
      </c>
    </row>
    <row r="3297" spans="1:27" ht="18.75" thickBot="1">
      <c r="A3297" s="2714"/>
      <c r="B3297" s="371"/>
      <c r="C3297" s="371" t="s">
        <v>2755</v>
      </c>
      <c r="D3297" s="371"/>
      <c r="F3297" s="294"/>
      <c r="G3297" s="301"/>
      <c r="H3297" s="315" t="s">
        <v>3002</v>
      </c>
      <c r="I3297" s="315" t="s">
        <v>3002</v>
      </c>
      <c r="J3297" s="427"/>
      <c r="K3297" s="472"/>
      <c r="L3297" s="472"/>
      <c r="M3297" s="472"/>
      <c r="N3297" s="472"/>
      <c r="O3297" s="442"/>
      <c r="P3297" s="442"/>
      <c r="Q3297" s="442"/>
      <c r="R3297" s="443"/>
      <c r="S3297" s="364"/>
      <c r="Z3297" s="609" t="s">
        <v>3763</v>
      </c>
      <c r="AA3297" s="609" t="s">
        <v>5669</v>
      </c>
    </row>
    <row r="3298" spans="1:27" ht="18.75" thickTop="1">
      <c r="A3298" s="2714"/>
      <c r="B3298" s="371"/>
      <c r="C3298" s="371" t="s">
        <v>2565</v>
      </c>
      <c r="D3298" s="371"/>
      <c r="F3298" s="294"/>
      <c r="G3298" s="454" t="s">
        <v>2756</v>
      </c>
      <c r="H3298" s="455" t="str">
        <f>G3276</f>
        <v>(4)未确认递延所得税资产明细</v>
      </c>
      <c r="I3298" s="487"/>
      <c r="J3298" s="474"/>
      <c r="K3298" s="291"/>
      <c r="L3298" s="291"/>
      <c r="M3298" s="291"/>
      <c r="N3298" s="291"/>
      <c r="S3298" s="364"/>
      <c r="Z3298" s="609" t="s">
        <v>3763</v>
      </c>
      <c r="AA3298" s="609" t="s">
        <v>5669</v>
      </c>
    </row>
    <row r="3299" spans="1:27" ht="18">
      <c r="A3299" s="2714"/>
      <c r="B3299" s="371"/>
      <c r="C3299" s="371" t="s">
        <v>2565</v>
      </c>
      <c r="D3299" s="371"/>
      <c r="F3299" s="294"/>
      <c r="G3299" s="316" t="str">
        <f>G3280</f>
        <v>可抵扣亏损</v>
      </c>
      <c r="H3299" s="2252">
        <f ca="1">HYPERLINK("#'"&amp;$G$1&amp;"'!"&amp;ADDRESS(ROW(Notes!H3280),COLUMN(Notes!H3280),4),H3280)</f>
        <v>0</v>
      </c>
      <c r="I3299" s="2252">
        <f ca="1">HYPERLINK("#'"&amp;$G$1&amp;"'!"&amp;ADDRESS(ROW(Notes!I3280),COLUMN(Notes!I3280),4),I3280)</f>
        <v>0</v>
      </c>
      <c r="J3299" s="2632" t="str">
        <f>H3276</f>
        <v>1829e</v>
      </c>
      <c r="K3299" s="291"/>
      <c r="L3299" s="291"/>
      <c r="M3299" s="291"/>
      <c r="N3299" s="291"/>
      <c r="S3299" s="364"/>
      <c r="Z3299" s="609" t="s">
        <v>3763</v>
      </c>
      <c r="AA3299" s="609" t="s">
        <v>5669</v>
      </c>
    </row>
    <row r="3300" spans="1:27" ht="18">
      <c r="A3300" s="2714"/>
      <c r="B3300" s="371"/>
      <c r="C3300" s="371" t="s">
        <v>2565</v>
      </c>
      <c r="D3300" s="371"/>
      <c r="F3300" s="294"/>
      <c r="G3300" s="316" t="s">
        <v>3003</v>
      </c>
      <c r="H3300" s="456">
        <f>H3296</f>
        <v>0</v>
      </c>
      <c r="I3300" s="456">
        <f>I3296</f>
        <v>0</v>
      </c>
      <c r="J3300" s="351" t="str">
        <f>H3286</f>
        <v>1829f</v>
      </c>
      <c r="K3300" s="291"/>
      <c r="L3300" s="291"/>
      <c r="M3300" s="291"/>
      <c r="N3300" s="291"/>
      <c r="S3300" s="364"/>
      <c r="Z3300" s="609" t="s">
        <v>3763</v>
      </c>
      <c r="AA3300" s="609" t="s">
        <v>5669</v>
      </c>
    </row>
    <row r="3301" spans="1:27" ht="18.75" thickBot="1">
      <c r="A3301" s="2714"/>
      <c r="B3301" s="371"/>
      <c r="C3301" s="371" t="s">
        <v>2565</v>
      </c>
      <c r="D3301" s="371"/>
      <c r="F3301" s="294"/>
      <c r="G3301" s="457" t="s">
        <v>2757</v>
      </c>
      <c r="H3301" s="458">
        <f ca="1">IF(AND(H3299="",H3300=""),"",ROUND(H3299-H3300,2))</f>
        <v>0</v>
      </c>
      <c r="I3301" s="458">
        <f ca="1">IF(AND(I3299="",I3300=""),"",ROUND(I3299-I3300,2))</f>
        <v>0</v>
      </c>
      <c r="J3301" s="356"/>
      <c r="K3301" s="291"/>
      <c r="L3301" s="291"/>
      <c r="M3301" s="291"/>
      <c r="N3301" s="291"/>
      <c r="S3301" s="364"/>
      <c r="Z3301" s="609" t="s">
        <v>3763</v>
      </c>
      <c r="AA3301" s="609" t="s">
        <v>5669</v>
      </c>
    </row>
    <row r="3302" spans="1:27" ht="18.75" thickTop="1">
      <c r="A3302" s="2714"/>
      <c r="B3302" s="371"/>
      <c r="C3302" s="371" t="s">
        <v>2565</v>
      </c>
      <c r="D3302" s="371"/>
      <c r="F3302" s="294"/>
      <c r="G3302" s="354"/>
      <c r="H3302" s="459" t="str">
        <f ca="1">IF(OR(H3301=0,H3301=""),"√","？")</f>
        <v>√</v>
      </c>
      <c r="I3302" s="459" t="str">
        <f ca="1">IF(OR(I3301=0,I3301=""),"√","？")</f>
        <v>√</v>
      </c>
      <c r="J3302" s="317"/>
      <c r="K3302" s="291"/>
      <c r="L3302" s="291"/>
      <c r="M3302" s="291"/>
      <c r="N3302" s="291"/>
      <c r="S3302" s="364"/>
      <c r="Z3302" s="609" t="s">
        <v>3763</v>
      </c>
      <c r="AA3302" s="609" t="s">
        <v>5669</v>
      </c>
    </row>
    <row r="3303" spans="1:27" ht="18">
      <c r="A3303" s="2714"/>
      <c r="B3303" s="371"/>
      <c r="C3303" s="371" t="s">
        <v>2565</v>
      </c>
      <c r="D3303" s="371"/>
      <c r="F3303" s="294"/>
      <c r="G3303" s="460" t="s">
        <v>2759</v>
      </c>
      <c r="H3303" s="461"/>
      <c r="I3303" s="461"/>
      <c r="J3303" s="317"/>
      <c r="K3303" s="345">
        <f ca="1">SUMIF($H$3302:$J$3302,"&lt;&gt;√",$H$3301:$J$3301)</f>
        <v>0</v>
      </c>
      <c r="L3303" s="475" t="str">
        <f ca="1">IF(OR(K3303=0,K3303=""),"√","？")</f>
        <v>√</v>
      </c>
      <c r="M3303" s="291"/>
      <c r="N3303" s="291"/>
      <c r="S3303" s="364"/>
      <c r="Z3303" s="609" t="s">
        <v>3763</v>
      </c>
      <c r="AA3303" s="609" t="s">
        <v>5669</v>
      </c>
    </row>
    <row r="3304" spans="1:27" ht="18">
      <c r="A3304" s="2714"/>
      <c r="B3304" s="371"/>
      <c r="C3304" s="371" t="s">
        <v>2565</v>
      </c>
      <c r="D3304" s="371"/>
      <c r="F3304" s="294"/>
      <c r="G3304" s="354"/>
      <c r="H3304" s="461"/>
      <c r="I3304" s="461"/>
      <c r="J3304" s="317"/>
      <c r="K3304" s="291"/>
      <c r="L3304" s="291"/>
      <c r="M3304" s="291"/>
      <c r="N3304" s="291"/>
      <c r="S3304" s="364"/>
      <c r="Z3304" s="609" t="s">
        <v>3763</v>
      </c>
      <c r="AA3304" s="609" t="s">
        <v>5669</v>
      </c>
    </row>
    <row r="3305" spans="1:27" ht="18">
      <c r="A3305" s="2714">
        <v>1996</v>
      </c>
      <c r="B3305" s="371">
        <v>32</v>
      </c>
      <c r="C3305" s="2716" t="str">
        <f>VLOOKUP($A3305,Sheet_Items,2,0)</f>
        <v>其他非流动资产</v>
      </c>
      <c r="D3305" s="371"/>
      <c r="E3305" s="2716" t="s">
        <v>2739</v>
      </c>
      <c r="F3305" s="294"/>
      <c r="G3305" s="305" t="str">
        <f>B3305&amp;" "&amp;C3305</f>
        <v>32 其他非流动资产</v>
      </c>
      <c r="H3305" s="306"/>
      <c r="I3305" s="306"/>
      <c r="J3305" s="306" t="s">
        <v>2740</v>
      </c>
      <c r="K3305" s="341">
        <f>VLOOKUP($A3305,Sheet_Trialbal,6,0)</f>
        <v>0</v>
      </c>
      <c r="L3305" s="342"/>
      <c r="M3305" s="306" t="s">
        <v>2741</v>
      </c>
      <c r="N3305" s="341">
        <f>VLOOKUP($A3305,Sheet_Trialbal,10,0)</f>
        <v>0</v>
      </c>
      <c r="O3305" s="306"/>
      <c r="P3305" s="301"/>
      <c r="S3305" s="364"/>
      <c r="Z3305" s="609" t="s">
        <v>1343</v>
      </c>
      <c r="AA3305" s="609" t="s">
        <v>5670</v>
      </c>
    </row>
    <row r="3306" spans="1:27" ht="18">
      <c r="A3306" s="2714" t="s">
        <v>1341</v>
      </c>
      <c r="B3306" s="371">
        <v>1</v>
      </c>
      <c r="C3306" s="371"/>
      <c r="D3306" s="2716" t="str">
        <f>VLOOKUP($A3306,Sheet_NoteList,2,0)</f>
        <v>其他非流动资产明细项目</v>
      </c>
      <c r="E3306" s="2716" t="s">
        <v>2742</v>
      </c>
      <c r="F3306" s="294"/>
      <c r="G3306" s="307" t="str">
        <f>"("&amp;B3306&amp;")"&amp;D3306</f>
        <v>(1)其他非流动资产明细项目</v>
      </c>
      <c r="H3306" s="1517" t="str">
        <f>$A3306</f>
        <v>1996a</v>
      </c>
      <c r="I3306" s="343" t="s">
        <v>2743</v>
      </c>
      <c r="J3306" s="301" t="s">
        <v>2744</v>
      </c>
      <c r="K3306" s="2210">
        <f>H3316</f>
        <v>0</v>
      </c>
      <c r="L3306" s="345" t="str">
        <f>IF($I3306="适用",IF(ROUND(K3305-K3306,2)=0,"F/S",ROUND(K3305-K3306,2)),"#N/A")</f>
        <v>F/S</v>
      </c>
      <c r="M3306" s="301" t="s">
        <v>2745</v>
      </c>
      <c r="N3306" s="2210">
        <f>I3316</f>
        <v>0</v>
      </c>
      <c r="O3306" s="345" t="str">
        <f>IF($I3306="适用",IF(ROUND(N3305-N3306,2)=0,"F/S",ROUND(N3305-N3306,2)),"#N/A")</f>
        <v>F/S</v>
      </c>
      <c r="P3306" s="301"/>
      <c r="Q3306" s="290" t="str">
        <f>IF($I3306="不适用","",IF(ROUND(SUM($H$3309:$I$3316),2)=0,"请输入",""))</f>
        <v>请输入</v>
      </c>
      <c r="S3306" s="364"/>
      <c r="Z3306" s="609" t="s">
        <v>1343</v>
      </c>
      <c r="AA3306" s="609" t="s">
        <v>5670</v>
      </c>
    </row>
    <row r="3307" spans="1:27" ht="0.75" customHeight="1" thickBot="1">
      <c r="A3307" s="2714"/>
      <c r="B3307" s="371"/>
      <c r="C3307" s="371"/>
      <c r="D3307" s="371"/>
      <c r="F3307" s="304"/>
      <c r="G3307" s="304" t="s">
        <v>3805</v>
      </c>
      <c r="H3307" s="304" t="s">
        <v>2747</v>
      </c>
      <c r="I3307" s="304" t="s">
        <v>2748</v>
      </c>
      <c r="M3307" s="291"/>
      <c r="S3307" s="364"/>
      <c r="Z3307" s="609" t="s">
        <v>1343</v>
      </c>
      <c r="AA3307" s="609" t="s">
        <v>5670</v>
      </c>
    </row>
    <row r="3308" spans="1:27" ht="18">
      <c r="A3308" s="2714"/>
      <c r="B3308" s="371"/>
      <c r="C3308" s="371"/>
      <c r="D3308" s="371"/>
      <c r="E3308" s="2716" t="s">
        <v>2749</v>
      </c>
      <c r="F3308" s="294"/>
      <c r="G3308" s="410" t="s">
        <v>47</v>
      </c>
      <c r="H3308" s="1454" t="str">
        <f>$V$2</f>
        <v>2019年12月31日</v>
      </c>
      <c r="I3308" s="1455" t="str">
        <f>$V$3</f>
        <v>2018年12月31日</v>
      </c>
      <c r="J3308" s="355" t="s">
        <v>5297</v>
      </c>
      <c r="M3308" s="291"/>
      <c r="S3308" s="364"/>
      <c r="Z3308" s="609" t="s">
        <v>1343</v>
      </c>
      <c r="AA3308" s="609" t="s">
        <v>5670</v>
      </c>
    </row>
    <row r="3309" spans="1:27" ht="18">
      <c r="A3309" s="2714"/>
      <c r="B3309" s="371">
        <v>101</v>
      </c>
      <c r="C3309" s="371"/>
      <c r="D3309" s="2716">
        <f t="shared" ref="D3309:D3316" si="383">IF(OR(G3309="*",G3309="",G3309=0),0,COUNTIF($G$3309:$G$3316,G3309))</f>
        <v>1</v>
      </c>
      <c r="E3309" s="2721">
        <v>1</v>
      </c>
      <c r="F3309" s="294"/>
      <c r="G3309" s="308" t="s">
        <v>3325</v>
      </c>
      <c r="H3309" s="309"/>
      <c r="I3309" s="346"/>
      <c r="L3309" s="291"/>
      <c r="M3309" s="291"/>
      <c r="S3309" s="364"/>
      <c r="Z3309" s="609" t="s">
        <v>1343</v>
      </c>
      <c r="AA3309" s="609" t="s">
        <v>5670</v>
      </c>
    </row>
    <row r="3310" spans="1:27" ht="18">
      <c r="A3310" s="2714"/>
      <c r="B3310" s="371">
        <v>102</v>
      </c>
      <c r="C3310" s="371" t="s">
        <v>2791</v>
      </c>
      <c r="D3310" s="2716">
        <f t="shared" si="383"/>
        <v>0</v>
      </c>
      <c r="E3310" s="2721">
        <v>1</v>
      </c>
      <c r="F3310" s="294"/>
      <c r="G3310" s="319" t="s">
        <v>2792</v>
      </c>
      <c r="H3310" s="309"/>
      <c r="I3310" s="346"/>
      <c r="L3310" s="291"/>
      <c r="M3310" s="291"/>
      <c r="S3310" s="364"/>
      <c r="Z3310" s="609" t="s">
        <v>1343</v>
      </c>
      <c r="AA3310" s="609" t="s">
        <v>5670</v>
      </c>
    </row>
    <row r="3311" spans="1:27" ht="18">
      <c r="A3311" s="2714"/>
      <c r="B3311" s="371">
        <v>103</v>
      </c>
      <c r="C3311" s="371" t="s">
        <v>2791</v>
      </c>
      <c r="D3311" s="2716">
        <f t="shared" si="383"/>
        <v>0</v>
      </c>
      <c r="E3311" s="2721">
        <v>1</v>
      </c>
      <c r="F3311" s="294"/>
      <c r="G3311" s="319" t="s">
        <v>2792</v>
      </c>
      <c r="H3311" s="309"/>
      <c r="I3311" s="346"/>
      <c r="L3311" s="291"/>
      <c r="M3311" s="291"/>
      <c r="S3311" s="364"/>
      <c r="Z3311" s="609" t="s">
        <v>1343</v>
      </c>
      <c r="AA3311" s="609" t="s">
        <v>5670</v>
      </c>
    </row>
    <row r="3312" spans="1:27" ht="18">
      <c r="A3312" s="2714"/>
      <c r="B3312" s="371">
        <v>104</v>
      </c>
      <c r="C3312" s="371" t="s">
        <v>2791</v>
      </c>
      <c r="D3312" s="2716">
        <f t="shared" si="383"/>
        <v>0</v>
      </c>
      <c r="E3312" s="2721">
        <v>1</v>
      </c>
      <c r="F3312" s="294"/>
      <c r="G3312" s="319" t="s">
        <v>2792</v>
      </c>
      <c r="H3312" s="309"/>
      <c r="I3312" s="346"/>
      <c r="L3312" s="291"/>
      <c r="M3312" s="291"/>
      <c r="S3312" s="364"/>
      <c r="Z3312" s="609" t="s">
        <v>1343</v>
      </c>
      <c r="AA3312" s="609" t="s">
        <v>5670</v>
      </c>
    </row>
    <row r="3313" spans="1:29" ht="18">
      <c r="A3313" s="2714"/>
      <c r="B3313" s="371">
        <v>105</v>
      </c>
      <c r="C3313" s="371" t="s">
        <v>2791</v>
      </c>
      <c r="D3313" s="2716">
        <f t="shared" si="383"/>
        <v>0</v>
      </c>
      <c r="E3313" s="2721">
        <v>1</v>
      </c>
      <c r="F3313" s="294"/>
      <c r="G3313" s="319" t="s">
        <v>2792</v>
      </c>
      <c r="H3313" s="309"/>
      <c r="I3313" s="346"/>
      <c r="L3313" s="291"/>
      <c r="M3313" s="291"/>
      <c r="S3313" s="364"/>
      <c r="Z3313" s="609" t="s">
        <v>1343</v>
      </c>
      <c r="AA3313" s="609" t="s">
        <v>5670</v>
      </c>
    </row>
    <row r="3314" spans="1:29" ht="18">
      <c r="A3314" s="2714"/>
      <c r="B3314" s="371">
        <v>106</v>
      </c>
      <c r="C3314" s="371" t="s">
        <v>2791</v>
      </c>
      <c r="D3314" s="2716">
        <f t="shared" si="383"/>
        <v>0</v>
      </c>
      <c r="E3314" s="2721">
        <v>1</v>
      </c>
      <c r="F3314" s="294"/>
      <c r="G3314" s="319" t="s">
        <v>2792</v>
      </c>
      <c r="H3314" s="309"/>
      <c r="I3314" s="346"/>
      <c r="L3314" s="291"/>
      <c r="M3314" s="291"/>
      <c r="S3314" s="364"/>
      <c r="Z3314" s="609" t="s">
        <v>1343</v>
      </c>
      <c r="AA3314" s="609" t="s">
        <v>5670</v>
      </c>
    </row>
    <row r="3315" spans="1:29" ht="18">
      <c r="A3315" s="2714"/>
      <c r="B3315" s="371">
        <v>107</v>
      </c>
      <c r="C3315" s="371" t="s">
        <v>2791</v>
      </c>
      <c r="D3315" s="2716">
        <f t="shared" si="383"/>
        <v>0</v>
      </c>
      <c r="E3315" s="2721">
        <v>1</v>
      </c>
      <c r="F3315" s="294"/>
      <c r="G3315" s="319" t="s">
        <v>2792</v>
      </c>
      <c r="H3315" s="309"/>
      <c r="I3315" s="346"/>
      <c r="L3315" s="291"/>
      <c r="M3315" s="291"/>
      <c r="S3315" s="364"/>
      <c r="Z3315" s="609" t="s">
        <v>1343</v>
      </c>
      <c r="AA3315" s="609" t="s">
        <v>5670</v>
      </c>
    </row>
    <row r="3316" spans="1:29" ht="18.75" thickBot="1">
      <c r="A3316" s="2714"/>
      <c r="B3316" s="371"/>
      <c r="C3316" s="371"/>
      <c r="D3316" s="2716">
        <f t="shared" si="383"/>
        <v>1</v>
      </c>
      <c r="E3316" s="2721" t="s">
        <v>2751</v>
      </c>
      <c r="F3316" s="294"/>
      <c r="G3316" s="374" t="s">
        <v>2752</v>
      </c>
      <c r="H3316" s="596">
        <f>SUMPRODUCT($E3308:$E3315,H3308:H3315)</f>
        <v>0</v>
      </c>
      <c r="I3316" s="599">
        <f>SUMPRODUCT($E3308:$E3315,I3308:I3315)</f>
        <v>0</v>
      </c>
      <c r="L3316" s="291"/>
      <c r="M3316" s="291"/>
      <c r="S3316" s="364"/>
      <c r="Z3316" s="609" t="s">
        <v>1343</v>
      </c>
      <c r="AA3316" s="609" t="s">
        <v>5670</v>
      </c>
    </row>
    <row r="3317" spans="1:29" ht="18">
      <c r="A3317" s="2714"/>
      <c r="B3317" s="371"/>
      <c r="C3317" s="371" t="s">
        <v>2755</v>
      </c>
      <c r="D3317" s="371"/>
      <c r="F3317" s="294"/>
      <c r="G3317" s="301"/>
      <c r="H3317" s="315"/>
      <c r="I3317" s="315"/>
      <c r="J3317" s="349"/>
      <c r="K3317" s="349"/>
      <c r="L3317" s="291"/>
      <c r="M3317" s="291"/>
      <c r="S3317" s="364"/>
      <c r="Z3317" s="609" t="s">
        <v>1343</v>
      </c>
      <c r="AA3317" s="609" t="s">
        <v>5670</v>
      </c>
    </row>
    <row r="3318" spans="1:29" ht="18">
      <c r="A3318" s="2714">
        <v>2001</v>
      </c>
      <c r="B3318" s="371">
        <v>33</v>
      </c>
      <c r="C3318" s="2716" t="str">
        <f>VLOOKUP($A3318,Sheet_Items,2,0)</f>
        <v>短期借款</v>
      </c>
      <c r="D3318" s="371"/>
      <c r="E3318" s="2716" t="s">
        <v>2739</v>
      </c>
      <c r="F3318" s="294"/>
      <c r="G3318" s="305" t="str">
        <f>B3318&amp;" "&amp;C3318</f>
        <v>33 短期借款</v>
      </c>
      <c r="H3318" s="306"/>
      <c r="I3318" s="306"/>
      <c r="J3318" s="306" t="s">
        <v>2740</v>
      </c>
      <c r="K3318" s="341">
        <f>VLOOKUP($A3318,Sheet_Trialbal,6,0)</f>
        <v>0</v>
      </c>
      <c r="L3318" s="342"/>
      <c r="M3318" s="306" t="s">
        <v>2741</v>
      </c>
      <c r="N3318" s="341">
        <f>VLOOKUP($A3318,Sheet_Trialbal,10,0)</f>
        <v>0</v>
      </c>
      <c r="O3318" s="306"/>
      <c r="P3318" s="301"/>
      <c r="S3318" s="364"/>
      <c r="Z3318" s="609" t="s">
        <v>3806</v>
      </c>
      <c r="AA3318" s="609" t="s">
        <v>5671</v>
      </c>
    </row>
    <row r="3319" spans="1:29" ht="18">
      <c r="A3319" s="2714" t="s">
        <v>1357</v>
      </c>
      <c r="B3319" s="371">
        <v>1</v>
      </c>
      <c r="C3319" s="371"/>
      <c r="D3319" s="2716" t="str">
        <f>VLOOKUP($A3319,Sheet_NoteList,2,0)</f>
        <v>短期借款分类</v>
      </c>
      <c r="E3319" s="2716" t="s">
        <v>2742</v>
      </c>
      <c r="F3319" s="294"/>
      <c r="G3319" s="307" t="str">
        <f>"("&amp;B3319&amp;")"&amp;D3319</f>
        <v>(1)短期借款分类</v>
      </c>
      <c r="H3319" s="1517" t="str">
        <f>$A3319</f>
        <v>2001a</v>
      </c>
      <c r="I3319" s="343" t="s">
        <v>2743</v>
      </c>
      <c r="J3319" s="301" t="s">
        <v>2744</v>
      </c>
      <c r="K3319" s="2210">
        <f>H3327</f>
        <v>0</v>
      </c>
      <c r="L3319" s="345" t="str">
        <f>IF($I3319="适用",IF(ROUND(K$3318-K3319,2)=0,"F/S",ROUND(K$3318-K3319,2)),"#N/A")</f>
        <v>F/S</v>
      </c>
      <c r="M3319" s="301" t="s">
        <v>2745</v>
      </c>
      <c r="N3319" s="2210">
        <f>I3327</f>
        <v>0</v>
      </c>
      <c r="O3319" s="345" t="str">
        <f>IF($I3319="适用",IF(ROUND(N$3318-N3319,2)=0,"F/S",ROUND(N$3318-N3319,2)),"#N/A")</f>
        <v>F/S</v>
      </c>
      <c r="P3319" s="301"/>
      <c r="Q3319" s="290" t="str">
        <f>IF($I3319="不适用","",IF(ROUND(SUM($H$3322:$J$3327),2)=0,"请输入",""))</f>
        <v>请输入</v>
      </c>
      <c r="S3319" s="364"/>
      <c r="Z3319" s="609" t="s">
        <v>3806</v>
      </c>
      <c r="AA3319" s="609" t="s">
        <v>5671</v>
      </c>
    </row>
    <row r="3320" spans="1:29" ht="0.75" customHeight="1" thickBot="1">
      <c r="A3320" s="2714"/>
      <c r="B3320" s="371"/>
      <c r="C3320" s="371"/>
      <c r="D3320" s="371"/>
      <c r="F3320" s="371"/>
      <c r="G3320" s="371" t="s">
        <v>3807</v>
      </c>
      <c r="H3320" s="371" t="s">
        <v>2747</v>
      </c>
      <c r="I3320" s="371" t="s">
        <v>2748</v>
      </c>
      <c r="J3320" s="598"/>
      <c r="K3320" s="472"/>
      <c r="L3320" s="472"/>
      <c r="M3320" s="472"/>
      <c r="N3320" s="472"/>
      <c r="O3320" s="442"/>
      <c r="P3320" s="442"/>
      <c r="Q3320" s="442"/>
      <c r="R3320" s="443"/>
      <c r="S3320" s="364"/>
      <c r="Z3320" s="609" t="s">
        <v>3806</v>
      </c>
      <c r="AA3320" s="609" t="s">
        <v>5671</v>
      </c>
    </row>
    <row r="3321" spans="1:29" ht="18">
      <c r="A3321" s="2714"/>
      <c r="B3321" s="371"/>
      <c r="C3321" s="371"/>
      <c r="D3321" s="371"/>
      <c r="E3321" s="2716" t="s">
        <v>2749</v>
      </c>
      <c r="F3321" s="294"/>
      <c r="G3321" s="588" t="s">
        <v>1359</v>
      </c>
      <c r="H3321" s="1454" t="str">
        <f>$V$2</f>
        <v>2019年12月31日</v>
      </c>
      <c r="I3321" s="1455" t="str">
        <f>$V$3</f>
        <v>2018年12月31日</v>
      </c>
      <c r="J3321" s="355" t="s">
        <v>5298</v>
      </c>
      <c r="K3321" s="472"/>
      <c r="L3321" s="472"/>
      <c r="M3321" s="472"/>
      <c r="N3321" s="472"/>
      <c r="O3321" s="442"/>
      <c r="P3321" s="442"/>
      <c r="Q3321" s="442"/>
      <c r="R3321" s="443"/>
      <c r="S3321" s="364"/>
      <c r="Z3321" s="609" t="s">
        <v>3806</v>
      </c>
      <c r="AA3321" s="609" t="s">
        <v>5671</v>
      </c>
    </row>
    <row r="3322" spans="1:29" ht="18">
      <c r="A3322" s="2714"/>
      <c r="B3322" s="371">
        <v>101</v>
      </c>
      <c r="C3322" s="371"/>
      <c r="D3322" s="2716">
        <f t="shared" ref="D3322:D3327" si="384">IF(OR(G3322="*",G3322="",G3322=0),0,COUNTIF($G$3322:$G$3327,G3322))</f>
        <v>1</v>
      </c>
      <c r="E3322" s="2721">
        <v>1</v>
      </c>
      <c r="F3322" s="294"/>
      <c r="G3322" s="308" t="s">
        <v>3808</v>
      </c>
      <c r="H3322" s="309"/>
      <c r="I3322" s="346"/>
      <c r="J3322" s="437"/>
      <c r="K3322" s="525"/>
      <c r="L3322" s="472"/>
      <c r="M3322" s="472"/>
      <c r="N3322" s="472"/>
      <c r="O3322" s="442"/>
      <c r="P3322" s="442"/>
      <c r="Q3322" s="442"/>
      <c r="R3322" s="443"/>
      <c r="S3322" s="364"/>
      <c r="Z3322" s="609" t="s">
        <v>3806</v>
      </c>
      <c r="AA3322" s="609" t="s">
        <v>5671</v>
      </c>
      <c r="AC3322" s="369" t="s">
        <v>2794</v>
      </c>
    </row>
    <row r="3323" spans="1:29" ht="18">
      <c r="A3323" s="2714"/>
      <c r="B3323" s="371">
        <v>102</v>
      </c>
      <c r="C3323" s="371"/>
      <c r="D3323" s="2716">
        <f t="shared" si="384"/>
        <v>1</v>
      </c>
      <c r="E3323" s="2721">
        <v>1</v>
      </c>
      <c r="F3323" s="294"/>
      <c r="G3323" s="308" t="s">
        <v>3809</v>
      </c>
      <c r="H3323" s="309"/>
      <c r="I3323" s="346"/>
      <c r="J3323" s="437"/>
      <c r="K3323" s="525"/>
      <c r="L3323" s="472"/>
      <c r="M3323" s="472"/>
      <c r="N3323" s="472"/>
      <c r="O3323" s="442"/>
      <c r="P3323" s="442"/>
      <c r="Q3323" s="442"/>
      <c r="R3323" s="443"/>
      <c r="S3323" s="364"/>
      <c r="Z3323" s="609" t="s">
        <v>3806</v>
      </c>
      <c r="AA3323" s="609" t="s">
        <v>5671</v>
      </c>
      <c r="AC3323" s="369" t="s">
        <v>2794</v>
      </c>
    </row>
    <row r="3324" spans="1:29" ht="18">
      <c r="A3324" s="2714"/>
      <c r="B3324" s="371">
        <v>103</v>
      </c>
      <c r="C3324" s="371"/>
      <c r="D3324" s="2716">
        <f t="shared" si="384"/>
        <v>1</v>
      </c>
      <c r="E3324" s="2721">
        <v>1</v>
      </c>
      <c r="F3324" s="294"/>
      <c r="G3324" s="308" t="s">
        <v>3810</v>
      </c>
      <c r="H3324" s="309"/>
      <c r="I3324" s="346"/>
      <c r="J3324" s="437"/>
      <c r="K3324" s="472"/>
      <c r="L3324" s="472"/>
      <c r="M3324" s="472"/>
      <c r="N3324" s="472"/>
      <c r="O3324" s="442"/>
      <c r="P3324" s="442"/>
      <c r="Q3324" s="442"/>
      <c r="R3324" s="443"/>
      <c r="S3324" s="364"/>
      <c r="Z3324" s="609" t="s">
        <v>3806</v>
      </c>
      <c r="AA3324" s="609" t="s">
        <v>5671</v>
      </c>
    </row>
    <row r="3325" spans="1:29" ht="18">
      <c r="A3325" s="2714"/>
      <c r="B3325" s="371">
        <v>104</v>
      </c>
      <c r="C3325" s="371"/>
      <c r="D3325" s="2716">
        <f t="shared" si="384"/>
        <v>1</v>
      </c>
      <c r="E3325" s="2721">
        <v>1</v>
      </c>
      <c r="F3325" s="294"/>
      <c r="G3325" s="308" t="s">
        <v>3811</v>
      </c>
      <c r="H3325" s="309"/>
      <c r="I3325" s="346"/>
      <c r="J3325" s="437"/>
      <c r="K3325" s="472"/>
      <c r="L3325" s="472"/>
      <c r="M3325" s="472"/>
      <c r="N3325" s="472"/>
      <c r="O3325" s="442"/>
      <c r="P3325" s="442"/>
      <c r="Q3325" s="442"/>
      <c r="R3325" s="443"/>
      <c r="S3325" s="364"/>
      <c r="Z3325" s="609" t="s">
        <v>3806</v>
      </c>
      <c r="AA3325" s="609" t="s">
        <v>5671</v>
      </c>
    </row>
    <row r="3326" spans="1:29" ht="18">
      <c r="A3326" s="2714"/>
      <c r="B3326" s="371">
        <v>105</v>
      </c>
      <c r="C3326" s="371" t="s">
        <v>2791</v>
      </c>
      <c r="D3326" s="2716">
        <f t="shared" si="384"/>
        <v>0</v>
      </c>
      <c r="E3326" s="2721">
        <v>1</v>
      </c>
      <c r="F3326" s="294"/>
      <c r="G3326" s="319" t="s">
        <v>2792</v>
      </c>
      <c r="H3326" s="309"/>
      <c r="I3326" s="346"/>
      <c r="J3326" s="437"/>
      <c r="K3326" s="472"/>
      <c r="L3326" s="472"/>
      <c r="M3326" s="472"/>
      <c r="N3326" s="472"/>
      <c r="O3326" s="442"/>
      <c r="P3326" s="442"/>
      <c r="Q3326" s="442"/>
      <c r="R3326" s="443"/>
      <c r="S3326" s="364"/>
      <c r="Z3326" s="609" t="s">
        <v>3806</v>
      </c>
      <c r="AA3326" s="609" t="s">
        <v>5671</v>
      </c>
    </row>
    <row r="3327" spans="1:29" ht="18.75" thickBot="1">
      <c r="A3327" s="2714"/>
      <c r="B3327" s="371"/>
      <c r="C3327" s="371"/>
      <c r="D3327" s="2716">
        <f t="shared" si="384"/>
        <v>1</v>
      </c>
      <c r="E3327" s="2721" t="s">
        <v>2751</v>
      </c>
      <c r="F3327" s="294"/>
      <c r="G3327" s="374" t="s">
        <v>2752</v>
      </c>
      <c r="H3327" s="375">
        <f>SUMPRODUCT($E3321:$E3326,H3321:H3326)</f>
        <v>0</v>
      </c>
      <c r="I3327" s="395">
        <f>SUMPRODUCT($E3321:$E3326,I3321:I3326)</f>
        <v>0</v>
      </c>
      <c r="J3327" s="437"/>
      <c r="K3327" s="472"/>
      <c r="L3327" s="472"/>
      <c r="M3327" s="472"/>
      <c r="N3327" s="472"/>
      <c r="O3327" s="442"/>
      <c r="P3327" s="442"/>
      <c r="Q3327" s="442"/>
      <c r="R3327" s="443"/>
      <c r="S3327" s="364"/>
      <c r="Z3327" s="609" t="s">
        <v>3806</v>
      </c>
      <c r="AA3327" s="609" t="s">
        <v>5671</v>
      </c>
    </row>
    <row r="3328" spans="1:29" ht="18">
      <c r="A3328" s="2714"/>
      <c r="B3328" s="371"/>
      <c r="C3328" s="371" t="s">
        <v>2755</v>
      </c>
      <c r="D3328" s="371"/>
      <c r="F3328" s="294"/>
      <c r="G3328" s="301"/>
      <c r="H3328" s="315"/>
      <c r="I3328" s="315"/>
      <c r="J3328" s="437"/>
      <c r="K3328" s="472"/>
      <c r="L3328" s="472"/>
      <c r="M3328" s="472"/>
      <c r="N3328" s="472"/>
      <c r="O3328" s="442"/>
      <c r="P3328" s="442"/>
      <c r="Q3328" s="442"/>
      <c r="R3328" s="443"/>
      <c r="S3328" s="364"/>
      <c r="Z3328" s="609" t="s">
        <v>3806</v>
      </c>
      <c r="AA3328" s="609" t="s">
        <v>5671</v>
      </c>
    </row>
    <row r="3329" spans="1:27" ht="24">
      <c r="A3329" s="2714" t="s">
        <v>1369</v>
      </c>
      <c r="B3329" s="371">
        <v>1.1000000000000001</v>
      </c>
      <c r="C3329" s="371"/>
      <c r="D3329" s="2716" t="str">
        <f>VLOOKUP($A3329,Sheet_NoteList,2,0)</f>
        <v>短期借款中的质押借款明细列示</v>
      </c>
      <c r="E3329" s="2716" t="s">
        <v>6532</v>
      </c>
      <c r="F3329" s="294"/>
      <c r="G3329" s="483" t="str">
        <f>"("&amp;B3329&amp;")"&amp;D3329</f>
        <v>(1.1)短期借款中的质押借款明细列示</v>
      </c>
      <c r="H3329" s="1517" t="str">
        <f>$A3329</f>
        <v>2001d</v>
      </c>
      <c r="I3329" s="343" t="s">
        <v>5965</v>
      </c>
      <c r="J3329" s="301" t="s">
        <v>5963</v>
      </c>
      <c r="K3329" s="2210">
        <f>H3337</f>
        <v>0</v>
      </c>
      <c r="L3329" s="345"/>
      <c r="M3329" s="301"/>
      <c r="N3329" s="391"/>
      <c r="O3329" s="345"/>
      <c r="P3329" s="301"/>
      <c r="S3329" s="364"/>
      <c r="Z3329" s="609" t="s">
        <v>3806</v>
      </c>
      <c r="AA3329" s="609" t="s">
        <v>5671</v>
      </c>
    </row>
    <row r="3330" spans="1:27" ht="0.75" customHeight="1" thickBot="1">
      <c r="A3330" s="2714"/>
      <c r="B3330" s="371"/>
      <c r="C3330" s="371"/>
      <c r="D3330" s="371"/>
      <c r="E3330" s="586"/>
      <c r="F3330" s="586"/>
      <c r="G3330" s="586" t="s">
        <v>3812</v>
      </c>
      <c r="H3330" s="371" t="s">
        <v>2747</v>
      </c>
      <c r="I3330" s="371" t="s">
        <v>3813</v>
      </c>
      <c r="J3330" s="371" t="s">
        <v>3814</v>
      </c>
      <c r="L3330" s="293"/>
      <c r="M3330" s="293"/>
      <c r="N3330" s="293"/>
      <c r="O3330" s="293"/>
      <c r="P3330" s="293"/>
      <c r="S3330" s="364"/>
      <c r="Z3330" s="609" t="s">
        <v>3806</v>
      </c>
      <c r="AA3330" s="609" t="s">
        <v>5671</v>
      </c>
    </row>
    <row r="3331" spans="1:27" ht="18">
      <c r="A3331" s="2714"/>
      <c r="B3331" s="371"/>
      <c r="C3331" s="371"/>
      <c r="D3331" s="371"/>
      <c r="E3331" s="586" t="s">
        <v>2749</v>
      </c>
      <c r="F3331" s="363"/>
      <c r="G3331" s="2363" t="s">
        <v>1365</v>
      </c>
      <c r="H3331" s="2364" t="s">
        <v>3815</v>
      </c>
      <c r="I3331" s="2364" t="s">
        <v>3816</v>
      </c>
      <c r="J3331" s="2365" t="s">
        <v>3817</v>
      </c>
      <c r="K3331" s="355" t="s">
        <v>6176</v>
      </c>
      <c r="L3331" s="293"/>
      <c r="M3331" s="293"/>
      <c r="N3331" s="293"/>
      <c r="O3331" s="293"/>
      <c r="P3331" s="293"/>
      <c r="S3331" s="364"/>
      <c r="Z3331" s="609" t="s">
        <v>3806</v>
      </c>
      <c r="AA3331" s="609" t="s">
        <v>5671</v>
      </c>
    </row>
    <row r="3332" spans="1:27" ht="18">
      <c r="A3332" s="2714"/>
      <c r="B3332" s="371">
        <v>101</v>
      </c>
      <c r="C3332" s="371" t="s">
        <v>2791</v>
      </c>
      <c r="D3332" s="2716">
        <f t="shared" ref="D3332:D3337" si="385">IF(OR(G3332="*",G3332="",G3332=0),0,COUNTIF($G$3332:$G$3337,G3332))</f>
        <v>0</v>
      </c>
      <c r="E3332" s="2721">
        <v>1</v>
      </c>
      <c r="F3332" s="294"/>
      <c r="G3332" s="2375" t="s">
        <v>2792</v>
      </c>
      <c r="H3332" s="2275"/>
      <c r="I3332" s="2298"/>
      <c r="J3332" s="2276"/>
      <c r="K3332" s="579"/>
      <c r="L3332" s="293"/>
      <c r="M3332" s="293"/>
      <c r="N3332" s="293"/>
      <c r="O3332" s="293"/>
      <c r="P3332" s="293"/>
      <c r="S3332" s="364"/>
      <c r="Z3332" s="609" t="s">
        <v>3806</v>
      </c>
      <c r="AA3332" s="609" t="s">
        <v>5671</v>
      </c>
    </row>
    <row r="3333" spans="1:27" ht="18">
      <c r="A3333" s="2714"/>
      <c r="B3333" s="371">
        <v>102</v>
      </c>
      <c r="C3333" s="371" t="s">
        <v>2791</v>
      </c>
      <c r="D3333" s="2716">
        <f t="shared" si="385"/>
        <v>0</v>
      </c>
      <c r="E3333" s="2721">
        <v>1</v>
      </c>
      <c r="F3333" s="294"/>
      <c r="G3333" s="2375" t="s">
        <v>2792</v>
      </c>
      <c r="H3333" s="2275"/>
      <c r="I3333" s="2298"/>
      <c r="J3333" s="2276"/>
      <c r="L3333" s="293"/>
      <c r="M3333" s="293"/>
      <c r="N3333" s="293"/>
      <c r="O3333" s="293"/>
      <c r="P3333" s="293"/>
      <c r="S3333" s="364"/>
      <c r="Z3333" s="609" t="s">
        <v>3806</v>
      </c>
      <c r="AA3333" s="609" t="s">
        <v>5671</v>
      </c>
    </row>
    <row r="3334" spans="1:27" ht="18">
      <c r="A3334" s="2714"/>
      <c r="B3334" s="371">
        <v>103</v>
      </c>
      <c r="C3334" s="371" t="s">
        <v>2791</v>
      </c>
      <c r="D3334" s="2716">
        <f t="shared" si="385"/>
        <v>0</v>
      </c>
      <c r="E3334" s="2721">
        <v>1</v>
      </c>
      <c r="F3334" s="294"/>
      <c r="G3334" s="2375" t="s">
        <v>2792</v>
      </c>
      <c r="H3334" s="2275"/>
      <c r="I3334" s="2298"/>
      <c r="J3334" s="2276"/>
      <c r="L3334" s="293"/>
      <c r="M3334" s="293"/>
      <c r="N3334" s="293"/>
      <c r="O3334" s="293"/>
      <c r="P3334" s="293"/>
      <c r="S3334" s="364"/>
      <c r="Z3334" s="609" t="s">
        <v>3806</v>
      </c>
      <c r="AA3334" s="609" t="s">
        <v>5671</v>
      </c>
    </row>
    <row r="3335" spans="1:27" ht="18">
      <c r="A3335" s="2714"/>
      <c r="B3335" s="371">
        <v>104</v>
      </c>
      <c r="C3335" s="371" t="s">
        <v>2791</v>
      </c>
      <c r="D3335" s="2716">
        <f t="shared" si="385"/>
        <v>0</v>
      </c>
      <c r="E3335" s="2721">
        <v>1</v>
      </c>
      <c r="F3335" s="294"/>
      <c r="G3335" s="2375" t="s">
        <v>2792</v>
      </c>
      <c r="H3335" s="2275"/>
      <c r="I3335" s="2298"/>
      <c r="J3335" s="2276"/>
      <c r="L3335" s="293"/>
      <c r="M3335" s="293"/>
      <c r="N3335" s="293"/>
      <c r="O3335" s="293"/>
      <c r="P3335" s="293"/>
      <c r="S3335" s="364"/>
      <c r="Z3335" s="609" t="s">
        <v>3806</v>
      </c>
      <c r="AA3335" s="609" t="s">
        <v>5671</v>
      </c>
    </row>
    <row r="3336" spans="1:27" ht="18">
      <c r="A3336" s="2714"/>
      <c r="B3336" s="371">
        <v>105</v>
      </c>
      <c r="C3336" s="371" t="s">
        <v>2791</v>
      </c>
      <c r="D3336" s="2716">
        <f t="shared" si="385"/>
        <v>0</v>
      </c>
      <c r="E3336" s="2721">
        <v>1</v>
      </c>
      <c r="F3336" s="294"/>
      <c r="G3336" s="2375" t="s">
        <v>2792</v>
      </c>
      <c r="H3336" s="2275"/>
      <c r="I3336" s="2298"/>
      <c r="J3336" s="2276"/>
      <c r="L3336" s="293"/>
      <c r="M3336" s="293"/>
      <c r="N3336" s="293"/>
      <c r="O3336" s="293"/>
      <c r="P3336" s="293"/>
      <c r="S3336" s="364"/>
      <c r="Z3336" s="609" t="s">
        <v>3806</v>
      </c>
      <c r="AA3336" s="609" t="s">
        <v>5671</v>
      </c>
    </row>
    <row r="3337" spans="1:27" ht="18.75" thickBot="1">
      <c r="A3337" s="2714"/>
      <c r="B3337" s="371"/>
      <c r="C3337" s="371"/>
      <c r="D3337" s="2716">
        <f t="shared" si="385"/>
        <v>1</v>
      </c>
      <c r="E3337" s="2721" t="s">
        <v>2751</v>
      </c>
      <c r="F3337" s="294"/>
      <c r="G3337" s="1529" t="s">
        <v>2752</v>
      </c>
      <c r="H3337" s="1527">
        <f>SUMPRODUCT($E3331:$E3336,H3331:H3336)</f>
        <v>0</v>
      </c>
      <c r="I3337" s="2316"/>
      <c r="J3337" s="2266"/>
      <c r="L3337" s="293"/>
      <c r="M3337" s="293"/>
      <c r="N3337" s="293"/>
      <c r="O3337" s="293"/>
      <c r="P3337" s="293"/>
      <c r="S3337" s="364"/>
      <c r="Z3337" s="609" t="s">
        <v>3806</v>
      </c>
      <c r="AA3337" s="609" t="s">
        <v>5671</v>
      </c>
    </row>
    <row r="3338" spans="1:27" ht="18">
      <c r="A3338" s="2714"/>
      <c r="B3338" s="371"/>
      <c r="C3338" s="371" t="s">
        <v>2755</v>
      </c>
      <c r="D3338" s="371"/>
      <c r="F3338" s="294"/>
      <c r="G3338" s="301"/>
      <c r="H3338" s="315" t="s">
        <v>3002</v>
      </c>
      <c r="I3338" s="393"/>
      <c r="J3338" s="393"/>
      <c r="K3338" s="350"/>
      <c r="L3338" s="293"/>
      <c r="M3338" s="293"/>
      <c r="N3338" s="293"/>
      <c r="O3338" s="293"/>
      <c r="P3338" s="293"/>
      <c r="S3338" s="364"/>
      <c r="Z3338" s="609" t="s">
        <v>3806</v>
      </c>
      <c r="AA3338" s="609" t="s">
        <v>5671</v>
      </c>
    </row>
    <row r="3339" spans="1:27" ht="24">
      <c r="A3339" s="2714" t="s">
        <v>1375</v>
      </c>
      <c r="B3339" s="371">
        <v>1.2</v>
      </c>
      <c r="C3339" s="371"/>
      <c r="D3339" s="2716" t="str">
        <f>VLOOKUP($A3339,Sheet_NoteList,2,0)</f>
        <v>短期借款中的抵押借款明细列示</v>
      </c>
      <c r="E3339" s="2716" t="s">
        <v>6532</v>
      </c>
      <c r="F3339" s="294"/>
      <c r="G3339" s="483" t="str">
        <f>"("&amp;B3339&amp;")"&amp;D3339</f>
        <v>(1.2)短期借款中的抵押借款明细列示</v>
      </c>
      <c r="H3339" s="1517" t="str">
        <f>$A3339</f>
        <v>2001e</v>
      </c>
      <c r="I3339" s="343" t="s">
        <v>5965</v>
      </c>
      <c r="J3339" s="301" t="s">
        <v>5963</v>
      </c>
      <c r="K3339" s="2210">
        <f>H3347</f>
        <v>0</v>
      </c>
      <c r="L3339" s="345"/>
      <c r="M3339" s="301"/>
      <c r="N3339" s="391"/>
      <c r="O3339" s="345"/>
      <c r="P3339" s="301"/>
      <c r="S3339" s="364"/>
      <c r="Z3339" s="609" t="s">
        <v>3806</v>
      </c>
      <c r="AA3339" s="609" t="s">
        <v>5671</v>
      </c>
    </row>
    <row r="3340" spans="1:27" ht="0.75" customHeight="1" thickBot="1">
      <c r="A3340" s="2714"/>
      <c r="B3340" s="371"/>
      <c r="C3340" s="371"/>
      <c r="D3340" s="371"/>
      <c r="E3340" s="586"/>
      <c r="F3340" s="586"/>
      <c r="G3340" s="586" t="s">
        <v>3818</v>
      </c>
      <c r="H3340" s="371" t="s">
        <v>2747</v>
      </c>
      <c r="I3340" s="371" t="s">
        <v>3813</v>
      </c>
      <c r="J3340" s="371" t="s">
        <v>3814</v>
      </c>
      <c r="K3340" s="293"/>
      <c r="L3340" s="293"/>
      <c r="M3340" s="293"/>
      <c r="N3340" s="293"/>
      <c r="O3340" s="293"/>
      <c r="P3340" s="293"/>
      <c r="S3340" s="364"/>
      <c r="Z3340" s="609" t="s">
        <v>3806</v>
      </c>
      <c r="AA3340" s="609" t="s">
        <v>5671</v>
      </c>
    </row>
    <row r="3341" spans="1:27" ht="18">
      <c r="A3341" s="2714"/>
      <c r="B3341" s="371"/>
      <c r="C3341" s="371"/>
      <c r="D3341" s="371"/>
      <c r="E3341" s="586" t="s">
        <v>2749</v>
      </c>
      <c r="F3341" s="363"/>
      <c r="G3341" s="2363" t="s">
        <v>1365</v>
      </c>
      <c r="H3341" s="2364" t="s">
        <v>3815</v>
      </c>
      <c r="I3341" s="2364" t="s">
        <v>3819</v>
      </c>
      <c r="J3341" s="2365" t="s">
        <v>3820</v>
      </c>
      <c r="K3341" s="355" t="s">
        <v>6176</v>
      </c>
      <c r="L3341" s="293"/>
      <c r="M3341" s="293"/>
      <c r="N3341" s="293"/>
      <c r="O3341" s="293"/>
      <c r="P3341" s="293"/>
      <c r="S3341" s="364"/>
      <c r="Z3341" s="609" t="s">
        <v>3806</v>
      </c>
      <c r="AA3341" s="609" t="s">
        <v>5671</v>
      </c>
    </row>
    <row r="3342" spans="1:27" ht="18">
      <c r="A3342" s="2714"/>
      <c r="B3342" s="371">
        <v>101</v>
      </c>
      <c r="C3342" s="371" t="s">
        <v>2791</v>
      </c>
      <c r="D3342" s="2716">
        <f t="shared" ref="D3342:D3347" si="386">IF(OR(G3342="*",G3342="",G3342=0),0,COUNTIF($G$3342:$G$3347,G3342))</f>
        <v>0</v>
      </c>
      <c r="E3342" s="2721">
        <v>1</v>
      </c>
      <c r="F3342" s="294"/>
      <c r="G3342" s="2375" t="s">
        <v>2792</v>
      </c>
      <c r="H3342" s="2275"/>
      <c r="I3342" s="2298"/>
      <c r="J3342" s="2276"/>
      <c r="K3342" s="579"/>
      <c r="L3342" s="293"/>
      <c r="M3342" s="293"/>
      <c r="N3342" s="293"/>
      <c r="O3342" s="293"/>
      <c r="P3342" s="293"/>
      <c r="S3342" s="364"/>
      <c r="Z3342" s="609" t="s">
        <v>3806</v>
      </c>
      <c r="AA3342" s="609" t="s">
        <v>5671</v>
      </c>
    </row>
    <row r="3343" spans="1:27" ht="18">
      <c r="A3343" s="2714"/>
      <c r="B3343" s="371">
        <v>102</v>
      </c>
      <c r="C3343" s="371" t="s">
        <v>2791</v>
      </c>
      <c r="D3343" s="2716">
        <f t="shared" si="386"/>
        <v>0</v>
      </c>
      <c r="E3343" s="2721">
        <v>1</v>
      </c>
      <c r="F3343" s="294"/>
      <c r="G3343" s="2375" t="s">
        <v>2792</v>
      </c>
      <c r="H3343" s="2275"/>
      <c r="I3343" s="2298"/>
      <c r="J3343" s="2276"/>
      <c r="K3343" s="293"/>
      <c r="L3343" s="293"/>
      <c r="M3343" s="293"/>
      <c r="N3343" s="293"/>
      <c r="O3343" s="293"/>
      <c r="P3343" s="293"/>
      <c r="S3343" s="364"/>
      <c r="Z3343" s="609" t="s">
        <v>3806</v>
      </c>
      <c r="AA3343" s="609" t="s">
        <v>5671</v>
      </c>
    </row>
    <row r="3344" spans="1:27" ht="18">
      <c r="A3344" s="2714"/>
      <c r="B3344" s="371">
        <v>103</v>
      </c>
      <c r="C3344" s="371" t="s">
        <v>2791</v>
      </c>
      <c r="D3344" s="2716">
        <f t="shared" si="386"/>
        <v>0</v>
      </c>
      <c r="E3344" s="2721">
        <v>1</v>
      </c>
      <c r="F3344" s="294"/>
      <c r="G3344" s="2375" t="s">
        <v>2792</v>
      </c>
      <c r="H3344" s="2275"/>
      <c r="I3344" s="2298"/>
      <c r="J3344" s="2276"/>
      <c r="K3344" s="293"/>
      <c r="L3344" s="293"/>
      <c r="M3344" s="293"/>
      <c r="N3344" s="293"/>
      <c r="O3344" s="293"/>
      <c r="P3344" s="293"/>
      <c r="S3344" s="364"/>
      <c r="Z3344" s="609" t="s">
        <v>3806</v>
      </c>
      <c r="AA3344" s="609" t="s">
        <v>5671</v>
      </c>
    </row>
    <row r="3345" spans="1:27" ht="18">
      <c r="A3345" s="2714"/>
      <c r="B3345" s="371">
        <v>104</v>
      </c>
      <c r="C3345" s="371" t="s">
        <v>2791</v>
      </c>
      <c r="D3345" s="2716">
        <f t="shared" si="386"/>
        <v>0</v>
      </c>
      <c r="E3345" s="2721">
        <v>1</v>
      </c>
      <c r="F3345" s="294"/>
      <c r="G3345" s="2375" t="s">
        <v>2792</v>
      </c>
      <c r="H3345" s="2275"/>
      <c r="I3345" s="2298"/>
      <c r="J3345" s="2276"/>
      <c r="K3345" s="293"/>
      <c r="L3345" s="293"/>
      <c r="M3345" s="293"/>
      <c r="N3345" s="293"/>
      <c r="O3345" s="293"/>
      <c r="P3345" s="293"/>
      <c r="S3345" s="364"/>
      <c r="Z3345" s="609" t="s">
        <v>3806</v>
      </c>
      <c r="AA3345" s="609" t="s">
        <v>5671</v>
      </c>
    </row>
    <row r="3346" spans="1:27" ht="18">
      <c r="A3346" s="2714"/>
      <c r="B3346" s="371">
        <v>105</v>
      </c>
      <c r="C3346" s="371" t="s">
        <v>2791</v>
      </c>
      <c r="D3346" s="2716">
        <f t="shared" si="386"/>
        <v>0</v>
      </c>
      <c r="E3346" s="2721">
        <v>1</v>
      </c>
      <c r="F3346" s="294"/>
      <c r="G3346" s="2375" t="s">
        <v>2792</v>
      </c>
      <c r="H3346" s="2275"/>
      <c r="I3346" s="2298"/>
      <c r="J3346" s="2276"/>
      <c r="K3346" s="293"/>
      <c r="L3346" s="293"/>
      <c r="M3346" s="293"/>
      <c r="N3346" s="293"/>
      <c r="O3346" s="293"/>
      <c r="P3346" s="293"/>
      <c r="S3346" s="364"/>
      <c r="Z3346" s="609" t="s">
        <v>3806</v>
      </c>
      <c r="AA3346" s="609" t="s">
        <v>5671</v>
      </c>
    </row>
    <row r="3347" spans="1:27" ht="18.75" thickBot="1">
      <c r="A3347" s="2714"/>
      <c r="B3347" s="371"/>
      <c r="C3347" s="371"/>
      <c r="D3347" s="2716">
        <f t="shared" si="386"/>
        <v>1</v>
      </c>
      <c r="E3347" s="2721" t="s">
        <v>2751</v>
      </c>
      <c r="F3347" s="294"/>
      <c r="G3347" s="1529" t="s">
        <v>2752</v>
      </c>
      <c r="H3347" s="1527">
        <f>SUMPRODUCT($E3341:$E3346,H3341:H3346)</f>
        <v>0</v>
      </c>
      <c r="I3347" s="2316"/>
      <c r="J3347" s="2266"/>
      <c r="K3347" s="293"/>
      <c r="L3347" s="293"/>
      <c r="M3347" s="293"/>
      <c r="N3347" s="293"/>
      <c r="O3347" s="293"/>
      <c r="P3347" s="293"/>
      <c r="S3347" s="364"/>
      <c r="Z3347" s="609" t="s">
        <v>3806</v>
      </c>
      <c r="AA3347" s="609" t="s">
        <v>5671</v>
      </c>
    </row>
    <row r="3348" spans="1:27" ht="18">
      <c r="A3348" s="2714"/>
      <c r="B3348" s="371"/>
      <c r="C3348" s="371" t="s">
        <v>2755</v>
      </c>
      <c r="D3348" s="371"/>
      <c r="F3348" s="294"/>
      <c r="G3348" s="301"/>
      <c r="H3348" s="315" t="s">
        <v>3002</v>
      </c>
      <c r="I3348" s="393"/>
      <c r="J3348" s="393"/>
      <c r="K3348" s="293"/>
      <c r="L3348" s="293"/>
      <c r="M3348" s="293"/>
      <c r="N3348" s="293"/>
      <c r="O3348" s="293"/>
      <c r="P3348" s="293"/>
      <c r="S3348" s="364"/>
      <c r="Z3348" s="609" t="s">
        <v>3806</v>
      </c>
      <c r="AA3348" s="609" t="s">
        <v>5671</v>
      </c>
    </row>
    <row r="3349" spans="1:27" ht="24">
      <c r="A3349" s="2714" t="s">
        <v>1380</v>
      </c>
      <c r="B3349" s="371">
        <v>1.3</v>
      </c>
      <c r="C3349" s="371"/>
      <c r="D3349" s="2716" t="str">
        <f>VLOOKUP($A3349,Sheet_NoteList,2,0)</f>
        <v>短期借款中的保证借款明细列示</v>
      </c>
      <c r="E3349" s="2716" t="s">
        <v>6532</v>
      </c>
      <c r="F3349" s="294"/>
      <c r="G3349" s="483" t="str">
        <f>"("&amp;B3349&amp;")"&amp;D3349</f>
        <v>(1.3)短期借款中的保证借款明细列示</v>
      </c>
      <c r="H3349" s="1517" t="str">
        <f>$A3349</f>
        <v>2001f</v>
      </c>
      <c r="I3349" s="343" t="s">
        <v>5966</v>
      </c>
      <c r="J3349" s="301" t="s">
        <v>5971</v>
      </c>
      <c r="K3349" s="2210">
        <f>H3357</f>
        <v>0</v>
      </c>
      <c r="L3349" s="345"/>
      <c r="M3349" s="301"/>
      <c r="N3349" s="391"/>
      <c r="O3349" s="345"/>
      <c r="P3349" s="301"/>
      <c r="S3349" s="364"/>
      <c r="Z3349" s="609" t="s">
        <v>3806</v>
      </c>
      <c r="AA3349" s="609" t="s">
        <v>5671</v>
      </c>
    </row>
    <row r="3350" spans="1:27" ht="0.75" customHeight="1" thickBot="1">
      <c r="A3350" s="2714"/>
      <c r="B3350" s="371"/>
      <c r="C3350" s="371"/>
      <c r="D3350" s="371"/>
      <c r="E3350" s="586"/>
      <c r="F3350" s="586"/>
      <c r="G3350" s="586" t="s">
        <v>3821</v>
      </c>
      <c r="H3350" s="371" t="s">
        <v>2747</v>
      </c>
      <c r="I3350" s="371" t="s">
        <v>3822</v>
      </c>
      <c r="J3350" s="371" t="s">
        <v>3814</v>
      </c>
      <c r="M3350" s="290"/>
      <c r="N3350" s="290"/>
      <c r="O3350" s="290"/>
      <c r="P3350" s="290"/>
      <c r="S3350" s="364"/>
      <c r="Z3350" s="609" t="s">
        <v>3806</v>
      </c>
      <c r="AA3350" s="609" t="s">
        <v>5671</v>
      </c>
    </row>
    <row r="3351" spans="1:27" ht="18">
      <c r="A3351" s="2714"/>
      <c r="B3351" s="371"/>
      <c r="C3351" s="371"/>
      <c r="D3351" s="371"/>
      <c r="E3351" s="586" t="s">
        <v>2749</v>
      </c>
      <c r="F3351" s="363"/>
      <c r="G3351" s="2363" t="s">
        <v>1365</v>
      </c>
      <c r="H3351" s="2364" t="s">
        <v>3815</v>
      </c>
      <c r="I3351" s="2364" t="s">
        <v>3823</v>
      </c>
      <c r="J3351" s="2365" t="s">
        <v>3824</v>
      </c>
      <c r="K3351" s="355" t="s">
        <v>6176</v>
      </c>
      <c r="M3351" s="290"/>
      <c r="N3351" s="290"/>
      <c r="O3351" s="290"/>
      <c r="P3351" s="290"/>
      <c r="S3351" s="364"/>
      <c r="Z3351" s="609" t="s">
        <v>3806</v>
      </c>
      <c r="AA3351" s="609" t="s">
        <v>5671</v>
      </c>
    </row>
    <row r="3352" spans="1:27" ht="18">
      <c r="A3352" s="2714"/>
      <c r="B3352" s="371">
        <v>101</v>
      </c>
      <c r="C3352" s="371" t="s">
        <v>2791</v>
      </c>
      <c r="D3352" s="2716">
        <f t="shared" ref="D3352:D3357" si="387">IF(OR(G3352="*",G3352="",G3352=0),0,COUNTIF($G$3352:$G$3357,G3352))</f>
        <v>0</v>
      </c>
      <c r="E3352" s="2721">
        <v>1</v>
      </c>
      <c r="F3352" s="294"/>
      <c r="G3352" s="2375" t="s">
        <v>2792</v>
      </c>
      <c r="H3352" s="2275"/>
      <c r="I3352" s="2298"/>
      <c r="J3352" s="2276"/>
      <c r="K3352" s="579"/>
      <c r="M3352" s="290"/>
      <c r="N3352" s="290"/>
      <c r="O3352" s="290"/>
      <c r="P3352" s="290"/>
      <c r="S3352" s="364"/>
      <c r="Z3352" s="609" t="s">
        <v>3806</v>
      </c>
      <c r="AA3352" s="609" t="s">
        <v>5671</v>
      </c>
    </row>
    <row r="3353" spans="1:27" ht="18">
      <c r="A3353" s="2714"/>
      <c r="B3353" s="371">
        <v>102</v>
      </c>
      <c r="C3353" s="371" t="s">
        <v>2791</v>
      </c>
      <c r="D3353" s="2716">
        <f t="shared" si="387"/>
        <v>0</v>
      </c>
      <c r="E3353" s="2721">
        <v>1</v>
      </c>
      <c r="F3353" s="294"/>
      <c r="G3353" s="2375" t="s">
        <v>2792</v>
      </c>
      <c r="H3353" s="2275"/>
      <c r="I3353" s="2298"/>
      <c r="J3353" s="2276"/>
      <c r="M3353" s="290"/>
      <c r="N3353" s="290"/>
      <c r="O3353" s="290"/>
      <c r="P3353" s="290"/>
      <c r="S3353" s="364"/>
      <c r="Z3353" s="609" t="s">
        <v>3806</v>
      </c>
      <c r="AA3353" s="609" t="s">
        <v>5671</v>
      </c>
    </row>
    <row r="3354" spans="1:27" ht="18">
      <c r="A3354" s="2714"/>
      <c r="B3354" s="371">
        <v>103</v>
      </c>
      <c r="C3354" s="371" t="s">
        <v>2791</v>
      </c>
      <c r="D3354" s="2716">
        <f t="shared" si="387"/>
        <v>0</v>
      </c>
      <c r="E3354" s="2721">
        <v>1</v>
      </c>
      <c r="F3354" s="294"/>
      <c r="G3354" s="2375" t="s">
        <v>2792</v>
      </c>
      <c r="H3354" s="2275"/>
      <c r="I3354" s="2298"/>
      <c r="J3354" s="2276"/>
      <c r="M3354" s="290"/>
      <c r="N3354" s="290"/>
      <c r="O3354" s="290"/>
      <c r="P3354" s="290"/>
      <c r="S3354" s="364"/>
      <c r="Z3354" s="609" t="s">
        <v>3806</v>
      </c>
      <c r="AA3354" s="609" t="s">
        <v>5671</v>
      </c>
    </row>
    <row r="3355" spans="1:27" ht="18">
      <c r="A3355" s="2714"/>
      <c r="B3355" s="371">
        <v>104</v>
      </c>
      <c r="C3355" s="371" t="s">
        <v>2791</v>
      </c>
      <c r="D3355" s="2716">
        <f t="shared" si="387"/>
        <v>0</v>
      </c>
      <c r="E3355" s="2721">
        <v>1</v>
      </c>
      <c r="F3355" s="294"/>
      <c r="G3355" s="2375" t="s">
        <v>2792</v>
      </c>
      <c r="H3355" s="2275"/>
      <c r="I3355" s="2298"/>
      <c r="J3355" s="2276"/>
      <c r="M3355" s="290"/>
      <c r="N3355" s="290"/>
      <c r="O3355" s="290"/>
      <c r="P3355" s="290"/>
      <c r="S3355" s="364"/>
      <c r="Z3355" s="609" t="s">
        <v>3806</v>
      </c>
      <c r="AA3355" s="609" t="s">
        <v>5671</v>
      </c>
    </row>
    <row r="3356" spans="1:27" ht="18">
      <c r="A3356" s="2714"/>
      <c r="B3356" s="371">
        <v>105</v>
      </c>
      <c r="C3356" s="371" t="s">
        <v>2791</v>
      </c>
      <c r="D3356" s="2716">
        <f t="shared" si="387"/>
        <v>0</v>
      </c>
      <c r="E3356" s="2721">
        <v>1</v>
      </c>
      <c r="F3356" s="294"/>
      <c r="G3356" s="2375" t="s">
        <v>2792</v>
      </c>
      <c r="H3356" s="2275"/>
      <c r="I3356" s="2298"/>
      <c r="J3356" s="2276"/>
      <c r="M3356" s="290"/>
      <c r="N3356" s="290"/>
      <c r="O3356" s="290"/>
      <c r="P3356" s="290"/>
      <c r="S3356" s="364"/>
      <c r="Z3356" s="609" t="s">
        <v>3806</v>
      </c>
      <c r="AA3356" s="609" t="s">
        <v>5671</v>
      </c>
    </row>
    <row r="3357" spans="1:27" ht="18.75" thickBot="1">
      <c r="A3357" s="2714"/>
      <c r="B3357" s="371"/>
      <c r="C3357" s="371"/>
      <c r="D3357" s="2716">
        <f t="shared" si="387"/>
        <v>1</v>
      </c>
      <c r="E3357" s="2721" t="s">
        <v>2751</v>
      </c>
      <c r="F3357" s="294"/>
      <c r="G3357" s="1529" t="s">
        <v>2752</v>
      </c>
      <c r="H3357" s="1527">
        <f>SUMPRODUCT($E3351:$E3356,H3351:H3356)</f>
        <v>0</v>
      </c>
      <c r="I3357" s="2316"/>
      <c r="J3357" s="2266"/>
      <c r="M3357" s="290"/>
      <c r="N3357" s="290"/>
      <c r="O3357" s="290"/>
      <c r="P3357" s="290"/>
      <c r="S3357" s="364"/>
      <c r="Z3357" s="609" t="s">
        <v>3806</v>
      </c>
      <c r="AA3357" s="609" t="s">
        <v>5671</v>
      </c>
    </row>
    <row r="3358" spans="1:27" ht="18">
      <c r="A3358" s="2714"/>
      <c r="B3358" s="371"/>
      <c r="C3358" s="371" t="s">
        <v>2755</v>
      </c>
      <c r="D3358" s="371"/>
      <c r="F3358" s="294"/>
      <c r="G3358" s="301"/>
      <c r="H3358" s="315" t="s">
        <v>3002</v>
      </c>
      <c r="I3358" s="393"/>
      <c r="J3358" s="393"/>
      <c r="M3358" s="290"/>
      <c r="N3358" s="290"/>
      <c r="O3358" s="290"/>
      <c r="P3358" s="290"/>
      <c r="S3358" s="364"/>
      <c r="Z3358" s="609" t="s">
        <v>3806</v>
      </c>
      <c r="AA3358" s="609" t="s">
        <v>5671</v>
      </c>
    </row>
    <row r="3359" spans="1:27" ht="24">
      <c r="A3359" s="2714" t="s">
        <v>1363</v>
      </c>
      <c r="B3359" s="371">
        <v>2</v>
      </c>
      <c r="C3359" s="371"/>
      <c r="D3359" s="2716" t="str">
        <f>VLOOKUP($A3359,Sheet_NoteList,2,0)</f>
        <v>重要的已逾期未偿还的短期借款情况</v>
      </c>
      <c r="E3359" s="2716" t="s">
        <v>2742</v>
      </c>
      <c r="F3359" s="294"/>
      <c r="G3359" s="372" t="str">
        <f>"("&amp;B3359&amp;")"&amp;D3359</f>
        <v>(2)重要的已逾期未偿还的短期借款情况</v>
      </c>
      <c r="H3359" s="1517" t="str">
        <f>$A3359</f>
        <v>2001b</v>
      </c>
      <c r="I3359" s="343" t="s">
        <v>2743</v>
      </c>
      <c r="J3359" s="301" t="s">
        <v>2744</v>
      </c>
      <c r="K3359" s="2210">
        <f>H3367</f>
        <v>0</v>
      </c>
      <c r="L3359" s="345"/>
      <c r="M3359" s="301"/>
      <c r="N3359" s="3071"/>
      <c r="O3359" s="315"/>
      <c r="P3359" s="301"/>
      <c r="Q3359" s="290" t="str">
        <f>IF($I3359="不适用","",IF(ROUND(SUM($H$3362:$K$3367),2)=0,"请输入",""))</f>
        <v>请输入</v>
      </c>
      <c r="S3359" s="364"/>
      <c r="Z3359" s="609" t="s">
        <v>3806</v>
      </c>
      <c r="AA3359" s="609" t="s">
        <v>5671</v>
      </c>
    </row>
    <row r="3360" spans="1:27" ht="0.75" customHeight="1" thickBot="1">
      <c r="A3360" s="2714"/>
      <c r="B3360" s="371"/>
      <c r="C3360" s="371"/>
      <c r="D3360" s="371"/>
      <c r="F3360" s="304"/>
      <c r="G3360" s="304" t="s">
        <v>3825</v>
      </c>
      <c r="H3360" s="304" t="s">
        <v>2747</v>
      </c>
      <c r="I3360" s="304" t="s">
        <v>3826</v>
      </c>
      <c r="J3360" s="304" t="s">
        <v>3827</v>
      </c>
      <c r="K3360" s="304" t="s">
        <v>3190</v>
      </c>
      <c r="L3360" s="291"/>
      <c r="M3360" s="291"/>
      <c r="N3360" s="291"/>
      <c r="O3360" s="291"/>
      <c r="P3360" s="291"/>
      <c r="S3360" s="364"/>
      <c r="Z3360" s="609" t="s">
        <v>3806</v>
      </c>
      <c r="AA3360" s="609" t="s">
        <v>5671</v>
      </c>
    </row>
    <row r="3361" spans="1:27" ht="24">
      <c r="A3361" s="2714"/>
      <c r="B3361" s="371"/>
      <c r="C3361" s="371"/>
      <c r="D3361" s="371"/>
      <c r="E3361" s="2716" t="s">
        <v>2749</v>
      </c>
      <c r="F3361" s="294"/>
      <c r="G3361" s="378" t="s">
        <v>1365</v>
      </c>
      <c r="H3361" s="504" t="str">
        <f>$W$2&amp;"借款余额"</f>
        <v>2019年12月31日借款余额</v>
      </c>
      <c r="I3361" s="379" t="s">
        <v>3828</v>
      </c>
      <c r="J3361" s="398" t="s">
        <v>3129</v>
      </c>
      <c r="K3361" s="399" t="s">
        <v>3829</v>
      </c>
      <c r="L3361" s="355" t="s">
        <v>5298</v>
      </c>
      <c r="M3361" s="291"/>
      <c r="N3361" s="291"/>
      <c r="O3361" s="291"/>
      <c r="P3361" s="291"/>
      <c r="S3361" s="364"/>
      <c r="Z3361" s="609" t="s">
        <v>3806</v>
      </c>
      <c r="AA3361" s="609" t="s">
        <v>5671</v>
      </c>
    </row>
    <row r="3362" spans="1:27" ht="18">
      <c r="A3362" s="2714"/>
      <c r="B3362" s="371">
        <v>101</v>
      </c>
      <c r="C3362" s="371" t="s">
        <v>2791</v>
      </c>
      <c r="D3362" s="2716">
        <f t="shared" ref="D3362:D3367" si="388">IF(OR(G3362="*",G3362="",G3362=0),0,COUNTIF($G$3362:$G$3367,G3362))</f>
        <v>0</v>
      </c>
      <c r="E3362" s="2721">
        <v>1</v>
      </c>
      <c r="F3362" s="294"/>
      <c r="G3362" s="409" t="s">
        <v>2792</v>
      </c>
      <c r="H3362" s="383"/>
      <c r="I3362" s="469"/>
      <c r="J3362" s="469"/>
      <c r="K3362" s="492"/>
      <c r="L3362" s="291"/>
      <c r="M3362" s="291"/>
      <c r="N3362" s="291"/>
      <c r="O3362" s="291"/>
      <c r="P3362" s="291"/>
      <c r="S3362" s="364"/>
      <c r="Z3362" s="609" t="s">
        <v>3806</v>
      </c>
      <c r="AA3362" s="609" t="s">
        <v>5671</v>
      </c>
    </row>
    <row r="3363" spans="1:27" ht="18">
      <c r="A3363" s="2714"/>
      <c r="B3363" s="371">
        <v>102</v>
      </c>
      <c r="C3363" s="371" t="s">
        <v>2791</v>
      </c>
      <c r="D3363" s="2716">
        <f t="shared" si="388"/>
        <v>0</v>
      </c>
      <c r="E3363" s="2721">
        <v>1</v>
      </c>
      <c r="F3363" s="294"/>
      <c r="G3363" s="409" t="s">
        <v>2792</v>
      </c>
      <c r="H3363" s="383"/>
      <c r="I3363" s="469"/>
      <c r="J3363" s="469"/>
      <c r="K3363" s="492"/>
      <c r="L3363" s="291"/>
      <c r="M3363" s="291"/>
      <c r="N3363" s="291"/>
      <c r="O3363" s="291"/>
      <c r="P3363" s="291"/>
      <c r="S3363" s="364"/>
      <c r="Z3363" s="609" t="s">
        <v>3806</v>
      </c>
      <c r="AA3363" s="609" t="s">
        <v>5671</v>
      </c>
    </row>
    <row r="3364" spans="1:27" ht="18">
      <c r="A3364" s="2714"/>
      <c r="B3364" s="371">
        <v>103</v>
      </c>
      <c r="C3364" s="371" t="s">
        <v>2791</v>
      </c>
      <c r="D3364" s="2716">
        <f t="shared" si="388"/>
        <v>0</v>
      </c>
      <c r="E3364" s="2721">
        <v>1</v>
      </c>
      <c r="F3364" s="294"/>
      <c r="G3364" s="409" t="s">
        <v>2792</v>
      </c>
      <c r="H3364" s="383"/>
      <c r="I3364" s="469"/>
      <c r="J3364" s="469"/>
      <c r="K3364" s="492"/>
      <c r="L3364" s="291"/>
      <c r="M3364" s="291"/>
      <c r="N3364" s="291"/>
      <c r="O3364" s="291"/>
      <c r="P3364" s="291"/>
      <c r="S3364" s="364"/>
      <c r="Z3364" s="609" t="s">
        <v>3806</v>
      </c>
      <c r="AA3364" s="609" t="s">
        <v>5671</v>
      </c>
    </row>
    <row r="3365" spans="1:27" ht="18">
      <c r="A3365" s="2714"/>
      <c r="B3365" s="371">
        <v>104</v>
      </c>
      <c r="C3365" s="371" t="s">
        <v>2791</v>
      </c>
      <c r="D3365" s="2716">
        <f t="shared" si="388"/>
        <v>0</v>
      </c>
      <c r="E3365" s="2721">
        <v>1</v>
      </c>
      <c r="F3365" s="294"/>
      <c r="G3365" s="409" t="s">
        <v>2792</v>
      </c>
      <c r="H3365" s="383"/>
      <c r="I3365" s="469"/>
      <c r="J3365" s="469"/>
      <c r="K3365" s="492"/>
      <c r="L3365" s="291"/>
      <c r="M3365" s="291"/>
      <c r="N3365" s="291"/>
      <c r="O3365" s="291"/>
      <c r="P3365" s="291"/>
      <c r="S3365" s="364"/>
      <c r="Z3365" s="609" t="s">
        <v>3806</v>
      </c>
      <c r="AA3365" s="609" t="s">
        <v>5671</v>
      </c>
    </row>
    <row r="3366" spans="1:27" ht="18">
      <c r="A3366" s="2714"/>
      <c r="B3366" s="371">
        <v>105</v>
      </c>
      <c r="C3366" s="371" t="s">
        <v>2791</v>
      </c>
      <c r="D3366" s="2716">
        <f t="shared" si="388"/>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75" thickBot="1">
      <c r="A3367" s="2714"/>
      <c r="B3367" s="371"/>
      <c r="C3367" s="371"/>
      <c r="D3367" s="2716">
        <f t="shared" si="388"/>
        <v>1</v>
      </c>
      <c r="E3367" s="2721" t="s">
        <v>2751</v>
      </c>
      <c r="F3367" s="294"/>
      <c r="G3367" s="403" t="s">
        <v>2752</v>
      </c>
      <c r="H3367" s="503">
        <f>SUMPRODUCT($E3361:$E3366,H3361:H3366)</f>
        <v>0</v>
      </c>
      <c r="I3367" s="512"/>
      <c r="J3367" s="512"/>
      <c r="K3367" s="513"/>
      <c r="L3367" s="291"/>
      <c r="M3367" s="291"/>
      <c r="N3367" s="291"/>
      <c r="O3367" s="291"/>
      <c r="P3367" s="291"/>
      <c r="S3367" s="364"/>
      <c r="Z3367" s="609" t="s">
        <v>3806</v>
      </c>
      <c r="AA3367" s="609" t="s">
        <v>5671</v>
      </c>
    </row>
    <row r="3368" spans="1:27" ht="24.75" thickBot="1">
      <c r="A3368" s="2714"/>
      <c r="B3368" s="371">
        <v>901</v>
      </c>
      <c r="C3368" s="371"/>
      <c r="D3368" s="371"/>
      <c r="E3368" s="2716" t="s">
        <v>2753</v>
      </c>
      <c r="F3368" s="294"/>
      <c r="G3368" s="2385" t="s">
        <v>6068</v>
      </c>
      <c r="H3368" s="2395"/>
      <c r="I3368" s="432"/>
      <c r="J3368" s="425"/>
      <c r="K3368" s="426"/>
      <c r="L3368" s="427"/>
      <c r="M3368" s="425"/>
      <c r="N3368" s="426"/>
      <c r="O3368" s="427"/>
      <c r="P3368" s="425"/>
      <c r="S3368" s="364"/>
      <c r="Z3368" s="609" t="s">
        <v>3806</v>
      </c>
      <c r="AA3368" s="609" t="s">
        <v>5671</v>
      </c>
    </row>
    <row r="3369" spans="1:27" ht="18">
      <c r="A3369" s="2714"/>
      <c r="B3369" s="371"/>
      <c r="C3369" s="371" t="s">
        <v>2755</v>
      </c>
      <c r="D3369" s="371"/>
      <c r="F3369" s="294"/>
      <c r="G3369" s="529"/>
      <c r="H3369" s="349"/>
      <c r="I3369" s="350"/>
      <c r="J3369" s="350"/>
      <c r="K3369" s="350"/>
      <c r="L3369" s="350"/>
      <c r="M3369" s="291"/>
      <c r="N3369" s="291"/>
      <c r="O3369" s="291"/>
      <c r="P3369" s="291"/>
      <c r="S3369" s="364"/>
      <c r="Z3369" s="609" t="s">
        <v>3806</v>
      </c>
      <c r="AA3369" s="609" t="s">
        <v>5671</v>
      </c>
    </row>
    <row r="3370" spans="1:27" ht="18">
      <c r="A3370" s="2714" t="s">
        <v>1385</v>
      </c>
      <c r="B3370" s="371">
        <v>3</v>
      </c>
      <c r="C3370" s="371"/>
      <c r="D3370" s="2716" t="str">
        <f>VLOOKUP($A3370,Sheet_NoteList,2,0)</f>
        <v>外币短期借款</v>
      </c>
      <c r="E3370" s="2716" t="s">
        <v>6532</v>
      </c>
      <c r="F3370" s="294"/>
      <c r="G3370" s="372" t="str">
        <f>"("&amp;B3370&amp;")"&amp;D3370</f>
        <v>(3)外币短期借款</v>
      </c>
      <c r="H3370" s="1517" t="str">
        <f>$A3370</f>
        <v>2001c</v>
      </c>
      <c r="I3370" s="343" t="s">
        <v>5576</v>
      </c>
      <c r="J3370" s="301" t="s">
        <v>5574</v>
      </c>
      <c r="K3370" s="2210">
        <f>J3378</f>
        <v>0</v>
      </c>
      <c r="L3370" s="345"/>
      <c r="M3370" s="301" t="s">
        <v>5575</v>
      </c>
      <c r="N3370" s="2210">
        <f>L3378</f>
        <v>0</v>
      </c>
      <c r="O3370" s="345"/>
      <c r="P3370" s="301"/>
      <c r="Q3370" s="290" t="str">
        <f>IF($I3370="不适用","",IF(ROUND(SUM($H$3373:$J$3378),2)=0,"请输入",""))</f>
        <v>请输入</v>
      </c>
      <c r="S3370" s="364"/>
      <c r="Z3370" s="609" t="s">
        <v>3806</v>
      </c>
      <c r="AA3370" s="609" t="s">
        <v>5671</v>
      </c>
    </row>
    <row r="3371" spans="1:27" ht="0.75" customHeight="1" thickBot="1">
      <c r="A3371" s="2714"/>
      <c r="B3371" s="371"/>
      <c r="C3371" s="371"/>
      <c r="D3371" s="371"/>
      <c r="F3371" s="304"/>
      <c r="G3371" s="304" t="s">
        <v>3830</v>
      </c>
      <c r="H3371" s="304" t="s">
        <v>3073</v>
      </c>
      <c r="I3371" s="304" t="s">
        <v>3074</v>
      </c>
      <c r="J3371" s="304" t="s">
        <v>3075</v>
      </c>
      <c r="N3371" s="291"/>
      <c r="O3371" s="291"/>
      <c r="P3371" s="291"/>
      <c r="Q3371" s="367"/>
      <c r="R3371" s="367"/>
      <c r="S3371" s="364"/>
      <c r="Z3371" s="609" t="s">
        <v>3806</v>
      </c>
      <c r="AA3371" s="609" t="s">
        <v>5671</v>
      </c>
    </row>
    <row r="3372" spans="1:27" ht="24">
      <c r="A3372" s="2714"/>
      <c r="B3372" s="371"/>
      <c r="C3372" s="371"/>
      <c r="D3372" s="371"/>
      <c r="E3372" s="2716" t="s">
        <v>2749</v>
      </c>
      <c r="F3372" s="294"/>
      <c r="G3372" s="1621" t="s">
        <v>1371</v>
      </c>
      <c r="H3372" s="1619" t="s">
        <v>3076</v>
      </c>
      <c r="I3372" s="1619" t="s">
        <v>3077</v>
      </c>
      <c r="J3372" s="1620" t="s">
        <v>3078</v>
      </c>
      <c r="K3372" s="355" t="s">
        <v>5604</v>
      </c>
      <c r="L3372" s="291"/>
      <c r="N3372" s="291"/>
      <c r="O3372" s="291"/>
      <c r="P3372" s="291"/>
      <c r="Q3372" s="367"/>
      <c r="R3372" s="367"/>
      <c r="S3372" s="364"/>
      <c r="Z3372" s="609" t="s">
        <v>3806</v>
      </c>
      <c r="AA3372" s="609" t="s">
        <v>5671</v>
      </c>
    </row>
    <row r="3373" spans="1:27" ht="18">
      <c r="A3373" s="2714"/>
      <c r="B3373" s="371">
        <v>101</v>
      </c>
      <c r="C3373" s="371" t="s">
        <v>2791</v>
      </c>
      <c r="D3373" s="2716">
        <f t="shared" ref="D3373:D3378" si="389">IF(OR(G3373="*",G3373="",G3373=0),0,COUNTIF($G$3373:$G$3378,G3373))</f>
        <v>1</v>
      </c>
      <c r="E3373" s="2721">
        <v>1</v>
      </c>
      <c r="F3373" s="294"/>
      <c r="G3373" s="1618" t="s">
        <v>3079</v>
      </c>
      <c r="H3373" s="309"/>
      <c r="I3373" s="360"/>
      <c r="J3373" s="346"/>
      <c r="K3373" s="355" t="s">
        <v>5364</v>
      </c>
      <c r="L3373" s="1522" t="s">
        <v>5365</v>
      </c>
      <c r="M3373" s="291"/>
      <c r="N3373" s="291"/>
      <c r="O3373" s="291"/>
      <c r="P3373" s="291"/>
      <c r="S3373" s="364"/>
      <c r="Z3373" s="609" t="s">
        <v>3806</v>
      </c>
      <c r="AA3373" s="609" t="s">
        <v>5671</v>
      </c>
    </row>
    <row r="3374" spans="1:27" ht="18">
      <c r="A3374" s="2714"/>
      <c r="B3374" s="371">
        <v>102</v>
      </c>
      <c r="C3374" s="371" t="s">
        <v>2791</v>
      </c>
      <c r="D3374" s="2716">
        <f t="shared" si="389"/>
        <v>1</v>
      </c>
      <c r="E3374" s="2721">
        <v>1</v>
      </c>
      <c r="F3374" s="294"/>
      <c r="G3374" s="1618" t="s">
        <v>3080</v>
      </c>
      <c r="H3374" s="309"/>
      <c r="I3374" s="360"/>
      <c r="J3374" s="346"/>
      <c r="K3374" s="291"/>
      <c r="L3374" s="291"/>
      <c r="M3374" s="291"/>
      <c r="N3374" s="291"/>
      <c r="O3374" s="291"/>
      <c r="P3374" s="291"/>
      <c r="S3374" s="364"/>
      <c r="Z3374" s="609" t="s">
        <v>3806</v>
      </c>
      <c r="AA3374" s="609" t="s">
        <v>5671</v>
      </c>
    </row>
    <row r="3375" spans="1:27" ht="18">
      <c r="A3375" s="2714"/>
      <c r="B3375" s="371">
        <v>103</v>
      </c>
      <c r="C3375" s="371" t="s">
        <v>2791</v>
      </c>
      <c r="D3375" s="2716">
        <f t="shared" si="389"/>
        <v>1</v>
      </c>
      <c r="E3375" s="2721">
        <v>1</v>
      </c>
      <c r="F3375" s="294"/>
      <c r="G3375" s="1618" t="s">
        <v>3081</v>
      </c>
      <c r="H3375" s="309"/>
      <c r="I3375" s="360"/>
      <c r="J3375" s="346"/>
      <c r="K3375" s="291"/>
      <c r="L3375" s="291"/>
      <c r="M3375" s="291"/>
      <c r="N3375" s="291"/>
      <c r="O3375" s="291"/>
      <c r="P3375" s="291"/>
      <c r="S3375" s="364"/>
      <c r="Z3375" s="609" t="s">
        <v>3806</v>
      </c>
      <c r="AA3375" s="609" t="s">
        <v>5671</v>
      </c>
    </row>
    <row r="3376" spans="1:27" ht="18">
      <c r="A3376" s="2714"/>
      <c r="B3376" s="371">
        <v>104</v>
      </c>
      <c r="C3376" s="371" t="s">
        <v>2791</v>
      </c>
      <c r="D3376" s="2716">
        <f t="shared" si="389"/>
        <v>0</v>
      </c>
      <c r="E3376" s="2721">
        <v>1</v>
      </c>
      <c r="F3376" s="294"/>
      <c r="G3376" s="1618" t="s">
        <v>2792</v>
      </c>
      <c r="H3376" s="309"/>
      <c r="I3376" s="360"/>
      <c r="J3376" s="346"/>
      <c r="K3376" s="291"/>
      <c r="L3376" s="291"/>
      <c r="M3376" s="291"/>
      <c r="N3376" s="291"/>
      <c r="O3376" s="291"/>
      <c r="P3376" s="291"/>
      <c r="S3376" s="364"/>
      <c r="Z3376" s="609" t="s">
        <v>3806</v>
      </c>
      <c r="AA3376" s="609" t="s">
        <v>5671</v>
      </c>
    </row>
    <row r="3377" spans="1:27" ht="18">
      <c r="A3377" s="2714"/>
      <c r="B3377" s="371">
        <v>105</v>
      </c>
      <c r="C3377" s="371" t="s">
        <v>2791</v>
      </c>
      <c r="D3377" s="2716">
        <f t="shared" si="389"/>
        <v>0</v>
      </c>
      <c r="E3377" s="2721">
        <v>1</v>
      </c>
      <c r="F3377" s="294"/>
      <c r="G3377" s="1618" t="s">
        <v>2792</v>
      </c>
      <c r="H3377" s="309"/>
      <c r="I3377" s="360"/>
      <c r="J3377" s="346"/>
      <c r="K3377" s="291"/>
      <c r="L3377" s="291"/>
      <c r="M3377" s="291"/>
      <c r="N3377" s="291"/>
      <c r="O3377" s="291"/>
      <c r="P3377" s="291"/>
      <c r="S3377" s="364"/>
      <c r="Z3377" s="609" t="s">
        <v>3806</v>
      </c>
      <c r="AA3377" s="609" t="s">
        <v>5671</v>
      </c>
    </row>
    <row r="3378" spans="1:27" ht="18.75" thickBot="1">
      <c r="A3378" s="2714"/>
      <c r="B3378" s="371"/>
      <c r="C3378" s="371"/>
      <c r="D3378" s="2716">
        <f t="shared" si="389"/>
        <v>1</v>
      </c>
      <c r="E3378" s="2721" t="s">
        <v>2751</v>
      </c>
      <c r="F3378" s="294"/>
      <c r="G3378" s="1529" t="s">
        <v>2752</v>
      </c>
      <c r="H3378" s="1525"/>
      <c r="I3378" s="1570"/>
      <c r="J3378" s="1528">
        <f>SUMPRODUCT($E3372:$E3377,J3372:J3377)</f>
        <v>0</v>
      </c>
      <c r="K3378" s="291"/>
      <c r="L3378" s="291"/>
      <c r="M3378" s="291"/>
      <c r="N3378" s="291"/>
      <c r="O3378" s="291"/>
      <c r="P3378" s="291"/>
      <c r="S3378" s="364"/>
      <c r="Z3378" s="609" t="s">
        <v>3806</v>
      </c>
      <c r="AA3378" s="609" t="s">
        <v>5671</v>
      </c>
    </row>
    <row r="3379" spans="1:27" ht="18">
      <c r="A3379" s="2714"/>
      <c r="B3379" s="371"/>
      <c r="C3379" s="371" t="s">
        <v>2755</v>
      </c>
      <c r="D3379" s="371"/>
      <c r="F3379" s="294"/>
      <c r="G3379" s="301"/>
      <c r="H3379" s="315"/>
      <c r="I3379" s="393"/>
      <c r="J3379" s="315"/>
      <c r="K3379" s="291"/>
      <c r="L3379" s="291"/>
      <c r="M3379" s="291"/>
      <c r="N3379" s="291"/>
      <c r="O3379" s="291"/>
      <c r="P3379" s="291"/>
      <c r="S3379" s="364"/>
      <c r="Z3379" s="609" t="s">
        <v>3806</v>
      </c>
      <c r="AA3379" s="609" t="s">
        <v>5671</v>
      </c>
    </row>
    <row r="3380" spans="1:27" ht="17.25">
      <c r="A3380" s="2715">
        <v>2102</v>
      </c>
      <c r="B3380" s="371">
        <v>34</v>
      </c>
      <c r="C3380" s="2716" t="str">
        <f>VLOOKUP($A3380,Sheet_Items,2,0)</f>
        <v>交易性金融负债</v>
      </c>
      <c r="D3380" s="371"/>
      <c r="E3380" s="2716" t="s">
        <v>2739</v>
      </c>
      <c r="F3380" s="293"/>
      <c r="G3380" s="305" t="str">
        <f>B3380&amp;" "&amp;C3380</f>
        <v>34 交易性金融负债</v>
      </c>
      <c r="H3380" s="306"/>
      <c r="I3380" s="306"/>
      <c r="J3380" s="306" t="s">
        <v>2740</v>
      </c>
      <c r="K3380" s="341">
        <f>VLOOKUP($A3380,Sheet_Trialbal,6,0)</f>
        <v>0</v>
      </c>
      <c r="L3380" s="342"/>
      <c r="M3380" s="306" t="s">
        <v>2741</v>
      </c>
      <c r="N3380" s="341">
        <f>VLOOKUP($A3380,Sheet_Trialbal,10,0)</f>
        <v>0</v>
      </c>
      <c r="O3380" s="342"/>
      <c r="P3380" s="301"/>
      <c r="S3380" s="364"/>
      <c r="Z3380" s="609" t="s">
        <v>3831</v>
      </c>
      <c r="AA3380" s="609" t="s">
        <v>3832</v>
      </c>
    </row>
    <row r="3381" spans="1:27" ht="18">
      <c r="A3381" s="2714" t="s">
        <v>1395</v>
      </c>
      <c r="B3381" s="371">
        <v>1</v>
      </c>
      <c r="C3381" s="371"/>
      <c r="D3381" s="2716" t="str">
        <f>VLOOKUP($A3381,Sheet_NoteList,2,0)</f>
        <v>交易性金融负债情况</v>
      </c>
      <c r="E3381" s="2716" t="s">
        <v>2742</v>
      </c>
      <c r="F3381" s="293"/>
      <c r="G3381" s="372" t="str">
        <f>"("&amp;B3381&amp;")"&amp;D3381</f>
        <v>(1)交易性金融负债情况</v>
      </c>
      <c r="H3381" s="1517" t="str">
        <f>$A3381</f>
        <v>2102a</v>
      </c>
      <c r="I3381" s="343" t="s">
        <v>2743</v>
      </c>
      <c r="J3381" s="301" t="s">
        <v>2744</v>
      </c>
      <c r="K3381" s="2210">
        <f>K3392</f>
        <v>0</v>
      </c>
      <c r="L3381" s="349" t="str">
        <f>IF($I3381="适用",IF(ROUND(K$3380-K3381,2)=0,"F/S",ROUND(K$3380-K3381,2)),"#N/A")</f>
        <v>F/S</v>
      </c>
      <c r="M3381" s="301" t="s">
        <v>2745</v>
      </c>
      <c r="N3381" s="2210">
        <f>H3392</f>
        <v>0</v>
      </c>
      <c r="O3381" s="349" t="str">
        <f>IF($I3381="适用",IF(ROUND(N$3380-N3381,2)=0,"F/S",ROUND(N$3380-N3381,2)),"#N/A")</f>
        <v>F/S</v>
      </c>
      <c r="P3381" s="301"/>
      <c r="S3381" s="364"/>
      <c r="Z3381" s="609" t="s">
        <v>3831</v>
      </c>
      <c r="AA3381" s="609" t="s">
        <v>3832</v>
      </c>
    </row>
    <row r="3382" spans="1:27" ht="0.75" customHeight="1" thickBot="1">
      <c r="A3382" s="2714"/>
      <c r="B3382" s="371"/>
      <c r="C3382" s="371"/>
      <c r="D3382" s="2716"/>
      <c r="F3382" s="371"/>
      <c r="G3382" s="405" t="s">
        <v>3833</v>
      </c>
      <c r="H3382" s="371" t="s">
        <v>2747</v>
      </c>
      <c r="I3382" s="371" t="s">
        <v>2748</v>
      </c>
      <c r="J3382" s="371" t="s">
        <v>2948</v>
      </c>
      <c r="K3382" s="547" t="s">
        <v>3034</v>
      </c>
      <c r="L3382" s="428"/>
      <c r="M3382" s="433"/>
      <c r="N3382" s="428"/>
      <c r="O3382" s="428"/>
      <c r="P3382" s="433"/>
      <c r="Q3382" s="442"/>
      <c r="R3382" s="443"/>
      <c r="S3382" s="364"/>
      <c r="Z3382" s="609" t="s">
        <v>3831</v>
      </c>
      <c r="AA3382" s="609" t="s">
        <v>3832</v>
      </c>
    </row>
    <row r="3383" spans="1:27" ht="18">
      <c r="A3383" s="2714"/>
      <c r="B3383" s="371"/>
      <c r="C3383" s="371"/>
      <c r="D3383" s="2716"/>
      <c r="E3383" s="2716" t="s">
        <v>2749</v>
      </c>
      <c r="F3383" s="293"/>
      <c r="G3383" s="2305" t="s">
        <v>47</v>
      </c>
      <c r="H3383" s="2478" t="str">
        <f>$V$3</f>
        <v>2018年12月31日</v>
      </c>
      <c r="I3383" s="2291" t="s">
        <v>3027</v>
      </c>
      <c r="J3383" s="2291" t="s">
        <v>3028</v>
      </c>
      <c r="K3383" s="2346" t="str">
        <f>$V$2</f>
        <v>2019年12月31日</v>
      </c>
      <c r="L3383" s="355" t="s">
        <v>5299</v>
      </c>
      <c r="M3383" s="435"/>
      <c r="N3383" s="434"/>
      <c r="O3383" s="434"/>
      <c r="P3383" s="435"/>
      <c r="Q3383" s="442"/>
      <c r="R3383" s="443"/>
      <c r="S3383" s="364"/>
      <c r="Z3383" s="609" t="s">
        <v>3831</v>
      </c>
      <c r="AA3383" s="609" t="s">
        <v>3832</v>
      </c>
    </row>
    <row r="3384" spans="1:27" ht="18">
      <c r="A3384" s="2714"/>
      <c r="B3384" s="371">
        <v>101</v>
      </c>
      <c r="C3384" s="371"/>
      <c r="D3384" s="2716">
        <f t="shared" ref="D3384:D3392" si="390">IF(OR(G3384="*",G3384="",G3384=0),0,COUNTIF($G$3384:$G$3392,G3384))</f>
        <v>1</v>
      </c>
      <c r="E3384" s="2721">
        <v>1</v>
      </c>
      <c r="F3384" s="293"/>
      <c r="G3384" s="308" t="s">
        <v>462</v>
      </c>
      <c r="H3384" s="1465">
        <v>0</v>
      </c>
      <c r="I3384" s="309">
        <f>SUM(I3385:I3387)</f>
        <v>0</v>
      </c>
      <c r="J3384" s="309">
        <f>SUM(J3385:J3387)</f>
        <v>0</v>
      </c>
      <c r="K3384" s="361">
        <f>H3384+I3384-J3384</f>
        <v>0</v>
      </c>
      <c r="L3384" s="437"/>
      <c r="M3384" s="438"/>
      <c r="N3384" s="439"/>
      <c r="O3384" s="437"/>
      <c r="P3384" s="438"/>
      <c r="Q3384" s="442"/>
      <c r="R3384" s="443"/>
      <c r="S3384" s="364"/>
      <c r="Z3384" s="609" t="s">
        <v>3831</v>
      </c>
      <c r="AA3384" s="609" t="s">
        <v>3832</v>
      </c>
    </row>
    <row r="3385" spans="1:27" ht="18">
      <c r="A3385" s="2714"/>
      <c r="B3385" s="371">
        <v>102</v>
      </c>
      <c r="C3385" s="371" t="s">
        <v>2791</v>
      </c>
      <c r="D3385" s="2716">
        <f t="shared" si="390"/>
        <v>1</v>
      </c>
      <c r="E3385" s="2721">
        <v>0</v>
      </c>
      <c r="F3385" s="293"/>
      <c r="G3385" s="319" t="s">
        <v>2891</v>
      </c>
      <c r="H3385" s="1465">
        <v>0</v>
      </c>
      <c r="I3385" s="309"/>
      <c r="J3385" s="309"/>
      <c r="K3385" s="361">
        <f t="shared" ref="K3385:K3391" si="391">H3385+I3385-J3385</f>
        <v>0</v>
      </c>
      <c r="L3385" s="437"/>
      <c r="M3385" s="438"/>
      <c r="N3385" s="439"/>
      <c r="O3385" s="437"/>
      <c r="P3385" s="438"/>
      <c r="Q3385" s="442"/>
      <c r="R3385" s="443"/>
      <c r="S3385" s="364"/>
      <c r="Z3385" s="609" t="s">
        <v>3831</v>
      </c>
      <c r="AA3385" s="609" t="s">
        <v>3832</v>
      </c>
    </row>
    <row r="3386" spans="1:27" ht="18">
      <c r="A3386" s="2714"/>
      <c r="B3386" s="371">
        <v>103</v>
      </c>
      <c r="C3386" s="371" t="s">
        <v>2791</v>
      </c>
      <c r="D3386" s="2716">
        <f t="shared" si="390"/>
        <v>0</v>
      </c>
      <c r="E3386" s="2721">
        <v>0</v>
      </c>
      <c r="F3386" s="293"/>
      <c r="G3386" s="319" t="s">
        <v>2792</v>
      </c>
      <c r="H3386" s="1465">
        <v>0</v>
      </c>
      <c r="I3386" s="309"/>
      <c r="J3386" s="309"/>
      <c r="K3386" s="361">
        <f t="shared" si="391"/>
        <v>0</v>
      </c>
      <c r="L3386" s="437"/>
      <c r="M3386" s="438"/>
      <c r="N3386" s="439"/>
      <c r="O3386" s="437"/>
      <c r="P3386" s="438"/>
      <c r="Q3386" s="442"/>
      <c r="R3386" s="443"/>
      <c r="S3386" s="364"/>
      <c r="Z3386" s="609" t="s">
        <v>3831</v>
      </c>
      <c r="AA3386" s="609" t="s">
        <v>3832</v>
      </c>
    </row>
    <row r="3387" spans="1:27" ht="18">
      <c r="A3387" s="2714"/>
      <c r="B3387" s="371">
        <v>104</v>
      </c>
      <c r="C3387" s="371" t="s">
        <v>2791</v>
      </c>
      <c r="D3387" s="2716">
        <f t="shared" si="390"/>
        <v>0</v>
      </c>
      <c r="E3387" s="2721">
        <v>0</v>
      </c>
      <c r="F3387" s="293"/>
      <c r="G3387" s="319" t="s">
        <v>2792</v>
      </c>
      <c r="H3387" s="1465">
        <v>0</v>
      </c>
      <c r="I3387" s="309"/>
      <c r="J3387" s="309"/>
      <c r="K3387" s="361">
        <f t="shared" si="391"/>
        <v>0</v>
      </c>
      <c r="L3387" s="437"/>
      <c r="M3387" s="438"/>
      <c r="N3387" s="439"/>
      <c r="O3387" s="437"/>
      <c r="P3387" s="438"/>
      <c r="Q3387" s="442"/>
      <c r="R3387" s="443"/>
      <c r="S3387" s="364"/>
      <c r="Z3387" s="609" t="s">
        <v>3831</v>
      </c>
      <c r="AA3387" s="609" t="s">
        <v>3832</v>
      </c>
    </row>
    <row r="3388" spans="1:27" ht="24">
      <c r="A3388" s="2714"/>
      <c r="B3388" s="371">
        <v>105</v>
      </c>
      <c r="C3388" s="371"/>
      <c r="D3388" s="2716">
        <f t="shared" si="390"/>
        <v>1</v>
      </c>
      <c r="E3388" s="2721">
        <v>1</v>
      </c>
      <c r="F3388" s="293"/>
      <c r="G3388" s="308" t="s">
        <v>3834</v>
      </c>
      <c r="H3388" s="1465">
        <v>0</v>
      </c>
      <c r="I3388" s="309">
        <f>SUM(I3389:I3391)</f>
        <v>0</v>
      </c>
      <c r="J3388" s="309">
        <f>SUM(J3389:J3391)</f>
        <v>0</v>
      </c>
      <c r="K3388" s="361">
        <f t="shared" si="391"/>
        <v>0</v>
      </c>
      <c r="L3388" s="437"/>
      <c r="M3388" s="438"/>
      <c r="N3388" s="439"/>
      <c r="O3388" s="437"/>
      <c r="P3388" s="438"/>
      <c r="Q3388" s="442"/>
      <c r="R3388" s="443"/>
      <c r="S3388" s="364"/>
      <c r="Z3388" s="609" t="s">
        <v>3831</v>
      </c>
      <c r="AA3388" s="609" t="s">
        <v>3832</v>
      </c>
    </row>
    <row r="3389" spans="1:27" ht="18">
      <c r="A3389" s="2714"/>
      <c r="B3389" s="371">
        <v>106</v>
      </c>
      <c r="C3389" s="371" t="s">
        <v>2791</v>
      </c>
      <c r="D3389" s="2716">
        <f t="shared" si="390"/>
        <v>1</v>
      </c>
      <c r="E3389" s="2721">
        <v>0</v>
      </c>
      <c r="F3389" s="293"/>
      <c r="G3389" s="319" t="s">
        <v>2829</v>
      </c>
      <c r="H3389" s="1465">
        <v>0</v>
      </c>
      <c r="I3389" s="309"/>
      <c r="J3389" s="309"/>
      <c r="K3389" s="361">
        <f t="shared" si="391"/>
        <v>0</v>
      </c>
      <c r="L3389" s="437"/>
      <c r="M3389" s="438"/>
      <c r="N3389" s="439"/>
      <c r="O3389" s="437"/>
      <c r="P3389" s="438"/>
      <c r="Q3389" s="442"/>
      <c r="R3389" s="443"/>
      <c r="S3389" s="364"/>
      <c r="Z3389" s="609" t="s">
        <v>3831</v>
      </c>
      <c r="AA3389" s="609" t="s">
        <v>3832</v>
      </c>
    </row>
    <row r="3390" spans="1:27" ht="18">
      <c r="A3390" s="2714"/>
      <c r="B3390" s="371">
        <v>107</v>
      </c>
      <c r="C3390" s="371" t="s">
        <v>2791</v>
      </c>
      <c r="D3390" s="2716">
        <f t="shared" si="390"/>
        <v>0</v>
      </c>
      <c r="E3390" s="2721">
        <v>0</v>
      </c>
      <c r="F3390" s="293"/>
      <c r="G3390" s="319" t="s">
        <v>2792</v>
      </c>
      <c r="H3390" s="1465">
        <v>0</v>
      </c>
      <c r="I3390" s="309"/>
      <c r="J3390" s="309"/>
      <c r="K3390" s="361">
        <f t="shared" si="391"/>
        <v>0</v>
      </c>
      <c r="L3390" s="437"/>
      <c r="M3390" s="438"/>
      <c r="N3390" s="439"/>
      <c r="O3390" s="437"/>
      <c r="P3390" s="438"/>
      <c r="Q3390" s="442"/>
      <c r="R3390" s="443"/>
      <c r="S3390" s="364"/>
      <c r="Z3390" s="609" t="s">
        <v>3831</v>
      </c>
      <c r="AA3390" s="609" t="s">
        <v>3832</v>
      </c>
    </row>
    <row r="3391" spans="1:27" ht="18">
      <c r="A3391" s="2714"/>
      <c r="B3391" s="371">
        <v>108</v>
      </c>
      <c r="C3391" s="371" t="s">
        <v>2791</v>
      </c>
      <c r="D3391" s="2716">
        <f t="shared" si="390"/>
        <v>0</v>
      </c>
      <c r="E3391" s="2721">
        <v>0</v>
      </c>
      <c r="F3391" s="293"/>
      <c r="G3391" s="319" t="s">
        <v>2792</v>
      </c>
      <c r="H3391" s="1465">
        <v>0</v>
      </c>
      <c r="I3391" s="309"/>
      <c r="J3391" s="309"/>
      <c r="K3391" s="361">
        <f t="shared" si="391"/>
        <v>0</v>
      </c>
      <c r="L3391" s="437"/>
      <c r="M3391" s="438"/>
      <c r="N3391" s="439"/>
      <c r="O3391" s="437"/>
      <c r="P3391" s="438"/>
      <c r="Q3391" s="442"/>
      <c r="R3391" s="443"/>
      <c r="S3391" s="364"/>
      <c r="Z3391" s="609" t="s">
        <v>3831</v>
      </c>
      <c r="AA3391" s="609" t="s">
        <v>3832</v>
      </c>
    </row>
    <row r="3392" spans="1:27" ht="18.75" thickBot="1">
      <c r="A3392" s="2714"/>
      <c r="B3392" s="371"/>
      <c r="C3392" s="371"/>
      <c r="D3392" s="2716">
        <f t="shared" si="390"/>
        <v>1</v>
      </c>
      <c r="E3392" s="2721" t="s">
        <v>2751</v>
      </c>
      <c r="F3392" s="293"/>
      <c r="G3392" s="2234" t="s">
        <v>2752</v>
      </c>
      <c r="H3392" s="2321">
        <v>0</v>
      </c>
      <c r="I3392" s="2325">
        <f>SUMPRODUCT($E3383:$E3391,I3383:I3391)</f>
        <v>0</v>
      </c>
      <c r="J3392" s="2325">
        <f>SUMPRODUCT($E3383:$E3391,J3383:J3391)</f>
        <v>0</v>
      </c>
      <c r="K3392" s="2342">
        <f>SUMPRODUCT($E3383:$E3391,K3383:K3391)</f>
        <v>0</v>
      </c>
      <c r="L3392" s="437"/>
      <c r="M3392" s="440"/>
      <c r="N3392" s="439"/>
      <c r="O3392" s="437"/>
      <c r="P3392" s="440"/>
      <c r="Q3392" s="442"/>
      <c r="R3392" s="443"/>
      <c r="S3392" s="364"/>
      <c r="Z3392" s="609" t="s">
        <v>3831</v>
      </c>
      <c r="AA3392" s="609" t="s">
        <v>3832</v>
      </c>
    </row>
    <row r="3393" spans="1:27" ht="18">
      <c r="A3393" s="2714"/>
      <c r="B3393" s="371"/>
      <c r="C3393" s="371" t="s">
        <v>2755</v>
      </c>
      <c r="D3393" s="2716"/>
      <c r="F3393" s="293"/>
      <c r="G3393" s="376"/>
      <c r="H3393" s="315"/>
      <c r="I3393" s="396"/>
      <c r="J3393" s="315"/>
      <c r="K3393" s="423"/>
      <c r="L3393" s="427"/>
      <c r="M3393" s="425"/>
      <c r="N3393" s="426"/>
      <c r="O3393" s="427"/>
      <c r="P3393" s="425"/>
      <c r="Q3393" s="442"/>
      <c r="R3393" s="443"/>
      <c r="S3393" s="364"/>
      <c r="Z3393" s="609" t="s">
        <v>3831</v>
      </c>
      <c r="AA3393" s="609" t="s">
        <v>3832</v>
      </c>
    </row>
    <row r="3394" spans="1:27" ht="36">
      <c r="A3394" s="2714" t="s">
        <v>1400</v>
      </c>
      <c r="B3394" s="371">
        <v>2</v>
      </c>
      <c r="C3394" s="371"/>
      <c r="D3394" s="2716" t="str">
        <f>VLOOKUP($A3394,Sheet_NoteList,2,0)</f>
        <v>指定为以公允价值计量且其变动计入当期损益的金融负债公允价值变动情况</v>
      </c>
      <c r="E3394" s="2716" t="s">
        <v>2742</v>
      </c>
      <c r="F3394" s="293"/>
      <c r="G3394" s="372" t="str">
        <f>"("&amp;B3394&amp;")"&amp;D3394</f>
        <v>(2)指定为以公允价值计量且其变动计入当期损益的金融负债公允价值变动情况</v>
      </c>
      <c r="H3394" s="1517" t="str">
        <f>$A3394</f>
        <v>2102b</v>
      </c>
      <c r="I3394" s="343" t="s">
        <v>2743</v>
      </c>
      <c r="J3394" s="301" t="s">
        <v>2744</v>
      </c>
      <c r="K3394" s="2210">
        <f>H3405</f>
        <v>0</v>
      </c>
      <c r="L3394" s="349" t="str">
        <f>IF($I3394="适用",IF(ROUND(K$3380-K3394,2)=0,"F/S",ROUND(K$3380-K3394,2)),"#N/A")</f>
        <v>F/S</v>
      </c>
      <c r="M3394" s="301" t="s">
        <v>2745</v>
      </c>
      <c r="N3394" s="2210">
        <f>I3405</f>
        <v>0</v>
      </c>
      <c r="O3394" s="349" t="str">
        <f>IF($I3394="适用",IF(ROUND(N$3380-N3394,2)=0,"F/S",ROUND(N$3380-N3394,2)),"#N/A")</f>
        <v>F/S</v>
      </c>
      <c r="P3394" s="301"/>
      <c r="S3394" s="364"/>
      <c r="Z3394" s="609" t="s">
        <v>3831</v>
      </c>
      <c r="AA3394" s="609" t="s">
        <v>3832</v>
      </c>
    </row>
    <row r="3395" spans="1:27" ht="0.75" customHeight="1" thickBot="1">
      <c r="A3395" s="2714"/>
      <c r="B3395" s="371"/>
      <c r="C3395" s="371"/>
      <c r="D3395" s="2716"/>
      <c r="F3395" s="371"/>
      <c r="G3395" s="405" t="s">
        <v>3835</v>
      </c>
      <c r="H3395" s="371" t="s">
        <v>2747</v>
      </c>
      <c r="I3395" s="371" t="s">
        <v>2748</v>
      </c>
      <c r="J3395" s="371" t="s">
        <v>2948</v>
      </c>
      <c r="K3395" s="428"/>
      <c r="L3395" s="428"/>
      <c r="M3395" s="433"/>
      <c r="N3395" s="428"/>
      <c r="O3395" s="428"/>
      <c r="P3395" s="433"/>
      <c r="Q3395" s="442"/>
      <c r="R3395" s="443"/>
      <c r="S3395" s="364"/>
      <c r="Z3395" s="609" t="s">
        <v>3831</v>
      </c>
      <c r="AA3395" s="609" t="s">
        <v>3832</v>
      </c>
    </row>
    <row r="3396" spans="1:27" ht="36">
      <c r="A3396" s="2714"/>
      <c r="B3396" s="371"/>
      <c r="C3396" s="371"/>
      <c r="D3396" s="2716"/>
      <c r="E3396" s="2716" t="s">
        <v>2749</v>
      </c>
      <c r="F3396" s="293"/>
      <c r="G3396" s="2305" t="s">
        <v>47</v>
      </c>
      <c r="H3396" s="2397" t="s">
        <v>6071</v>
      </c>
      <c r="I3396" s="2291" t="s">
        <v>3836</v>
      </c>
      <c r="J3396" s="2293" t="s">
        <v>3837</v>
      </c>
      <c r="K3396" s="355" t="s">
        <v>5299</v>
      </c>
      <c r="L3396" s="434"/>
      <c r="M3396" s="435"/>
      <c r="N3396" s="434"/>
      <c r="O3396" s="434"/>
      <c r="P3396" s="435"/>
      <c r="Q3396" s="442"/>
      <c r="R3396" s="443"/>
      <c r="S3396" s="364"/>
      <c r="Z3396" s="609" t="s">
        <v>3831</v>
      </c>
      <c r="AA3396" s="609" t="s">
        <v>3832</v>
      </c>
    </row>
    <row r="3397" spans="1:27" ht="18">
      <c r="A3397" s="2714"/>
      <c r="B3397" s="371">
        <v>101</v>
      </c>
      <c r="C3397" s="371"/>
      <c r="D3397" s="2716">
        <f t="shared" ref="D3397:D3405" si="392">IF(OR(G3397="*",G3397="",G3397=0),0,COUNTIF($G$3397:$G$3405,G3397))</f>
        <v>1</v>
      </c>
      <c r="E3397" s="2721">
        <v>1</v>
      </c>
      <c r="F3397" s="293"/>
      <c r="G3397" s="308" t="s">
        <v>3838</v>
      </c>
      <c r="H3397" s="309"/>
      <c r="I3397" s="422"/>
      <c r="J3397" s="346"/>
      <c r="K3397" s="355" t="s">
        <v>6072</v>
      </c>
      <c r="L3397" s="437"/>
      <c r="M3397" s="438"/>
      <c r="N3397" s="439"/>
      <c r="O3397" s="437"/>
      <c r="P3397" s="438"/>
      <c r="Q3397" s="442"/>
      <c r="R3397" s="443"/>
      <c r="S3397" s="364"/>
      <c r="Z3397" s="609" t="s">
        <v>3831</v>
      </c>
      <c r="AA3397" s="609" t="s">
        <v>3832</v>
      </c>
    </row>
    <row r="3398" spans="1:27" ht="18">
      <c r="A3398" s="2714"/>
      <c r="B3398" s="371">
        <v>102</v>
      </c>
      <c r="C3398" s="371" t="s">
        <v>2791</v>
      </c>
      <c r="D3398" s="2716">
        <f t="shared" si="392"/>
        <v>0</v>
      </c>
      <c r="E3398" s="2721">
        <v>1</v>
      </c>
      <c r="F3398" s="293"/>
      <c r="G3398" s="319" t="s">
        <v>2792</v>
      </c>
      <c r="H3398" s="309"/>
      <c r="I3398" s="422"/>
      <c r="J3398" s="346"/>
      <c r="K3398" s="439"/>
      <c r="L3398" s="437"/>
      <c r="M3398" s="438"/>
      <c r="N3398" s="439"/>
      <c r="O3398" s="437"/>
      <c r="P3398" s="438"/>
      <c r="Q3398" s="442"/>
      <c r="R3398" s="443"/>
      <c r="S3398" s="364"/>
      <c r="Z3398" s="609" t="s">
        <v>3831</v>
      </c>
      <c r="AA3398" s="609" t="s">
        <v>3832</v>
      </c>
    </row>
    <row r="3399" spans="1:27" ht="18">
      <c r="A3399" s="2714"/>
      <c r="B3399" s="371">
        <v>103</v>
      </c>
      <c r="C3399" s="371" t="s">
        <v>2791</v>
      </c>
      <c r="D3399" s="2716">
        <f t="shared" si="392"/>
        <v>0</v>
      </c>
      <c r="E3399" s="2721">
        <v>1</v>
      </c>
      <c r="F3399" s="293"/>
      <c r="G3399" s="319" t="s">
        <v>2792</v>
      </c>
      <c r="H3399" s="309"/>
      <c r="I3399" s="422"/>
      <c r="J3399" s="346"/>
      <c r="K3399" s="439"/>
      <c r="L3399" s="437"/>
      <c r="M3399" s="438"/>
      <c r="N3399" s="439"/>
      <c r="O3399" s="437"/>
      <c r="P3399" s="438"/>
      <c r="Q3399" s="442"/>
      <c r="R3399" s="443"/>
      <c r="S3399" s="364"/>
      <c r="Z3399" s="609" t="s">
        <v>3831</v>
      </c>
      <c r="AA3399" s="609" t="s">
        <v>3832</v>
      </c>
    </row>
    <row r="3400" spans="1:27" ht="18">
      <c r="A3400" s="2714"/>
      <c r="B3400" s="371">
        <v>104</v>
      </c>
      <c r="C3400" s="371" t="s">
        <v>2791</v>
      </c>
      <c r="D3400" s="2716">
        <f t="shared" si="392"/>
        <v>0</v>
      </c>
      <c r="E3400" s="2721">
        <v>1</v>
      </c>
      <c r="F3400" s="293"/>
      <c r="G3400" s="319" t="s">
        <v>2792</v>
      </c>
      <c r="H3400" s="309"/>
      <c r="I3400" s="422"/>
      <c r="J3400" s="346"/>
      <c r="K3400" s="439"/>
      <c r="L3400" s="437"/>
      <c r="M3400" s="438"/>
      <c r="N3400" s="439"/>
      <c r="O3400" s="437"/>
      <c r="P3400" s="438"/>
      <c r="Q3400" s="442"/>
      <c r="R3400" s="443"/>
      <c r="S3400" s="364"/>
      <c r="Z3400" s="609" t="s">
        <v>3831</v>
      </c>
      <c r="AA3400" s="609" t="s">
        <v>3832</v>
      </c>
    </row>
    <row r="3401" spans="1:27" ht="18">
      <c r="A3401" s="2714"/>
      <c r="B3401" s="371">
        <v>105</v>
      </c>
      <c r="C3401" s="371" t="s">
        <v>2791</v>
      </c>
      <c r="D3401" s="2716">
        <f t="shared" si="392"/>
        <v>0</v>
      </c>
      <c r="E3401" s="2721">
        <v>1</v>
      </c>
      <c r="F3401" s="293"/>
      <c r="G3401" s="319" t="s">
        <v>2792</v>
      </c>
      <c r="H3401" s="309"/>
      <c r="I3401" s="422"/>
      <c r="J3401" s="346"/>
      <c r="K3401" s="439"/>
      <c r="L3401" s="437"/>
      <c r="M3401" s="438"/>
      <c r="N3401" s="439"/>
      <c r="O3401" s="437"/>
      <c r="P3401" s="438"/>
      <c r="Q3401" s="442"/>
      <c r="R3401" s="443"/>
      <c r="S3401" s="364"/>
      <c r="Z3401" s="609" t="s">
        <v>3831</v>
      </c>
      <c r="AA3401" s="609" t="s">
        <v>3832</v>
      </c>
    </row>
    <row r="3402" spans="1:27" ht="18">
      <c r="A3402" s="2714"/>
      <c r="B3402" s="371">
        <v>106</v>
      </c>
      <c r="C3402" s="371" t="s">
        <v>2791</v>
      </c>
      <c r="D3402" s="2716">
        <f t="shared" si="392"/>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107</v>
      </c>
      <c r="C3403" s="371" t="s">
        <v>2791</v>
      </c>
      <c r="D3403" s="2716">
        <f t="shared" si="392"/>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108</v>
      </c>
      <c r="C3404" s="371" t="s">
        <v>2791</v>
      </c>
      <c r="D3404" s="2716">
        <f t="shared" si="392"/>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75" thickBot="1">
      <c r="A3405" s="2714"/>
      <c r="B3405" s="371"/>
      <c r="C3405" s="371"/>
      <c r="D3405" s="2716">
        <f t="shared" si="392"/>
        <v>1</v>
      </c>
      <c r="E3405" s="2721" t="s">
        <v>2751</v>
      </c>
      <c r="F3405" s="293"/>
      <c r="G3405" s="2234" t="s">
        <v>2752</v>
      </c>
      <c r="H3405" s="2325">
        <f>SUMPRODUCT($E3396:$E3404,H3396:H3404)</f>
        <v>0</v>
      </c>
      <c r="I3405" s="2325">
        <f>SUMPRODUCT($E3396:$E3404,I3396:I3404)</f>
        <v>0</v>
      </c>
      <c r="J3405" s="2342">
        <f>SUMPRODUCT($E3396:$E3404,J3396:J3404)</f>
        <v>0</v>
      </c>
      <c r="K3405" s="439"/>
      <c r="L3405" s="437"/>
      <c r="M3405" s="440"/>
      <c r="N3405" s="439"/>
      <c r="O3405" s="437"/>
      <c r="P3405" s="440"/>
      <c r="Q3405" s="442"/>
      <c r="R3405" s="443"/>
      <c r="S3405" s="364"/>
      <c r="Z3405" s="609" t="s">
        <v>3831</v>
      </c>
      <c r="AA3405" s="609" t="s">
        <v>3832</v>
      </c>
    </row>
    <row r="3406" spans="1:27" ht="60.75" thickBot="1">
      <c r="A3406" s="2714"/>
      <c r="B3406" s="371">
        <v>901</v>
      </c>
      <c r="C3406" s="371"/>
      <c r="D3406" s="371"/>
      <c r="E3406" s="2716" t="s">
        <v>2753</v>
      </c>
      <c r="F3406" s="294"/>
      <c r="G3406" s="2396" t="s">
        <v>6069</v>
      </c>
      <c r="H3406" s="2395"/>
      <c r="I3406" s="432"/>
      <c r="J3406" s="425"/>
      <c r="K3406" s="355" t="s">
        <v>6070</v>
      </c>
      <c r="L3406" s="427"/>
      <c r="M3406" s="425"/>
      <c r="N3406" s="426"/>
      <c r="O3406" s="427"/>
      <c r="P3406" s="425"/>
      <c r="S3406" s="364"/>
      <c r="Z3406" s="609" t="s">
        <v>3831</v>
      </c>
      <c r="AA3406" s="609" t="s">
        <v>3832</v>
      </c>
    </row>
    <row r="3407" spans="1:27" ht="18">
      <c r="A3407" s="2714"/>
      <c r="B3407" s="371"/>
      <c r="C3407" s="371" t="s">
        <v>2755</v>
      </c>
      <c r="D3407" s="2716"/>
      <c r="F3407" s="293"/>
      <c r="G3407" s="376"/>
      <c r="H3407" s="315"/>
      <c r="I3407" s="396"/>
      <c r="J3407" s="315"/>
      <c r="K3407" s="426"/>
      <c r="L3407" s="427"/>
      <c r="M3407" s="425"/>
      <c r="N3407" s="426"/>
      <c r="O3407" s="427"/>
      <c r="P3407" s="425"/>
      <c r="Q3407" s="442"/>
      <c r="R3407" s="443"/>
      <c r="S3407" s="364"/>
      <c r="Z3407" s="609" t="s">
        <v>3831</v>
      </c>
      <c r="AA3407" s="609" t="s">
        <v>3832</v>
      </c>
    </row>
    <row r="3408" spans="1:27" ht="24">
      <c r="A3408" s="2714">
        <v>2101</v>
      </c>
      <c r="B3408" s="371">
        <v>35</v>
      </c>
      <c r="C3408" s="2716" t="str">
        <f>VLOOKUP($A3408,Sheet_Items,2,0)</f>
        <v>以公允价值计量且其变动计入当期损益的金融负债</v>
      </c>
      <c r="D3408" s="371"/>
      <c r="E3408" s="2716" t="s">
        <v>2739</v>
      </c>
      <c r="F3408" s="294"/>
      <c r="G3408" s="305" t="str">
        <f>B3408&amp;" "&amp;C3408</f>
        <v>35 以公允价值计量且其变动计入当期损益的金融负债</v>
      </c>
      <c r="H3408" s="306"/>
      <c r="I3408" s="306"/>
      <c r="J3408" s="306" t="s">
        <v>2740</v>
      </c>
      <c r="K3408" s="341">
        <f>VLOOKUP($A3408,Sheet_Trialbal,6,0)</f>
        <v>0</v>
      </c>
      <c r="L3408" s="342"/>
      <c r="M3408" s="306" t="s">
        <v>2741</v>
      </c>
      <c r="N3408" s="341">
        <f>VLOOKUP($A3408,Sheet_Trialbal,10,0)</f>
        <v>0</v>
      </c>
      <c r="O3408" s="306"/>
      <c r="P3408" s="301"/>
      <c r="S3408" s="364"/>
      <c r="Z3408" s="609" t="s">
        <v>3839</v>
      </c>
      <c r="AA3408" s="2720" t="s">
        <v>6577</v>
      </c>
    </row>
    <row r="3409" spans="1:27" ht="36">
      <c r="A3409" s="2714" t="s">
        <v>1390</v>
      </c>
      <c r="B3409" s="371">
        <v>1</v>
      </c>
      <c r="C3409" s="371"/>
      <c r="D3409" s="2716" t="str">
        <f>VLOOKUP($A3409,Sheet_NoteList,2,0)</f>
        <v>以公允价值计量且其变动计入当期损益的金融负债明细列示</v>
      </c>
      <c r="E3409" s="2716" t="s">
        <v>2742</v>
      </c>
      <c r="F3409" s="294"/>
      <c r="G3409" s="372" t="str">
        <f>"("&amp;B3409&amp;")"&amp;D3409</f>
        <v>(1)以公允价值计量且其变动计入当期损益的金融负债明细列示</v>
      </c>
      <c r="H3409" s="1517" t="str">
        <f>$A3409</f>
        <v>2101a</v>
      </c>
      <c r="I3409" s="343" t="s">
        <v>2743</v>
      </c>
      <c r="J3409" s="301" t="s">
        <v>2744</v>
      </c>
      <c r="K3409" s="2210">
        <f>H3418</f>
        <v>0</v>
      </c>
      <c r="L3409" s="345" t="str">
        <f>IF($I3409="适用",IF(ROUND(K3408-K3409,2)=0,"F/S",ROUND(K3408-K3409,2)),"#N/A")</f>
        <v>F/S</v>
      </c>
      <c r="M3409" s="301" t="s">
        <v>2745</v>
      </c>
      <c r="N3409" s="2210">
        <f>I3418</f>
        <v>0</v>
      </c>
      <c r="O3409" s="345" t="str">
        <f>IF($I3409="适用",IF(ROUND(N3408-N3409,2)=0,"F/S",ROUND(N3408-N3409,2)),"#N/A")</f>
        <v>F/S</v>
      </c>
      <c r="P3409" s="301"/>
      <c r="Q3409" s="290" t="str">
        <f>IF($I3409="不适用","",IF(ROUND(SUM($H$3412:$I$3418),2)=0,"请输入",""))</f>
        <v>请输入</v>
      </c>
      <c r="S3409" s="364"/>
      <c r="Z3409" s="609" t="s">
        <v>3839</v>
      </c>
      <c r="AA3409" s="2720" t="s">
        <v>6577</v>
      </c>
    </row>
    <row r="3410" spans="1:27" ht="0.75" customHeight="1" thickBot="1">
      <c r="A3410" s="2714"/>
      <c r="B3410" s="371"/>
      <c r="C3410" s="371"/>
      <c r="D3410" s="371"/>
      <c r="E3410" s="586"/>
      <c r="F3410" s="586"/>
      <c r="G3410" s="586" t="s">
        <v>3840</v>
      </c>
      <c r="H3410" s="371" t="s">
        <v>2833</v>
      </c>
      <c r="I3410" s="371" t="s">
        <v>2834</v>
      </c>
      <c r="J3410" s="291"/>
      <c r="K3410" s="291"/>
      <c r="L3410" s="291"/>
      <c r="M3410" s="291"/>
      <c r="S3410" s="364"/>
      <c r="Z3410" s="609" t="s">
        <v>3839</v>
      </c>
      <c r="AA3410" s="2720" t="s">
        <v>6577</v>
      </c>
    </row>
    <row r="3411" spans="1:27" ht="18">
      <c r="A3411" s="2714"/>
      <c r="B3411" s="371"/>
      <c r="C3411" s="371"/>
      <c r="D3411" s="371"/>
      <c r="E3411" s="586" t="s">
        <v>2749</v>
      </c>
      <c r="F3411" s="363"/>
      <c r="G3411" s="2541" t="s">
        <v>47</v>
      </c>
      <c r="H3411" s="2553" t="str">
        <f>$V$2</f>
        <v>2019年12月31日</v>
      </c>
      <c r="I3411" s="2554" t="str">
        <f>$V$3</f>
        <v>2018年12月31日</v>
      </c>
      <c r="J3411" s="355" t="s">
        <v>5300</v>
      </c>
      <c r="K3411" s="291"/>
      <c r="L3411" s="291"/>
      <c r="M3411" s="291"/>
      <c r="S3411" s="364"/>
      <c r="Z3411" s="609" t="s">
        <v>3839</v>
      </c>
      <c r="AA3411" s="2720" t="s">
        <v>6577</v>
      </c>
    </row>
    <row r="3412" spans="1:27" ht="18">
      <c r="A3412" s="2714"/>
      <c r="B3412" s="371">
        <v>101</v>
      </c>
      <c r="C3412" s="371"/>
      <c r="D3412" s="2716">
        <f t="shared" ref="D3412:D3418" si="393">IF(OR(G3412="*",G3412="",G3412=0),0,COUNTIF($G$3412:$G$3418,G3412))</f>
        <v>1</v>
      </c>
      <c r="E3412" s="2721" t="s">
        <v>41</v>
      </c>
      <c r="F3412" s="294"/>
      <c r="G3412" s="1474" t="s">
        <v>462</v>
      </c>
      <c r="H3412" s="2299">
        <v>0</v>
      </c>
      <c r="I3412" s="2296"/>
      <c r="J3412" s="291"/>
      <c r="K3412" s="291"/>
      <c r="L3412" s="291"/>
      <c r="M3412" s="291"/>
      <c r="S3412" s="364"/>
      <c r="Z3412" s="609" t="s">
        <v>3839</v>
      </c>
      <c r="AA3412" s="2720" t="s">
        <v>6577</v>
      </c>
    </row>
    <row r="3413" spans="1:27" ht="18">
      <c r="A3413" s="2714"/>
      <c r="B3413" s="371">
        <v>102</v>
      </c>
      <c r="C3413" s="371"/>
      <c r="D3413" s="2716">
        <f t="shared" si="393"/>
        <v>1</v>
      </c>
      <c r="E3413" s="2721">
        <v>1</v>
      </c>
      <c r="F3413" s="294"/>
      <c r="G3413" s="1474" t="s">
        <v>3841</v>
      </c>
      <c r="H3413" s="2299">
        <v>0</v>
      </c>
      <c r="I3413" s="2296"/>
      <c r="J3413" s="291"/>
      <c r="K3413" s="291"/>
      <c r="L3413" s="291"/>
      <c r="M3413" s="291"/>
      <c r="S3413" s="364"/>
      <c r="Z3413" s="609" t="s">
        <v>3839</v>
      </c>
      <c r="AA3413" s="2720" t="s">
        <v>6577</v>
      </c>
    </row>
    <row r="3414" spans="1:27" ht="18">
      <c r="A3414" s="2714"/>
      <c r="B3414" s="371">
        <v>103</v>
      </c>
      <c r="C3414" s="371" t="s">
        <v>2791</v>
      </c>
      <c r="D3414" s="2716">
        <f t="shared" si="393"/>
        <v>1</v>
      </c>
      <c r="E3414" s="2721">
        <v>1</v>
      </c>
      <c r="F3414" s="294"/>
      <c r="G3414" s="578" t="s">
        <v>467</v>
      </c>
      <c r="H3414" s="2299">
        <v>0</v>
      </c>
      <c r="I3414" s="2296"/>
      <c r="J3414" s="355" t="s">
        <v>6123</v>
      </c>
      <c r="K3414" s="291"/>
      <c r="L3414" s="291"/>
      <c r="M3414" s="291"/>
      <c r="S3414" s="364"/>
      <c r="Z3414" s="609" t="s">
        <v>3839</v>
      </c>
      <c r="AA3414" s="2720" t="s">
        <v>6577</v>
      </c>
    </row>
    <row r="3415" spans="1:27" ht="18">
      <c r="A3415" s="2714"/>
      <c r="B3415" s="371">
        <v>104</v>
      </c>
      <c r="C3415" s="371"/>
      <c r="D3415" s="2716">
        <f t="shared" si="393"/>
        <v>1</v>
      </c>
      <c r="E3415" s="2721">
        <v>1</v>
      </c>
      <c r="F3415" s="294"/>
      <c r="G3415" s="603" t="s">
        <v>932</v>
      </c>
      <c r="H3415" s="2299">
        <v>0</v>
      </c>
      <c r="I3415" s="2296"/>
      <c r="J3415" s="291"/>
      <c r="K3415" s="291"/>
      <c r="L3415" s="291"/>
      <c r="M3415" s="291"/>
      <c r="S3415" s="364"/>
      <c r="Z3415" s="609" t="s">
        <v>3839</v>
      </c>
      <c r="AA3415" s="2720" t="s">
        <v>6577</v>
      </c>
    </row>
    <row r="3416" spans="1:27" ht="24">
      <c r="A3416" s="2714"/>
      <c r="B3416" s="371">
        <v>105</v>
      </c>
      <c r="C3416" s="371"/>
      <c r="D3416" s="2716">
        <f t="shared" si="393"/>
        <v>1</v>
      </c>
      <c r="E3416" s="2721">
        <v>1</v>
      </c>
      <c r="F3416" s="294"/>
      <c r="G3416" s="1474" t="s">
        <v>3842</v>
      </c>
      <c r="H3416" s="2299">
        <v>0</v>
      </c>
      <c r="I3416" s="2296"/>
      <c r="J3416" s="291"/>
      <c r="K3416" s="291"/>
      <c r="L3416" s="291"/>
      <c r="M3416" s="291"/>
      <c r="S3416" s="364"/>
      <c r="Z3416" s="609" t="s">
        <v>3839</v>
      </c>
      <c r="AA3416" s="2720" t="s">
        <v>6577</v>
      </c>
    </row>
    <row r="3417" spans="1:27" ht="18">
      <c r="A3417" s="2714"/>
      <c r="B3417" s="371">
        <v>106</v>
      </c>
      <c r="C3417" s="371" t="s">
        <v>2791</v>
      </c>
      <c r="D3417" s="2716">
        <f t="shared" si="393"/>
        <v>0</v>
      </c>
      <c r="E3417" s="2721">
        <v>1</v>
      </c>
      <c r="F3417" s="294"/>
      <c r="G3417" s="2548" t="s">
        <v>2792</v>
      </c>
      <c r="H3417" s="2299">
        <v>0</v>
      </c>
      <c r="I3417" s="2296"/>
      <c r="J3417" s="291"/>
      <c r="K3417" s="291"/>
      <c r="L3417" s="291"/>
      <c r="M3417" s="291"/>
      <c r="S3417" s="364"/>
      <c r="Z3417" s="609" t="s">
        <v>3839</v>
      </c>
      <c r="AA3417" s="2720" t="s">
        <v>6577</v>
      </c>
    </row>
    <row r="3418" spans="1:27" ht="18.75" thickBot="1">
      <c r="A3418" s="2714"/>
      <c r="B3418" s="371"/>
      <c r="C3418" s="371"/>
      <c r="D3418" s="2716">
        <f t="shared" si="393"/>
        <v>1</v>
      </c>
      <c r="E3418" s="2721" t="s">
        <v>2751</v>
      </c>
      <c r="F3418" s="294"/>
      <c r="G3418" s="374" t="s">
        <v>2752</v>
      </c>
      <c r="H3418" s="1478">
        <f>SUMPRODUCT($E3411:$E3417,H3411:H3417)</f>
        <v>0</v>
      </c>
      <c r="I3418" s="1479">
        <f>SUMPRODUCT($E3411:$E3417,I3411:I3417)</f>
        <v>0</v>
      </c>
      <c r="J3418" s="291"/>
      <c r="K3418" s="291"/>
      <c r="L3418" s="291"/>
      <c r="M3418" s="291"/>
      <c r="S3418" s="364"/>
      <c r="Z3418" s="609" t="s">
        <v>3839</v>
      </c>
      <c r="AA3418" s="2720" t="s">
        <v>6577</v>
      </c>
    </row>
    <row r="3419" spans="1:27" ht="18">
      <c r="A3419" s="2714"/>
      <c r="B3419" s="371"/>
      <c r="C3419" s="371" t="s">
        <v>2755</v>
      </c>
      <c r="D3419" s="371"/>
      <c r="F3419" s="294"/>
      <c r="G3419" s="301"/>
      <c r="H3419" s="315"/>
      <c r="I3419" s="315"/>
      <c r="J3419" s="291"/>
      <c r="K3419" s="291"/>
      <c r="L3419" s="291"/>
      <c r="M3419" s="291"/>
      <c r="S3419" s="364"/>
      <c r="Z3419" s="609" t="s">
        <v>3839</v>
      </c>
      <c r="AA3419" s="2720" t="s">
        <v>6577</v>
      </c>
    </row>
    <row r="3420" spans="1:27" ht="18">
      <c r="A3420" s="2714">
        <v>2115</v>
      </c>
      <c r="B3420" s="371">
        <v>36</v>
      </c>
      <c r="C3420" s="2716" t="str">
        <f>VLOOKUP($A3420,Sheet_Items,2,0)</f>
        <v>衍生金融负债</v>
      </c>
      <c r="D3420" s="371"/>
      <c r="E3420" s="2716" t="s">
        <v>2739</v>
      </c>
      <c r="F3420" s="294"/>
      <c r="G3420" s="305" t="str">
        <f>B3420&amp;" "&amp;C3420</f>
        <v>36 衍生金融负债</v>
      </c>
      <c r="H3420" s="306"/>
      <c r="I3420" s="306"/>
      <c r="J3420" s="306" t="s">
        <v>2740</v>
      </c>
      <c r="K3420" s="341">
        <f>VLOOKUP($A3420,Sheet_Trialbal,6,0)</f>
        <v>0</v>
      </c>
      <c r="L3420" s="342"/>
      <c r="M3420" s="306" t="s">
        <v>2741</v>
      </c>
      <c r="N3420" s="341">
        <f>VLOOKUP($A3420,Sheet_Trialbal,10,0)</f>
        <v>0</v>
      </c>
      <c r="O3420" s="306"/>
      <c r="P3420" s="301"/>
      <c r="S3420" s="364"/>
      <c r="Z3420" s="609" t="s">
        <v>3843</v>
      </c>
      <c r="AA3420" s="609" t="s">
        <v>5673</v>
      </c>
    </row>
    <row r="3421" spans="1:27" ht="18">
      <c r="A3421" s="2714" t="s">
        <v>1405</v>
      </c>
      <c r="B3421" s="371">
        <v>1</v>
      </c>
      <c r="C3421" s="371"/>
      <c r="D3421" s="2716" t="str">
        <f>VLOOKUP($A3421,Sheet_NoteList,2,0)</f>
        <v>衍生金融负债明细列示</v>
      </c>
      <c r="E3421" s="2716" t="s">
        <v>2742</v>
      </c>
      <c r="F3421" s="294"/>
      <c r="G3421" s="372" t="str">
        <f>"("&amp;B3421&amp;")"&amp;D3421</f>
        <v>(1)衍生金融负债明细列示</v>
      </c>
      <c r="H3421" s="1517" t="str">
        <f>$A3421</f>
        <v>2115a</v>
      </c>
      <c r="I3421" s="343" t="s">
        <v>2743</v>
      </c>
      <c r="J3421" s="301" t="s">
        <v>2744</v>
      </c>
      <c r="K3421" s="2210">
        <f>H3429</f>
        <v>0</v>
      </c>
      <c r="L3421" s="345" t="str">
        <f>IF($I3421="适用",IF(ROUND(K3420-K3421,2)=0,"F/S",ROUND(K3420-K3421,2)),"#N/A")</f>
        <v>F/S</v>
      </c>
      <c r="M3421" s="301" t="s">
        <v>2745</v>
      </c>
      <c r="N3421" s="2210">
        <f>I3429</f>
        <v>0</v>
      </c>
      <c r="O3421" s="345" t="str">
        <f>IF($I3421="适用",IF(ROUND(N3420-N3421,2)=0,"F/S",ROUND(N3420-N3421,2)),"#N/A")</f>
        <v>F/S</v>
      </c>
      <c r="P3421" s="301"/>
      <c r="Q3421" s="290" t="str">
        <f>IF($I3421="不适用","",IF(ROUND(SUM($H$3424:$I$3429),2)=0,"请输入",""))</f>
        <v>请输入</v>
      </c>
      <c r="S3421" s="364"/>
      <c r="Z3421" s="609" t="s">
        <v>3843</v>
      </c>
      <c r="AA3421" s="609" t="s">
        <v>5673</v>
      </c>
    </row>
    <row r="3422" spans="1:27" ht="0.75" customHeight="1" thickBot="1">
      <c r="A3422" s="2714"/>
      <c r="B3422" s="371"/>
      <c r="C3422" s="371"/>
      <c r="D3422" s="371"/>
      <c r="F3422" s="304"/>
      <c r="G3422" s="304" t="s">
        <v>3844</v>
      </c>
      <c r="H3422" s="304" t="s">
        <v>2833</v>
      </c>
      <c r="I3422" s="304" t="s">
        <v>2834</v>
      </c>
      <c r="J3422" s="291"/>
      <c r="K3422" s="291"/>
      <c r="L3422" s="291"/>
      <c r="M3422" s="291"/>
      <c r="S3422" s="364"/>
      <c r="Z3422" s="609" t="s">
        <v>3843</v>
      </c>
      <c r="AA3422" s="609" t="s">
        <v>5673</v>
      </c>
    </row>
    <row r="3423" spans="1:27" ht="18">
      <c r="A3423" s="2714"/>
      <c r="B3423" s="371"/>
      <c r="C3423" s="371"/>
      <c r="D3423" s="371"/>
      <c r="E3423" s="2716" t="s">
        <v>2749</v>
      </c>
      <c r="F3423" s="294"/>
      <c r="G3423" s="410" t="s">
        <v>47</v>
      </c>
      <c r="H3423" s="1454" t="str">
        <f>$V$2</f>
        <v>2019年12月31日</v>
      </c>
      <c r="I3423" s="1455" t="str">
        <f>$V$3</f>
        <v>2018年12月31日</v>
      </c>
      <c r="J3423" s="355" t="s">
        <v>5301</v>
      </c>
      <c r="K3423" s="291"/>
      <c r="L3423" s="291"/>
      <c r="M3423" s="291"/>
      <c r="S3423" s="364"/>
      <c r="Z3423" s="609" t="s">
        <v>3843</v>
      </c>
      <c r="AA3423" s="609" t="s">
        <v>5673</v>
      </c>
    </row>
    <row r="3424" spans="1:27" ht="18">
      <c r="A3424" s="2714"/>
      <c r="B3424" s="371">
        <v>101</v>
      </c>
      <c r="C3424" s="371" t="s">
        <v>2791</v>
      </c>
      <c r="D3424" s="2716">
        <f t="shared" ref="D3424:D3429" si="394">IF(OR(G3424="*",G3424="",G3424=0),0,COUNTIF($G$3424:$G$3429,G3424))</f>
        <v>0</v>
      </c>
      <c r="E3424" s="2721">
        <v>1</v>
      </c>
      <c r="F3424" s="294"/>
      <c r="G3424" s="319" t="s">
        <v>2792</v>
      </c>
      <c r="H3424" s="320"/>
      <c r="I3424" s="361"/>
      <c r="J3424" s="291"/>
      <c r="K3424" s="291"/>
      <c r="L3424" s="291"/>
      <c r="M3424" s="291"/>
      <c r="S3424" s="364"/>
      <c r="Z3424" s="609" t="s">
        <v>3843</v>
      </c>
      <c r="AA3424" s="609" t="s">
        <v>5673</v>
      </c>
    </row>
    <row r="3425" spans="1:31" ht="18">
      <c r="A3425" s="2714"/>
      <c r="B3425" s="371">
        <v>102</v>
      </c>
      <c r="C3425" s="371" t="s">
        <v>2791</v>
      </c>
      <c r="D3425" s="2716">
        <f t="shared" si="394"/>
        <v>0</v>
      </c>
      <c r="E3425" s="2721">
        <v>1</v>
      </c>
      <c r="F3425" s="294"/>
      <c r="G3425" s="319" t="s">
        <v>2792</v>
      </c>
      <c r="H3425" s="309"/>
      <c r="I3425" s="346"/>
      <c r="J3425" s="291"/>
      <c r="K3425" s="291"/>
      <c r="L3425" s="291"/>
      <c r="M3425" s="291"/>
      <c r="S3425" s="364"/>
      <c r="Z3425" s="609" t="s">
        <v>3843</v>
      </c>
      <c r="AA3425" s="609" t="s">
        <v>5673</v>
      </c>
    </row>
    <row r="3426" spans="1:31" ht="18">
      <c r="A3426" s="2714"/>
      <c r="B3426" s="371">
        <v>103</v>
      </c>
      <c r="C3426" s="371" t="s">
        <v>2791</v>
      </c>
      <c r="D3426" s="2716">
        <f t="shared" si="394"/>
        <v>0</v>
      </c>
      <c r="E3426" s="2721">
        <v>1</v>
      </c>
      <c r="F3426" s="294"/>
      <c r="G3426" s="319" t="s">
        <v>2792</v>
      </c>
      <c r="H3426" s="309"/>
      <c r="I3426" s="346"/>
      <c r="J3426" s="291"/>
      <c r="K3426" s="291"/>
      <c r="L3426" s="291"/>
      <c r="M3426" s="291"/>
      <c r="S3426" s="364"/>
      <c r="Z3426" s="609" t="s">
        <v>3843</v>
      </c>
      <c r="AA3426" s="609" t="s">
        <v>5673</v>
      </c>
    </row>
    <row r="3427" spans="1:31" ht="18">
      <c r="A3427" s="2714"/>
      <c r="B3427" s="371">
        <v>104</v>
      </c>
      <c r="C3427" s="371" t="s">
        <v>2791</v>
      </c>
      <c r="D3427" s="2716">
        <f t="shared" si="394"/>
        <v>0</v>
      </c>
      <c r="E3427" s="2721">
        <v>1</v>
      </c>
      <c r="F3427" s="294"/>
      <c r="G3427" s="319" t="s">
        <v>2792</v>
      </c>
      <c r="H3427" s="309"/>
      <c r="I3427" s="346"/>
      <c r="J3427" s="291"/>
      <c r="K3427" s="291"/>
      <c r="L3427" s="291"/>
      <c r="M3427" s="291"/>
      <c r="S3427" s="364"/>
      <c r="Z3427" s="609" t="s">
        <v>3843</v>
      </c>
      <c r="AA3427" s="609" t="s">
        <v>5673</v>
      </c>
    </row>
    <row r="3428" spans="1:31" ht="18">
      <c r="A3428" s="2714"/>
      <c r="B3428" s="371">
        <v>105</v>
      </c>
      <c r="C3428" s="371" t="s">
        <v>2791</v>
      </c>
      <c r="D3428" s="2716">
        <f t="shared" si="394"/>
        <v>0</v>
      </c>
      <c r="E3428" s="2721">
        <v>1</v>
      </c>
      <c r="F3428" s="294"/>
      <c r="G3428" s="319" t="s">
        <v>2792</v>
      </c>
      <c r="H3428" s="309"/>
      <c r="I3428" s="346"/>
      <c r="J3428" s="291"/>
      <c r="K3428" s="291"/>
      <c r="L3428" s="291"/>
      <c r="M3428" s="291"/>
      <c r="S3428" s="364"/>
      <c r="Z3428" s="609" t="s">
        <v>3843</v>
      </c>
      <c r="AA3428" s="609" t="s">
        <v>5673</v>
      </c>
    </row>
    <row r="3429" spans="1:31" ht="18.75" thickBot="1">
      <c r="A3429" s="2714"/>
      <c r="B3429" s="371"/>
      <c r="C3429" s="371"/>
      <c r="D3429" s="2716">
        <f t="shared" si="394"/>
        <v>1</v>
      </c>
      <c r="E3429" s="2721" t="s">
        <v>2751</v>
      </c>
      <c r="F3429" s="294"/>
      <c r="G3429" s="374" t="s">
        <v>2752</v>
      </c>
      <c r="H3429" s="596">
        <f>SUMPRODUCT($E3423:$E3428,H3423:H3428)</f>
        <v>0</v>
      </c>
      <c r="I3429" s="599">
        <f>SUMPRODUCT($E3423:$E3428,I3423:I3428)</f>
        <v>0</v>
      </c>
      <c r="J3429" s="291"/>
      <c r="K3429" s="291"/>
      <c r="L3429" s="291"/>
      <c r="M3429" s="291"/>
      <c r="S3429" s="364"/>
      <c r="Z3429" s="609" t="s">
        <v>3843</v>
      </c>
      <c r="AA3429" s="609" t="s">
        <v>5673</v>
      </c>
    </row>
    <row r="3430" spans="1:31" ht="18">
      <c r="A3430" s="2714"/>
      <c r="B3430" s="371"/>
      <c r="C3430" s="371" t="s">
        <v>2755</v>
      </c>
      <c r="D3430" s="371"/>
      <c r="F3430" s="294"/>
      <c r="G3430" s="301"/>
      <c r="H3430" s="315"/>
      <c r="I3430" s="315"/>
      <c r="J3430" s="291"/>
      <c r="K3430" s="291"/>
      <c r="L3430" s="291"/>
      <c r="M3430" s="291"/>
      <c r="S3430" s="364"/>
      <c r="Z3430" s="609" t="s">
        <v>3843</v>
      </c>
      <c r="AA3430" s="609" t="s">
        <v>5673</v>
      </c>
    </row>
    <row r="3431" spans="1:31" ht="18">
      <c r="A3431" s="2714">
        <v>2201</v>
      </c>
      <c r="B3431" s="371">
        <v>37</v>
      </c>
      <c r="C3431" s="2716" t="str">
        <f>VLOOKUP($A3431,Sheet_Items,2,0)</f>
        <v>应付票据</v>
      </c>
      <c r="D3431" s="371"/>
      <c r="E3431" s="2716" t="s">
        <v>2739</v>
      </c>
      <c r="F3431" s="294"/>
      <c r="G3431" s="305" t="str">
        <f>B3431&amp;" "&amp;C3431</f>
        <v>37 应付票据</v>
      </c>
      <c r="H3431" s="306"/>
      <c r="I3431" s="306"/>
      <c r="J3431" s="306" t="s">
        <v>2740</v>
      </c>
      <c r="K3431" s="341">
        <f>VLOOKUP($A3431,Sheet_Trialbal,6,0)</f>
        <v>0</v>
      </c>
      <c r="L3431" s="342"/>
      <c r="M3431" s="306" t="s">
        <v>2741</v>
      </c>
      <c r="N3431" s="341">
        <f>VLOOKUP($A3431,Sheet_Trialbal,10,0)</f>
        <v>0</v>
      </c>
      <c r="O3431" s="306"/>
      <c r="P3431" s="301"/>
      <c r="S3431" s="364"/>
      <c r="Z3431" s="609" t="s">
        <v>3845</v>
      </c>
      <c r="AA3431" s="609" t="s">
        <v>5674</v>
      </c>
    </row>
    <row r="3432" spans="1:31" ht="18">
      <c r="A3432" s="2714" t="s">
        <v>1410</v>
      </c>
      <c r="B3432" s="371">
        <v>1</v>
      </c>
      <c r="C3432" s="371"/>
      <c r="D3432" s="2716" t="str">
        <f>VLOOKUP($A3432,Sheet_NoteList,2,0)</f>
        <v>应付票据明细项目</v>
      </c>
      <c r="E3432" s="2716" t="s">
        <v>2742</v>
      </c>
      <c r="F3432" s="294"/>
      <c r="G3432" s="307" t="str">
        <f>"("&amp;B3432&amp;")"&amp;D3432</f>
        <v>(1)应付票据明细项目</v>
      </c>
      <c r="H3432" s="1517" t="str">
        <f>$A3432</f>
        <v>2201a</v>
      </c>
      <c r="I3432" s="343" t="s">
        <v>2743</v>
      </c>
      <c r="J3432" s="301" t="s">
        <v>2744</v>
      </c>
      <c r="K3432" s="2210">
        <f>H3439</f>
        <v>0</v>
      </c>
      <c r="L3432" s="345" t="str">
        <f>IF($I3432="适用",IF(ROUND(K3431-K3432,2)=0,"F/S",ROUND(K3431-K3432,2)),"#N/A")</f>
        <v>F/S</v>
      </c>
      <c r="M3432" s="301" t="s">
        <v>2745</v>
      </c>
      <c r="N3432" s="2210">
        <f>I3439</f>
        <v>0</v>
      </c>
      <c r="O3432" s="345" t="str">
        <f>IF($I3432="适用",IF(ROUND(N3431-N3432,2)=0,"F/S",ROUND(N3431-N3432,2)),"#N/A")</f>
        <v>F/S</v>
      </c>
      <c r="P3432" s="301"/>
      <c r="Q3432" s="290" t="str">
        <f>IF($I3432="不适用","",IF(ROUND(SUM($H$3435:$J$3439),2)=0,"请输入",""))</f>
        <v>请输入</v>
      </c>
      <c r="S3432" s="364"/>
      <c r="Z3432" s="609" t="s">
        <v>3845</v>
      </c>
      <c r="AA3432" s="609" t="s">
        <v>5674</v>
      </c>
    </row>
    <row r="3433" spans="1:31" ht="0.75" customHeight="1" thickBot="1">
      <c r="A3433" s="2714"/>
      <c r="B3433" s="371"/>
      <c r="C3433" s="371"/>
      <c r="D3433" s="371"/>
      <c r="F3433" s="371"/>
      <c r="G3433" s="371" t="s">
        <v>3846</v>
      </c>
      <c r="H3433" s="371" t="s">
        <v>2747</v>
      </c>
      <c r="I3433" s="371" t="s">
        <v>2748</v>
      </c>
      <c r="J3433" s="433"/>
      <c r="K3433" s="472"/>
      <c r="L3433" s="472"/>
      <c r="M3433" s="472"/>
      <c r="N3433" s="472"/>
      <c r="O3433" s="442"/>
      <c r="P3433" s="442"/>
      <c r="Q3433" s="442"/>
      <c r="R3433" s="443"/>
      <c r="S3433" s="364"/>
      <c r="Z3433" s="609" t="s">
        <v>3845</v>
      </c>
      <c r="AA3433" s="609" t="s">
        <v>5674</v>
      </c>
    </row>
    <row r="3434" spans="1:31" ht="18">
      <c r="A3434" s="2714"/>
      <c r="B3434" s="371"/>
      <c r="C3434" s="371"/>
      <c r="D3434" s="371"/>
      <c r="E3434" s="2716" t="s">
        <v>2749</v>
      </c>
      <c r="F3434" s="294"/>
      <c r="G3434" s="410" t="s">
        <v>1412</v>
      </c>
      <c r="H3434" s="1454" t="str">
        <f>$V$2</f>
        <v>2019年12月31日</v>
      </c>
      <c r="I3434" s="1455" t="str">
        <f>$V$3</f>
        <v>2018年12月31日</v>
      </c>
      <c r="J3434" s="355" t="s">
        <v>5302</v>
      </c>
      <c r="K3434" s="472"/>
      <c r="L3434" s="472"/>
      <c r="M3434" s="472"/>
      <c r="N3434" s="472"/>
      <c r="O3434" s="442"/>
      <c r="P3434" s="442"/>
      <c r="Q3434" s="442"/>
      <c r="R3434" s="443"/>
      <c r="S3434" s="364"/>
      <c r="Z3434" s="609" t="s">
        <v>3845</v>
      </c>
      <c r="AA3434" s="609" t="s">
        <v>5674</v>
      </c>
    </row>
    <row r="3435" spans="1:31" ht="18">
      <c r="A3435" s="2714"/>
      <c r="B3435" s="371">
        <v>101</v>
      </c>
      <c r="C3435" s="371"/>
      <c r="D3435" s="2716">
        <f t="shared" ref="D3435:D3439" si="395">IF(OR(G3435="*",G3435="",G3435=0),0,COUNTIF($G$3435:$G$3439,G3435))</f>
        <v>1</v>
      </c>
      <c r="E3435" s="2721">
        <v>1</v>
      </c>
      <c r="F3435" s="294"/>
      <c r="G3435" s="308" t="s">
        <v>2864</v>
      </c>
      <c r="H3435" s="309"/>
      <c r="I3435" s="346"/>
      <c r="J3435" s="437"/>
      <c r="K3435" s="472"/>
      <c r="L3435" s="472"/>
      <c r="M3435" s="472"/>
      <c r="N3435" s="472"/>
      <c r="O3435" s="442"/>
      <c r="P3435" s="442"/>
      <c r="Q3435" s="442"/>
      <c r="R3435" s="443"/>
      <c r="S3435" s="364"/>
      <c r="Z3435" s="609" t="s">
        <v>3845</v>
      </c>
      <c r="AA3435" s="609" t="s">
        <v>5674</v>
      </c>
    </row>
    <row r="3436" spans="1:31" ht="18">
      <c r="A3436" s="2714"/>
      <c r="B3436" s="371">
        <v>102</v>
      </c>
      <c r="C3436" s="371"/>
      <c r="D3436" s="2716">
        <f t="shared" si="395"/>
        <v>1</v>
      </c>
      <c r="E3436" s="2721">
        <v>1</v>
      </c>
      <c r="F3436" s="294"/>
      <c r="G3436" s="308" t="s">
        <v>2865</v>
      </c>
      <c r="H3436" s="309"/>
      <c r="I3436" s="346"/>
      <c r="J3436" s="437"/>
      <c r="K3436" s="472"/>
      <c r="L3436" s="472"/>
      <c r="M3436" s="472"/>
      <c r="N3436" s="472"/>
      <c r="O3436" s="442"/>
      <c r="P3436" s="442"/>
      <c r="Q3436" s="442"/>
      <c r="R3436" s="443"/>
      <c r="S3436" s="364"/>
      <c r="Z3436" s="609" t="s">
        <v>3845</v>
      </c>
      <c r="AA3436" s="609" t="s">
        <v>5674</v>
      </c>
    </row>
    <row r="3437" spans="1:31" ht="18">
      <c r="A3437" s="2714"/>
      <c r="B3437" s="371">
        <v>103</v>
      </c>
      <c r="C3437" s="371" t="s">
        <v>2791</v>
      </c>
      <c r="D3437" s="2716">
        <f t="shared" si="395"/>
        <v>0</v>
      </c>
      <c r="E3437" s="2721">
        <v>1</v>
      </c>
      <c r="F3437" s="294"/>
      <c r="G3437" s="319" t="s">
        <v>2792</v>
      </c>
      <c r="H3437" s="309"/>
      <c r="I3437" s="346"/>
      <c r="J3437" s="437"/>
      <c r="K3437" s="472"/>
      <c r="L3437" s="472"/>
      <c r="M3437" s="472"/>
      <c r="N3437" s="472"/>
      <c r="O3437" s="442"/>
      <c r="P3437" s="442"/>
      <c r="Q3437" s="442"/>
      <c r="R3437" s="443"/>
      <c r="S3437" s="364"/>
      <c r="Z3437" s="609" t="s">
        <v>3845</v>
      </c>
      <c r="AA3437" s="609" t="s">
        <v>5674</v>
      </c>
    </row>
    <row r="3438" spans="1:31" ht="18">
      <c r="A3438" s="2714"/>
      <c r="B3438" s="371">
        <v>104</v>
      </c>
      <c r="C3438" s="371" t="s">
        <v>2791</v>
      </c>
      <c r="D3438" s="2716">
        <f t="shared" si="395"/>
        <v>0</v>
      </c>
      <c r="E3438" s="2721">
        <v>1</v>
      </c>
      <c r="F3438" s="294"/>
      <c r="G3438" s="319" t="s">
        <v>2792</v>
      </c>
      <c r="H3438" s="309"/>
      <c r="I3438" s="346"/>
      <c r="J3438" s="437"/>
      <c r="K3438" s="472"/>
      <c r="L3438" s="472"/>
      <c r="M3438" s="472"/>
      <c r="N3438" s="472"/>
      <c r="O3438" s="442"/>
      <c r="P3438" s="442"/>
      <c r="Q3438" s="442"/>
      <c r="R3438" s="443"/>
      <c r="S3438" s="364"/>
      <c r="Z3438" s="609" t="s">
        <v>3845</v>
      </c>
      <c r="AA3438" s="609" t="s">
        <v>5674</v>
      </c>
    </row>
    <row r="3439" spans="1:31" ht="18.75" thickBot="1">
      <c r="A3439" s="2714"/>
      <c r="B3439" s="371"/>
      <c r="C3439" s="371"/>
      <c r="D3439" s="2716">
        <f t="shared" si="395"/>
        <v>1</v>
      </c>
      <c r="E3439" s="2721" t="s">
        <v>2751</v>
      </c>
      <c r="F3439" s="294"/>
      <c r="G3439" s="374" t="s">
        <v>2752</v>
      </c>
      <c r="H3439" s="375">
        <f>SUMPRODUCT($E3434:$E3438,H3434:H3438)</f>
        <v>0</v>
      </c>
      <c r="I3439" s="395">
        <f>SUMPRODUCT($E3434:$E3438,I3434:I3438)</f>
        <v>0</v>
      </c>
      <c r="J3439" s="437"/>
      <c r="K3439" s="472"/>
      <c r="L3439" s="472"/>
      <c r="M3439" s="472"/>
      <c r="N3439" s="472"/>
      <c r="O3439" s="442"/>
      <c r="P3439" s="442"/>
      <c r="Q3439" s="442"/>
      <c r="R3439" s="443"/>
      <c r="S3439" s="364"/>
      <c r="Z3439" s="609" t="s">
        <v>3845</v>
      </c>
      <c r="AA3439" s="609" t="s">
        <v>5674</v>
      </c>
    </row>
    <row r="3440" spans="1:31" s="288" customFormat="1" ht="24.75" thickBot="1">
      <c r="A3440" s="2714"/>
      <c r="B3440" s="371">
        <v>901</v>
      </c>
      <c r="C3440" s="371"/>
      <c r="D3440" s="371"/>
      <c r="E3440" s="2716" t="s">
        <v>2753</v>
      </c>
      <c r="F3440" s="294"/>
      <c r="G3440" s="600" t="s">
        <v>3847</v>
      </c>
      <c r="H3440" s="576"/>
      <c r="I3440" s="349"/>
      <c r="J3440" s="350"/>
      <c r="K3440" s="291"/>
      <c r="L3440" s="291"/>
      <c r="M3440" s="291"/>
      <c r="N3440" s="291"/>
      <c r="Q3440" s="290"/>
      <c r="R3440" s="290"/>
      <c r="S3440" s="364"/>
      <c r="Z3440" s="609" t="s">
        <v>3845</v>
      </c>
      <c r="AA3440" s="609" t="s">
        <v>5674</v>
      </c>
      <c r="AB3440" s="369"/>
      <c r="AC3440" s="369"/>
      <c r="AD3440" s="369"/>
      <c r="AE3440" s="369"/>
    </row>
    <row r="3441" spans="1:31" s="288" customFormat="1" ht="18">
      <c r="A3441" s="2714"/>
      <c r="B3441" s="371"/>
      <c r="C3441" s="371" t="s">
        <v>2755</v>
      </c>
      <c r="D3441" s="371"/>
      <c r="E3441" s="2716"/>
      <c r="F3441" s="294"/>
      <c r="G3441" s="601"/>
      <c r="H3441" s="315"/>
      <c r="I3441" s="315"/>
      <c r="J3441" s="350"/>
      <c r="K3441" s="291"/>
      <c r="L3441" s="291"/>
      <c r="M3441" s="291"/>
      <c r="N3441" s="291"/>
      <c r="Q3441" s="290"/>
      <c r="R3441" s="290"/>
      <c r="S3441" s="364"/>
      <c r="Z3441" s="609" t="s">
        <v>3845</v>
      </c>
      <c r="AA3441" s="609" t="s">
        <v>5674</v>
      </c>
      <c r="AB3441" s="369"/>
      <c r="AC3441" s="369"/>
      <c r="AD3441" s="369"/>
      <c r="AE3441" s="369"/>
    </row>
    <row r="3442" spans="1:31" ht="18">
      <c r="A3442" s="2714">
        <v>2202</v>
      </c>
      <c r="B3442" s="371">
        <v>38</v>
      </c>
      <c r="C3442" s="2716" t="str">
        <f>VLOOKUP($A3442,Sheet_Items,2,0)</f>
        <v>应付账款</v>
      </c>
      <c r="D3442" s="371"/>
      <c r="E3442" s="2716" t="s">
        <v>2739</v>
      </c>
      <c r="F3442" s="294"/>
      <c r="G3442" s="305" t="str">
        <f>B3442&amp;" "&amp;C3442</f>
        <v>38 应付账款</v>
      </c>
      <c r="H3442" s="306"/>
      <c r="I3442" s="306"/>
      <c r="J3442" s="306" t="s">
        <v>2740</v>
      </c>
      <c r="K3442" s="341">
        <f>VLOOKUP($A3442,Sheet_Trialbal,6,0)</f>
        <v>0</v>
      </c>
      <c r="L3442" s="342"/>
      <c r="M3442" s="306" t="s">
        <v>2741</v>
      </c>
      <c r="N3442" s="341">
        <f>VLOOKUP($A3442,Sheet_Trialbal,10,0)</f>
        <v>0</v>
      </c>
      <c r="O3442" s="306"/>
      <c r="P3442" s="301"/>
      <c r="S3442" s="364"/>
      <c r="Z3442" s="609" t="s">
        <v>3848</v>
      </c>
      <c r="AA3442" s="609" t="s">
        <v>5675</v>
      </c>
    </row>
    <row r="3443" spans="1:31" ht="18">
      <c r="A3443" s="2714" t="s">
        <v>1416</v>
      </c>
      <c r="B3443" s="371">
        <v>1</v>
      </c>
      <c r="C3443" s="371"/>
      <c r="D3443" s="2716" t="str">
        <f>VLOOKUP($A3443,Sheet_NoteList,2,0)</f>
        <v>应付账款按性质列示</v>
      </c>
      <c r="E3443" s="2716" t="s">
        <v>2742</v>
      </c>
      <c r="F3443" s="294"/>
      <c r="G3443" s="307" t="str">
        <f>"("&amp;B3443&amp;")"&amp;D3443</f>
        <v>(1)应付账款按性质列示</v>
      </c>
      <c r="H3443" s="1517" t="str">
        <f>$A3443</f>
        <v>2202e</v>
      </c>
      <c r="I3443" s="343" t="s">
        <v>2743</v>
      </c>
      <c r="J3443" s="301" t="s">
        <v>2744</v>
      </c>
      <c r="K3443" s="2210">
        <f>H3452</f>
        <v>0</v>
      </c>
      <c r="L3443" s="345" t="str">
        <f>IF($I3443="适用",IF(ROUND(K$3442-K3443,2)=0,"F/S",ROUND(K$3442-K3443,2)),"#N/A")</f>
        <v>F/S</v>
      </c>
      <c r="M3443" s="301" t="s">
        <v>2745</v>
      </c>
      <c r="N3443" s="2210">
        <f>I3452</f>
        <v>0</v>
      </c>
      <c r="O3443" s="345" t="str">
        <f>IF($I3443="适用",IF(ROUND(N$3442-N3443,2)=0,"F/S",ROUND(N$3442-N3443,2)),"#N/A")</f>
        <v>F/S</v>
      </c>
      <c r="P3443" s="301"/>
      <c r="Q3443" s="290" t="str">
        <f>IF($I3443="不适用","",IF(ROUND(SUM($H$3446:$I$3452),2)=0,"请输入",""))</f>
        <v>请输入</v>
      </c>
      <c r="S3443" s="364"/>
      <c r="Z3443" s="609" t="s">
        <v>3848</v>
      </c>
      <c r="AA3443" s="609" t="s">
        <v>5675</v>
      </c>
    </row>
    <row r="3444" spans="1:31" ht="0.75" customHeight="1" thickBot="1">
      <c r="A3444" s="2714"/>
      <c r="B3444" s="371"/>
      <c r="C3444" s="371"/>
      <c r="D3444" s="371"/>
      <c r="E3444" s="586"/>
      <c r="F3444" s="586"/>
      <c r="G3444" s="586" t="s">
        <v>3849</v>
      </c>
      <c r="H3444" s="371" t="s">
        <v>2747</v>
      </c>
      <c r="I3444" s="371" t="s">
        <v>2748</v>
      </c>
      <c r="J3444" s="291"/>
      <c r="K3444" s="291"/>
      <c r="L3444" s="291"/>
      <c r="M3444" s="291"/>
      <c r="S3444" s="364"/>
      <c r="Z3444" s="609" t="s">
        <v>3848</v>
      </c>
      <c r="AA3444" s="609" t="s">
        <v>5675</v>
      </c>
    </row>
    <row r="3445" spans="1:31" ht="18">
      <c r="A3445" s="2714"/>
      <c r="B3445" s="371"/>
      <c r="C3445" s="371"/>
      <c r="D3445" s="371"/>
      <c r="E3445" s="586" t="s">
        <v>2749</v>
      </c>
      <c r="F3445" s="363"/>
      <c r="G3445" s="2362" t="s">
        <v>47</v>
      </c>
      <c r="H3445" s="2225" t="str">
        <f>$V$2</f>
        <v>2019年12月31日</v>
      </c>
      <c r="I3445" s="2226" t="str">
        <f>$V$3</f>
        <v>2018年12月31日</v>
      </c>
      <c r="J3445" s="355" t="s">
        <v>5303</v>
      </c>
      <c r="K3445" s="291"/>
      <c r="L3445" s="291"/>
      <c r="M3445" s="291"/>
      <c r="S3445" s="364"/>
      <c r="Z3445" s="609" t="s">
        <v>3848</v>
      </c>
      <c r="AA3445" s="609" t="s">
        <v>5675</v>
      </c>
    </row>
    <row r="3446" spans="1:31" ht="18">
      <c r="A3446" s="2714"/>
      <c r="B3446" s="371">
        <v>101</v>
      </c>
      <c r="C3446" s="371"/>
      <c r="D3446" s="2716">
        <f t="shared" ref="D3446:D3452" si="396">IF(OR(G3446="*",G3446="",G3446=0),0,COUNTIF($G$3446:$G$3452,G3446))</f>
        <v>1</v>
      </c>
      <c r="E3446" s="2721">
        <v>1</v>
      </c>
      <c r="F3446" s="294"/>
      <c r="G3446" s="1474" t="s">
        <v>3850</v>
      </c>
      <c r="H3446" s="2275"/>
      <c r="I3446" s="2296"/>
      <c r="J3446" s="291"/>
      <c r="K3446" s="291"/>
      <c r="L3446" s="291"/>
      <c r="M3446" s="291"/>
      <c r="S3446" s="364"/>
      <c r="Z3446" s="609" t="s">
        <v>3848</v>
      </c>
      <c r="AA3446" s="609" t="s">
        <v>5675</v>
      </c>
    </row>
    <row r="3447" spans="1:31" ht="18">
      <c r="A3447" s="2714"/>
      <c r="B3447" s="371">
        <v>102</v>
      </c>
      <c r="C3447" s="371"/>
      <c r="D3447" s="2716">
        <f t="shared" si="396"/>
        <v>1</v>
      </c>
      <c r="E3447" s="2721">
        <v>1</v>
      </c>
      <c r="F3447" s="294"/>
      <c r="G3447" s="1474" t="s">
        <v>3851</v>
      </c>
      <c r="H3447" s="2275"/>
      <c r="I3447" s="2296"/>
      <c r="J3447" s="291"/>
      <c r="K3447" s="291"/>
      <c r="L3447" s="291"/>
      <c r="M3447" s="291"/>
      <c r="S3447" s="364"/>
      <c r="Z3447" s="609" t="s">
        <v>3848</v>
      </c>
      <c r="AA3447" s="609" t="s">
        <v>5675</v>
      </c>
    </row>
    <row r="3448" spans="1:31" ht="18">
      <c r="A3448" s="2714"/>
      <c r="B3448" s="371">
        <v>103</v>
      </c>
      <c r="C3448" s="371"/>
      <c r="D3448" s="2716">
        <f t="shared" si="396"/>
        <v>1</v>
      </c>
      <c r="E3448" s="2721">
        <v>1</v>
      </c>
      <c r="F3448" s="294"/>
      <c r="G3448" s="1474" t="s">
        <v>3852</v>
      </c>
      <c r="H3448" s="2275"/>
      <c r="I3448" s="2296"/>
      <c r="J3448" s="291"/>
      <c r="K3448" s="291"/>
      <c r="L3448" s="291"/>
      <c r="M3448" s="291"/>
      <c r="S3448" s="364"/>
      <c r="Z3448" s="609" t="s">
        <v>3848</v>
      </c>
      <c r="AA3448" s="609" t="s">
        <v>5675</v>
      </c>
    </row>
    <row r="3449" spans="1:31" ht="18">
      <c r="A3449" s="2714"/>
      <c r="B3449" s="371">
        <v>104</v>
      </c>
      <c r="C3449" s="371"/>
      <c r="D3449" s="2716">
        <f t="shared" si="396"/>
        <v>1</v>
      </c>
      <c r="E3449" s="2721">
        <v>1</v>
      </c>
      <c r="F3449" s="294"/>
      <c r="G3449" s="1474" t="s">
        <v>3853</v>
      </c>
      <c r="H3449" s="2275"/>
      <c r="I3449" s="2296"/>
      <c r="J3449" s="291"/>
      <c r="K3449" s="291"/>
      <c r="L3449" s="291"/>
      <c r="M3449" s="291"/>
      <c r="S3449" s="364"/>
      <c r="Z3449" s="609" t="s">
        <v>3848</v>
      </c>
      <c r="AA3449" s="609" t="s">
        <v>5675</v>
      </c>
    </row>
    <row r="3450" spans="1:31" ht="18">
      <c r="A3450" s="2714"/>
      <c r="B3450" s="371">
        <v>105</v>
      </c>
      <c r="C3450" s="371" t="s">
        <v>2791</v>
      </c>
      <c r="D3450" s="2716">
        <f t="shared" si="396"/>
        <v>0</v>
      </c>
      <c r="E3450" s="2721">
        <v>1</v>
      </c>
      <c r="F3450" s="294"/>
      <c r="G3450" s="2375" t="s">
        <v>2792</v>
      </c>
      <c r="H3450" s="2275"/>
      <c r="I3450" s="2296"/>
      <c r="J3450" s="291"/>
      <c r="K3450" s="291"/>
      <c r="L3450" s="291"/>
      <c r="M3450" s="291"/>
      <c r="S3450" s="364"/>
      <c r="Z3450" s="609" t="s">
        <v>3848</v>
      </c>
      <c r="AA3450" s="609" t="s">
        <v>5675</v>
      </c>
    </row>
    <row r="3451" spans="1:31" ht="18">
      <c r="A3451" s="2714"/>
      <c r="B3451" s="371">
        <v>106</v>
      </c>
      <c r="C3451" s="371" t="s">
        <v>2791</v>
      </c>
      <c r="D3451" s="2716">
        <f t="shared" si="396"/>
        <v>0</v>
      </c>
      <c r="E3451" s="2721">
        <v>1</v>
      </c>
      <c r="F3451" s="294"/>
      <c r="G3451" s="2375" t="s">
        <v>2792</v>
      </c>
      <c r="H3451" s="2275"/>
      <c r="I3451" s="2296"/>
      <c r="J3451" s="291"/>
      <c r="K3451" s="291"/>
      <c r="L3451" s="291"/>
      <c r="M3451" s="291"/>
      <c r="S3451" s="364"/>
      <c r="Z3451" s="609" t="s">
        <v>3848</v>
      </c>
      <c r="AA3451" s="609" t="s">
        <v>5675</v>
      </c>
    </row>
    <row r="3452" spans="1:31" ht="18.75" thickBot="1">
      <c r="A3452" s="2714"/>
      <c r="B3452" s="371"/>
      <c r="C3452" s="371"/>
      <c r="D3452" s="2716">
        <f t="shared" si="396"/>
        <v>1</v>
      </c>
      <c r="E3452" s="2721" t="s">
        <v>2751</v>
      </c>
      <c r="F3452" s="294"/>
      <c r="G3452" s="374" t="s">
        <v>2752</v>
      </c>
      <c r="H3452" s="1478">
        <f>SUMPRODUCT($E3445:$E3451,H3445:H3451)</f>
        <v>0</v>
      </c>
      <c r="I3452" s="1479">
        <f>SUMPRODUCT($E3445:$E3451,I3445:I3451)</f>
        <v>0</v>
      </c>
      <c r="J3452" s="1533" t="str">
        <f ca="1">HYPERLINK("#'"&amp;$G$1&amp;"'!"&amp;ADDRESS(ROW(Notes!H3465),COLUMN(Notes!H3465),4),"* 请勿删除此行！点击往勾稽单元格，F5+Enter返回")</f>
        <v>* 请勿删除此行！点击往勾稽单元格，F5+Enter返回</v>
      </c>
      <c r="K3452" s="291"/>
      <c r="L3452" s="291"/>
      <c r="M3452" s="291"/>
      <c r="S3452" s="364"/>
      <c r="Z3452" s="609" t="s">
        <v>3848</v>
      </c>
      <c r="AA3452" s="609" t="s">
        <v>5675</v>
      </c>
      <c r="AC3452" s="369" t="s">
        <v>6574</v>
      </c>
    </row>
    <row r="3453" spans="1:31" ht="18">
      <c r="A3453" s="2714"/>
      <c r="B3453" s="371"/>
      <c r="C3453" s="371" t="s">
        <v>2755</v>
      </c>
      <c r="D3453" s="371"/>
      <c r="F3453" s="294"/>
      <c r="G3453" s="301"/>
      <c r="H3453" s="315"/>
      <c r="I3453" s="315"/>
      <c r="J3453" s="291"/>
      <c r="K3453" s="291"/>
      <c r="L3453" s="291"/>
      <c r="M3453" s="291"/>
      <c r="S3453" s="364"/>
      <c r="Z3453" s="609" t="s">
        <v>3848</v>
      </c>
      <c r="AA3453" s="609" t="s">
        <v>5675</v>
      </c>
    </row>
    <row r="3454" spans="1:31" ht="18">
      <c r="A3454" s="2714" t="s">
        <v>1427</v>
      </c>
      <c r="B3454" s="371">
        <v>2</v>
      </c>
      <c r="C3454" s="371"/>
      <c r="D3454" s="2716" t="str">
        <f>VLOOKUP($A3454,Sheet_NoteList,2,0)</f>
        <v>应付账款按账龄列示</v>
      </c>
      <c r="E3454" s="2716" t="s">
        <v>6532</v>
      </c>
      <c r="F3454" s="294"/>
      <c r="G3454" s="307" t="str">
        <f>"("&amp;B3454&amp;")"&amp;D3454</f>
        <v>(2)应付账款按账龄列示</v>
      </c>
      <c r="H3454" s="1517" t="str">
        <f>$A3454</f>
        <v>2202f</v>
      </c>
      <c r="I3454" s="343" t="s">
        <v>5563</v>
      </c>
      <c r="J3454" s="301" t="s">
        <v>5561</v>
      </c>
      <c r="K3454" s="2210">
        <f>H3462</f>
        <v>0</v>
      </c>
      <c r="L3454" s="345" t="str">
        <f>IF($I3454="适用",IF(ROUND(K$3442-K3454,2)=0,"F/S",ROUND(K$3442-K3454,2)),"#N/A")</f>
        <v>F/S</v>
      </c>
      <c r="M3454" s="301" t="s">
        <v>5562</v>
      </c>
      <c r="N3454" s="2210">
        <f>I3462</f>
        <v>0</v>
      </c>
      <c r="O3454" s="345" t="str">
        <f>IF($I3454="适用",IF(ROUND(N$3442-N3454,2)=0,"F/S",ROUND(N$3442-N3454,2)),"#N/A")</f>
        <v>F/S</v>
      </c>
      <c r="P3454" s="301"/>
      <c r="S3454" s="364"/>
      <c r="Z3454" s="609" t="s">
        <v>3848</v>
      </c>
      <c r="AA3454" s="609" t="s">
        <v>5675</v>
      </c>
    </row>
    <row r="3455" spans="1:31" ht="0.75" customHeight="1" thickBot="1">
      <c r="A3455" s="2714"/>
      <c r="B3455" s="371"/>
      <c r="C3455" s="371"/>
      <c r="D3455" s="371"/>
      <c r="F3455" s="371"/>
      <c r="G3455" s="371" t="s">
        <v>3854</v>
      </c>
      <c r="H3455" s="371" t="s">
        <v>2747</v>
      </c>
      <c r="I3455" s="371" t="s">
        <v>2748</v>
      </c>
      <c r="J3455" s="291"/>
      <c r="K3455" s="291"/>
      <c r="L3455" s="291"/>
      <c r="M3455" s="291"/>
      <c r="S3455" s="364"/>
      <c r="Z3455" s="609" t="s">
        <v>3848</v>
      </c>
      <c r="AA3455" s="609" t="s">
        <v>5675</v>
      </c>
    </row>
    <row r="3456" spans="1:31" ht="18">
      <c r="A3456" s="2714"/>
      <c r="B3456" s="371"/>
      <c r="C3456" s="371"/>
      <c r="D3456" s="371"/>
      <c r="E3456" s="2716" t="s">
        <v>2749</v>
      </c>
      <c r="F3456" s="294"/>
      <c r="G3456" s="1615" t="s">
        <v>1439</v>
      </c>
      <c r="H3456" s="1613" t="s">
        <v>2775</v>
      </c>
      <c r="I3456" s="1614" t="s">
        <v>2776</v>
      </c>
      <c r="J3456" s="355" t="s">
        <v>6176</v>
      </c>
      <c r="K3456" s="291"/>
      <c r="L3456" s="291"/>
      <c r="M3456" s="291"/>
      <c r="S3456" s="364"/>
      <c r="Z3456" s="609" t="s">
        <v>3848</v>
      </c>
      <c r="AA3456" s="609" t="s">
        <v>5675</v>
      </c>
    </row>
    <row r="3457" spans="1:27" ht="18">
      <c r="A3457" s="2714"/>
      <c r="B3457" s="371">
        <v>101</v>
      </c>
      <c r="C3457" s="371" t="s">
        <v>2791</v>
      </c>
      <c r="D3457" s="2716">
        <f t="shared" ref="D3457:D3462" si="397">IF(OR(G3457="*",G3457="",G3457=0),0,COUNTIF($G$3457:$G$3462,G3457))</f>
        <v>1</v>
      </c>
      <c r="E3457" s="2721">
        <v>1</v>
      </c>
      <c r="F3457" s="294"/>
      <c r="G3457" s="1616" t="s">
        <v>3855</v>
      </c>
      <c r="H3457" s="309"/>
      <c r="I3457" s="346"/>
      <c r="J3457" s="579"/>
      <c r="K3457" s="291"/>
      <c r="L3457" s="291"/>
      <c r="M3457" s="291"/>
      <c r="S3457" s="364"/>
      <c r="Z3457" s="609" t="s">
        <v>3848</v>
      </c>
      <c r="AA3457" s="609" t="s">
        <v>5675</v>
      </c>
    </row>
    <row r="3458" spans="1:27" ht="18">
      <c r="A3458" s="2714"/>
      <c r="B3458" s="371">
        <v>102</v>
      </c>
      <c r="C3458" s="371" t="s">
        <v>2791</v>
      </c>
      <c r="D3458" s="2716">
        <f t="shared" si="397"/>
        <v>1</v>
      </c>
      <c r="E3458" s="2721">
        <v>1</v>
      </c>
      <c r="F3458" s="294"/>
      <c r="G3458" s="1616" t="s">
        <v>3856</v>
      </c>
      <c r="H3458" s="309"/>
      <c r="I3458" s="346"/>
      <c r="J3458" s="291"/>
      <c r="K3458" s="291"/>
      <c r="L3458" s="291"/>
      <c r="M3458" s="291"/>
      <c r="S3458" s="364"/>
      <c r="Z3458" s="609" t="s">
        <v>3848</v>
      </c>
      <c r="AA3458" s="609" t="s">
        <v>5675</v>
      </c>
    </row>
    <row r="3459" spans="1:27" ht="18">
      <c r="A3459" s="2714"/>
      <c r="B3459" s="371">
        <v>103</v>
      </c>
      <c r="C3459" s="371" t="s">
        <v>2791</v>
      </c>
      <c r="D3459" s="2716">
        <f t="shared" si="397"/>
        <v>1</v>
      </c>
      <c r="E3459" s="2721">
        <v>1</v>
      </c>
      <c r="F3459" s="294"/>
      <c r="G3459" s="1616" t="s">
        <v>3857</v>
      </c>
      <c r="H3459" s="309"/>
      <c r="I3459" s="346"/>
      <c r="J3459" s="291"/>
      <c r="K3459" s="291"/>
      <c r="L3459" s="291"/>
      <c r="M3459" s="291"/>
      <c r="S3459" s="364"/>
      <c r="Z3459" s="609" t="s">
        <v>3848</v>
      </c>
      <c r="AA3459" s="609" t="s">
        <v>5675</v>
      </c>
    </row>
    <row r="3460" spans="1:27" ht="18">
      <c r="A3460" s="2714"/>
      <c r="B3460" s="371">
        <v>104</v>
      </c>
      <c r="C3460" s="371" t="s">
        <v>2791</v>
      </c>
      <c r="D3460" s="2716">
        <f t="shared" si="397"/>
        <v>1</v>
      </c>
      <c r="E3460" s="2721">
        <v>1</v>
      </c>
      <c r="F3460" s="294"/>
      <c r="G3460" s="1616" t="s">
        <v>3108</v>
      </c>
      <c r="H3460" s="309"/>
      <c r="I3460" s="346"/>
      <c r="J3460" s="291"/>
      <c r="K3460" s="291"/>
      <c r="L3460" s="291"/>
      <c r="M3460" s="291"/>
      <c r="S3460" s="364"/>
      <c r="Z3460" s="609" t="s">
        <v>3848</v>
      </c>
      <c r="AA3460" s="609" t="s">
        <v>5675</v>
      </c>
    </row>
    <row r="3461" spans="1:27" ht="18">
      <c r="A3461" s="2714"/>
      <c r="B3461" s="371">
        <v>105</v>
      </c>
      <c r="C3461" s="371" t="s">
        <v>2791</v>
      </c>
      <c r="D3461" s="2716">
        <f t="shared" si="397"/>
        <v>0</v>
      </c>
      <c r="E3461" s="2721">
        <v>1</v>
      </c>
      <c r="F3461" s="294"/>
      <c r="G3461" s="1616" t="s">
        <v>2792</v>
      </c>
      <c r="H3461" s="309"/>
      <c r="I3461" s="346"/>
      <c r="J3461" s="291"/>
      <c r="K3461" s="291"/>
      <c r="L3461" s="291"/>
      <c r="M3461" s="291"/>
      <c r="S3461" s="364"/>
      <c r="Z3461" s="609" t="s">
        <v>3848</v>
      </c>
      <c r="AA3461" s="609" t="s">
        <v>5675</v>
      </c>
    </row>
    <row r="3462" spans="1:27" ht="18.75" thickBot="1">
      <c r="A3462" s="2714"/>
      <c r="B3462" s="371"/>
      <c r="C3462" s="371"/>
      <c r="D3462" s="2716">
        <f t="shared" si="397"/>
        <v>1</v>
      </c>
      <c r="E3462" s="2721" t="s">
        <v>2751</v>
      </c>
      <c r="F3462" s="294"/>
      <c r="G3462" s="1529" t="s">
        <v>2752</v>
      </c>
      <c r="H3462" s="1527">
        <f>SUMPRODUCT($E3456:$E3461,H3456:H3461)</f>
        <v>0</v>
      </c>
      <c r="I3462" s="1528">
        <f>SUMPRODUCT($E3456:$E3461,I3456:I3461)</f>
        <v>0</v>
      </c>
      <c r="J3462" s="291"/>
      <c r="K3462" s="291"/>
      <c r="L3462" s="291"/>
      <c r="M3462" s="291"/>
      <c r="S3462" s="364"/>
      <c r="Z3462" s="609" t="s">
        <v>3848</v>
      </c>
      <c r="AA3462" s="609" t="s">
        <v>5675</v>
      </c>
    </row>
    <row r="3463" spans="1:27" ht="18.75" thickBot="1">
      <c r="A3463" s="2714"/>
      <c r="B3463" s="371"/>
      <c r="C3463" s="371" t="s">
        <v>2755</v>
      </c>
      <c r="D3463" s="371"/>
      <c r="F3463" s="294"/>
      <c r="G3463" s="301"/>
      <c r="H3463" s="527" t="s">
        <v>3002</v>
      </c>
      <c r="I3463" s="527" t="s">
        <v>3002</v>
      </c>
      <c r="J3463" s="291"/>
      <c r="K3463" s="291"/>
      <c r="L3463" s="291"/>
      <c r="M3463" s="291"/>
      <c r="S3463" s="364"/>
      <c r="Z3463" s="609" t="s">
        <v>3848</v>
      </c>
      <c r="AA3463" s="609" t="s">
        <v>5675</v>
      </c>
    </row>
    <row r="3464" spans="1:27" ht="18.75" thickTop="1">
      <c r="A3464" s="2714"/>
      <c r="B3464" s="371"/>
      <c r="C3464" s="371" t="s">
        <v>2565</v>
      </c>
      <c r="D3464" s="371"/>
      <c r="F3464" s="294"/>
      <c r="G3464" s="1561" t="s">
        <v>5367</v>
      </c>
      <c r="H3464" s="1550" t="str">
        <f>G3443</f>
        <v>(1)应付账款按性质列示</v>
      </c>
      <c r="I3464" s="1552"/>
      <c r="J3464" s="1553" t="s">
        <v>5368</v>
      </c>
      <c r="K3464" s="291"/>
      <c r="L3464" s="291"/>
      <c r="M3464" s="291"/>
      <c r="S3464" s="364"/>
      <c r="Z3464" s="609" t="s">
        <v>3848</v>
      </c>
      <c r="AA3464" s="609" t="s">
        <v>5675</v>
      </c>
    </row>
    <row r="3465" spans="1:27" ht="18">
      <c r="A3465" s="2714"/>
      <c r="B3465" s="371"/>
      <c r="C3465" s="371" t="s">
        <v>2565</v>
      </c>
      <c r="D3465" s="371"/>
      <c r="F3465" s="294"/>
      <c r="G3465" s="316" t="str">
        <f>"注释A:"&amp; G3452</f>
        <v>注释A:合       计</v>
      </c>
      <c r="H3465" s="2252">
        <f ca="1">HYPERLINK("#'"&amp;$G$1&amp;"'!"&amp;ADDRESS(ROW(Notes!H3452),COLUMN(Notes!H3452),4),H3452)</f>
        <v>0</v>
      </c>
      <c r="I3465" s="2252">
        <f ca="1">HYPERLINK("#'"&amp;$G$1&amp;"'!"&amp;ADDRESS(ROW(Notes!I3452),COLUMN(Notes!I3452),4),I3452)</f>
        <v>0</v>
      </c>
      <c r="J3465" s="2632" t="str">
        <f>H3443</f>
        <v>2202e</v>
      </c>
      <c r="K3465" s="291"/>
      <c r="L3465" s="291"/>
      <c r="M3465" s="291"/>
      <c r="S3465" s="364"/>
      <c r="Z3465" s="609" t="s">
        <v>3848</v>
      </c>
      <c r="AA3465" s="609" t="s">
        <v>5675</v>
      </c>
    </row>
    <row r="3466" spans="1:27" ht="18">
      <c r="A3466" s="2714"/>
      <c r="B3466" s="371"/>
      <c r="C3466" s="371" t="s">
        <v>2565</v>
      </c>
      <c r="D3466" s="371"/>
      <c r="F3466" s="294"/>
      <c r="G3466" s="316" t="str">
        <f>"本注释B:"&amp; G3462</f>
        <v>本注释B:合       计</v>
      </c>
      <c r="H3466" s="456">
        <f>H3462</f>
        <v>0</v>
      </c>
      <c r="I3466" s="456">
        <f>I3462</f>
        <v>0</v>
      </c>
      <c r="J3466" s="2638" t="s">
        <v>1427</v>
      </c>
      <c r="K3466" s="291"/>
      <c r="L3466" s="291"/>
      <c r="M3466" s="291"/>
      <c r="S3466" s="364"/>
      <c r="Z3466" s="609" t="s">
        <v>3848</v>
      </c>
      <c r="AA3466" s="609" t="s">
        <v>5675</v>
      </c>
    </row>
    <row r="3467" spans="1:27" ht="18.75" thickBot="1">
      <c r="A3467" s="2714"/>
      <c r="B3467" s="371"/>
      <c r="C3467" s="371" t="s">
        <v>2565</v>
      </c>
      <c r="D3467" s="371"/>
      <c r="F3467" s="294"/>
      <c r="G3467" s="1562" t="s">
        <v>2757</v>
      </c>
      <c r="H3467" s="1531">
        <f ca="1">IF(AND(H3465="",H3466=""),"",ROUND(H3465-H3466,2))</f>
        <v>0</v>
      </c>
      <c r="I3467" s="1531">
        <f ca="1">IF(AND(I3465="",I3466=""),"",ROUND(I3465-I3466,2))</f>
        <v>0</v>
      </c>
      <c r="J3467" s="1555"/>
      <c r="K3467" s="291"/>
      <c r="L3467" s="291"/>
      <c r="M3467" s="291"/>
      <c r="S3467" s="364"/>
      <c r="Z3467" s="609" t="s">
        <v>3848</v>
      </c>
      <c r="AA3467" s="609" t="s">
        <v>5675</v>
      </c>
    </row>
    <row r="3468" spans="1:27" ht="18.75" thickTop="1">
      <c r="A3468" s="2714"/>
      <c r="B3468" s="371"/>
      <c r="C3468" s="371" t="s">
        <v>2565</v>
      </c>
      <c r="D3468" s="371"/>
      <c r="F3468" s="294"/>
      <c r="G3468" s="354"/>
      <c r="H3468" s="459" t="str">
        <f ca="1">IF(OR(H3467=0,H3467=""),"√","？")</f>
        <v>√</v>
      </c>
      <c r="I3468" s="459" t="str">
        <f ca="1">IF(OR(I3467=0,I3467=""),"√","？")</f>
        <v>√</v>
      </c>
      <c r="J3468" s="354"/>
      <c r="K3468" s="291"/>
      <c r="L3468" s="291"/>
      <c r="M3468" s="291"/>
      <c r="S3468" s="364"/>
      <c r="Z3468" s="609" t="s">
        <v>3848</v>
      </c>
      <c r="AA3468" s="609" t="s">
        <v>5675</v>
      </c>
    </row>
    <row r="3469" spans="1:27" ht="18">
      <c r="A3469" s="2714"/>
      <c r="B3469" s="371"/>
      <c r="C3469" s="371" t="s">
        <v>2565</v>
      </c>
      <c r="D3469" s="371"/>
      <c r="F3469" s="294"/>
      <c r="G3469" s="460" t="s">
        <v>2759</v>
      </c>
      <c r="H3469" s="461"/>
      <c r="I3469" s="461"/>
      <c r="J3469" s="354"/>
      <c r="K3469" s="345">
        <f ca="1">SUMIF($H$3468:$J$3468,"&lt;&gt;√",$H$3467:$J$3467)</f>
        <v>0</v>
      </c>
      <c r="L3469" s="475" t="str">
        <f ca="1">IF(OR(K3469=0,K3469=""),"√","？")</f>
        <v>√</v>
      </c>
      <c r="M3469" s="291"/>
      <c r="S3469" s="364"/>
      <c r="Z3469" s="609" t="s">
        <v>3848</v>
      </c>
      <c r="AA3469" s="609" t="s">
        <v>5675</v>
      </c>
    </row>
    <row r="3470" spans="1:27" ht="18">
      <c r="A3470" s="2714"/>
      <c r="B3470" s="371"/>
      <c r="C3470" s="371" t="s">
        <v>2565</v>
      </c>
      <c r="D3470" s="371"/>
      <c r="F3470" s="294"/>
      <c r="G3470" s="354"/>
      <c r="H3470" s="461"/>
      <c r="I3470" s="461"/>
      <c r="J3470" s="354"/>
      <c r="K3470" s="291"/>
      <c r="L3470" s="291"/>
      <c r="M3470" s="291"/>
      <c r="S3470" s="364"/>
      <c r="Z3470" s="609" t="s">
        <v>3848</v>
      </c>
      <c r="AA3470" s="609" t="s">
        <v>5675</v>
      </c>
    </row>
    <row r="3471" spans="1:27" ht="24">
      <c r="A3471" s="2714" t="s">
        <v>1421</v>
      </c>
      <c r="B3471" s="371">
        <v>3</v>
      </c>
      <c r="C3471" s="371"/>
      <c r="D3471" s="2716" t="str">
        <f>VLOOKUP($A3471,Sheet_NoteList,2,0)</f>
        <v>期末账龄超过1年的重要应付账款</v>
      </c>
      <c r="E3471" s="2716" t="s">
        <v>2742</v>
      </c>
      <c r="F3471" s="294"/>
      <c r="G3471" s="372" t="str">
        <f>"("&amp;B3471&amp;")"&amp;D3471</f>
        <v>(3)期末账龄超过1年的重要应付账款</v>
      </c>
      <c r="H3471" s="1517" t="str">
        <f>$A3471</f>
        <v>2202a</v>
      </c>
      <c r="I3471" s="343" t="s">
        <v>2743</v>
      </c>
      <c r="J3471" s="301" t="s">
        <v>2744</v>
      </c>
      <c r="K3471" s="2210">
        <f>H3479</f>
        <v>0</v>
      </c>
      <c r="L3471" s="345" t="str">
        <f>IF($I3471="适用",IF(ROUND(K3453-K3471,2)&gt;=0,"","#Logical!"),"#N/A")</f>
        <v/>
      </c>
      <c r="M3471" s="301"/>
      <c r="N3471" s="3071"/>
      <c r="O3471" s="315"/>
      <c r="P3471" s="301"/>
      <c r="Q3471" s="290" t="str">
        <f>IF($I3471="不适用","",IF(ROUND(SUM($H$3474:$I$3479),2)=0,"请输入",""))</f>
        <v>请输入</v>
      </c>
      <c r="S3471" s="364"/>
      <c r="Z3471" s="609" t="s">
        <v>3848</v>
      </c>
      <c r="AA3471" s="609" t="s">
        <v>5675</v>
      </c>
    </row>
    <row r="3472" spans="1:27" ht="0.75" customHeight="1" thickBot="1">
      <c r="A3472" s="2714"/>
      <c r="B3472" s="371"/>
      <c r="C3472" s="371"/>
      <c r="D3472" s="371"/>
      <c r="E3472" s="586"/>
      <c r="F3472" s="586"/>
      <c r="G3472" s="586" t="s">
        <v>3858</v>
      </c>
      <c r="H3472" s="371" t="s">
        <v>2747</v>
      </c>
      <c r="I3472" s="371" t="s">
        <v>3859</v>
      </c>
      <c r="K3472" s="291"/>
      <c r="L3472" s="291"/>
      <c r="M3472" s="291"/>
      <c r="N3472" s="291"/>
      <c r="S3472" s="364"/>
      <c r="Z3472" s="609" t="s">
        <v>3848</v>
      </c>
      <c r="AA3472" s="609" t="s">
        <v>5675</v>
      </c>
    </row>
    <row r="3473" spans="1:27" ht="24">
      <c r="A3473" s="2714"/>
      <c r="B3473" s="371"/>
      <c r="C3473" s="371"/>
      <c r="D3473" s="371"/>
      <c r="E3473" s="586" t="s">
        <v>2749</v>
      </c>
      <c r="F3473" s="363"/>
      <c r="G3473" s="2362" t="s">
        <v>47</v>
      </c>
      <c r="H3473" s="2475" t="str">
        <f>$V$2</f>
        <v>2019年12月31日</v>
      </c>
      <c r="I3473" s="2373" t="s">
        <v>3860</v>
      </c>
      <c r="J3473" s="355" t="s">
        <v>5303</v>
      </c>
      <c r="K3473" s="291"/>
      <c r="L3473" s="291"/>
      <c r="M3473" s="291"/>
      <c r="N3473" s="291"/>
      <c r="S3473" s="364"/>
      <c r="Z3473" s="609" t="s">
        <v>3848</v>
      </c>
      <c r="AA3473" s="609" t="s">
        <v>5675</v>
      </c>
    </row>
    <row r="3474" spans="1:27" ht="18">
      <c r="A3474" s="2714"/>
      <c r="B3474" s="371">
        <v>101</v>
      </c>
      <c r="C3474" s="371" t="s">
        <v>2791</v>
      </c>
      <c r="D3474" s="2716">
        <f t="shared" ref="D3474:D3479" si="398">IF(OR(G3474="*",G3474="",G3474=0),0,COUNTIF($G$3474:$G$3479,G3474))</f>
        <v>0</v>
      </c>
      <c r="E3474" s="2721">
        <v>1</v>
      </c>
      <c r="F3474" s="294"/>
      <c r="G3474" s="2375" t="s">
        <v>2792</v>
      </c>
      <c r="H3474" s="2275"/>
      <c r="I3474" s="2276"/>
      <c r="K3474" s="291"/>
      <c r="L3474" s="291"/>
      <c r="M3474" s="291"/>
      <c r="N3474" s="291"/>
      <c r="S3474" s="364"/>
      <c r="Z3474" s="609" t="s">
        <v>3848</v>
      </c>
      <c r="AA3474" s="609" t="s">
        <v>5675</v>
      </c>
    </row>
    <row r="3475" spans="1:27" ht="18">
      <c r="A3475" s="2714"/>
      <c r="B3475" s="371">
        <v>102</v>
      </c>
      <c r="C3475" s="371" t="s">
        <v>2791</v>
      </c>
      <c r="D3475" s="2716">
        <f t="shared" si="398"/>
        <v>0</v>
      </c>
      <c r="E3475" s="2721">
        <v>1</v>
      </c>
      <c r="F3475" s="294"/>
      <c r="G3475" s="2375" t="s">
        <v>2792</v>
      </c>
      <c r="H3475" s="2275"/>
      <c r="I3475" s="2276"/>
      <c r="K3475" s="291"/>
      <c r="L3475" s="291"/>
      <c r="M3475" s="291"/>
      <c r="N3475" s="291"/>
      <c r="S3475" s="364"/>
      <c r="Z3475" s="609" t="s">
        <v>3848</v>
      </c>
      <c r="AA3475" s="609" t="s">
        <v>5675</v>
      </c>
    </row>
    <row r="3476" spans="1:27" ht="18">
      <c r="A3476" s="2714"/>
      <c r="B3476" s="371">
        <v>103</v>
      </c>
      <c r="C3476" s="371" t="s">
        <v>2791</v>
      </c>
      <c r="D3476" s="2716">
        <f t="shared" si="398"/>
        <v>0</v>
      </c>
      <c r="E3476" s="2721">
        <v>1</v>
      </c>
      <c r="F3476" s="294"/>
      <c r="G3476" s="2375" t="s">
        <v>2792</v>
      </c>
      <c r="H3476" s="2275"/>
      <c r="I3476" s="2276"/>
      <c r="K3476" s="291"/>
      <c r="L3476" s="291"/>
      <c r="M3476" s="291"/>
      <c r="N3476" s="291"/>
      <c r="S3476" s="364"/>
      <c r="Z3476" s="609" t="s">
        <v>3848</v>
      </c>
      <c r="AA3476" s="609" t="s">
        <v>5675</v>
      </c>
    </row>
    <row r="3477" spans="1:27" ht="18">
      <c r="A3477" s="2714"/>
      <c r="B3477" s="371">
        <v>104</v>
      </c>
      <c r="C3477" s="371" t="s">
        <v>2791</v>
      </c>
      <c r="D3477" s="2716">
        <f t="shared" si="398"/>
        <v>0</v>
      </c>
      <c r="E3477" s="2721">
        <v>1</v>
      </c>
      <c r="F3477" s="294"/>
      <c r="G3477" s="2375" t="s">
        <v>2792</v>
      </c>
      <c r="H3477" s="2275"/>
      <c r="I3477" s="2276"/>
      <c r="K3477" s="291"/>
      <c r="L3477" s="291"/>
      <c r="M3477" s="291"/>
      <c r="N3477" s="291"/>
      <c r="S3477" s="364"/>
      <c r="Z3477" s="609" t="s">
        <v>3848</v>
      </c>
      <c r="AA3477" s="609" t="s">
        <v>5675</v>
      </c>
    </row>
    <row r="3478" spans="1:27" ht="18">
      <c r="A3478" s="2714"/>
      <c r="B3478" s="371">
        <v>105</v>
      </c>
      <c r="C3478" s="371" t="s">
        <v>2791</v>
      </c>
      <c r="D3478" s="2716">
        <f t="shared" si="398"/>
        <v>0</v>
      </c>
      <c r="E3478" s="2721">
        <v>1</v>
      </c>
      <c r="F3478" s="294"/>
      <c r="G3478" s="2375" t="s">
        <v>2792</v>
      </c>
      <c r="H3478" s="2275"/>
      <c r="I3478" s="2276"/>
      <c r="K3478" s="291"/>
      <c r="L3478" s="291"/>
      <c r="M3478" s="291"/>
      <c r="N3478" s="291"/>
      <c r="S3478" s="364"/>
      <c r="Z3478" s="609" t="s">
        <v>3848</v>
      </c>
      <c r="AA3478" s="609" t="s">
        <v>5675</v>
      </c>
    </row>
    <row r="3479" spans="1:27" ht="18.75" thickBot="1">
      <c r="A3479" s="2714"/>
      <c r="B3479" s="371"/>
      <c r="C3479" s="371"/>
      <c r="D3479" s="2716">
        <f t="shared" si="398"/>
        <v>1</v>
      </c>
      <c r="E3479" s="2721" t="s">
        <v>2751</v>
      </c>
      <c r="F3479" s="294"/>
      <c r="G3479" s="374" t="s">
        <v>2752</v>
      </c>
      <c r="H3479" s="1478">
        <f>SUMPRODUCT($E3473:$E3478,H3473:H3478)</f>
        <v>0</v>
      </c>
      <c r="I3479" s="2260"/>
      <c r="K3479" s="291"/>
      <c r="L3479" s="291"/>
      <c r="M3479" s="291"/>
      <c r="N3479" s="291"/>
      <c r="S3479" s="364"/>
      <c r="Z3479" s="609" t="s">
        <v>3848</v>
      </c>
      <c r="AA3479" s="609" t="s">
        <v>5675</v>
      </c>
    </row>
    <row r="3480" spans="1:27" ht="18">
      <c r="A3480" s="2714"/>
      <c r="B3480" s="371"/>
      <c r="C3480" s="371" t="s">
        <v>2755</v>
      </c>
      <c r="D3480" s="371"/>
      <c r="F3480" s="294"/>
      <c r="G3480" s="301"/>
      <c r="H3480" s="315"/>
      <c r="I3480" s="393"/>
      <c r="J3480" s="350"/>
      <c r="K3480" s="291"/>
      <c r="L3480" s="291"/>
      <c r="M3480" s="291"/>
      <c r="N3480" s="291"/>
      <c r="S3480" s="364"/>
      <c r="Z3480" s="609" t="s">
        <v>3848</v>
      </c>
      <c r="AA3480" s="609" t="s">
        <v>5675</v>
      </c>
    </row>
    <row r="3481" spans="1:27" ht="18">
      <c r="A3481" s="2714" t="s">
        <v>1437</v>
      </c>
      <c r="B3481" s="371">
        <v>4</v>
      </c>
      <c r="C3481" s="371"/>
      <c r="D3481" s="2716" t="str">
        <f>VLOOKUP($A3481,Sheet_NoteList,2,0)</f>
        <v>外币应付账款</v>
      </c>
      <c r="E3481" s="2716" t="s">
        <v>6532</v>
      </c>
      <c r="F3481" s="294"/>
      <c r="G3481" s="307" t="str">
        <f>"("&amp;B3481&amp;")"&amp;D3481</f>
        <v>(4)外币应付账款</v>
      </c>
      <c r="H3481" s="1517" t="str">
        <f>$A3481</f>
        <v>2202d</v>
      </c>
      <c r="I3481" s="343" t="s">
        <v>5578</v>
      </c>
      <c r="J3481" s="301" t="s">
        <v>5577</v>
      </c>
      <c r="K3481" s="2210">
        <f>J3489</f>
        <v>0</v>
      </c>
      <c r="L3481" s="345"/>
      <c r="M3481" s="301"/>
      <c r="N3481" s="391"/>
      <c r="O3481" s="345" t="str">
        <f>IF($I3481="适用",IF(ROUND(N$3442-N3481,2)&gt;=0,"","#Logical!"),"#N/A")</f>
        <v/>
      </c>
      <c r="P3481" s="301"/>
      <c r="Q3481" s="290" t="str">
        <f>IF($I3481="不适用","",IF(ROUND(SUM($H$3484:$J$3489),2)=0,"请输入",""))</f>
        <v>请输入</v>
      </c>
      <c r="S3481" s="364"/>
      <c r="Z3481" s="609" t="s">
        <v>3848</v>
      </c>
      <c r="AA3481" s="609" t="s">
        <v>5675</v>
      </c>
    </row>
    <row r="3482" spans="1:27" ht="0.75" customHeight="1" thickBot="1">
      <c r="A3482" s="2714"/>
      <c r="B3482" s="371"/>
      <c r="C3482" s="371"/>
      <c r="D3482" s="371"/>
      <c r="F3482" s="304"/>
      <c r="G3482" s="304" t="s">
        <v>3861</v>
      </c>
      <c r="H3482" s="304" t="s">
        <v>3073</v>
      </c>
      <c r="I3482" s="304" t="s">
        <v>3074</v>
      </c>
      <c r="J3482" s="304" t="s">
        <v>3075</v>
      </c>
      <c r="K3482" s="387"/>
      <c r="L3482" s="291"/>
      <c r="M3482" s="291"/>
      <c r="N3482" s="291"/>
      <c r="O3482" s="291"/>
      <c r="P3482" s="291"/>
      <c r="Q3482" s="367"/>
      <c r="R3482" s="367"/>
      <c r="S3482" s="364"/>
      <c r="Z3482" s="609" t="s">
        <v>3848</v>
      </c>
      <c r="AA3482" s="609" t="s">
        <v>5675</v>
      </c>
    </row>
    <row r="3483" spans="1:27" ht="24">
      <c r="A3483" s="2714"/>
      <c r="B3483" s="371"/>
      <c r="C3483" s="371"/>
      <c r="D3483" s="371"/>
      <c r="E3483" s="2716" t="s">
        <v>2749</v>
      </c>
      <c r="F3483" s="294"/>
      <c r="G3483" s="1624" t="s">
        <v>1371</v>
      </c>
      <c r="H3483" s="1622" t="s">
        <v>3076</v>
      </c>
      <c r="I3483" s="1622" t="s">
        <v>3077</v>
      </c>
      <c r="J3483" s="1623" t="s">
        <v>3078</v>
      </c>
      <c r="K3483" s="355" t="s">
        <v>5604</v>
      </c>
      <c r="L3483" s="291"/>
      <c r="M3483" s="291"/>
      <c r="N3483" s="291"/>
      <c r="O3483" s="291"/>
      <c r="P3483" s="291"/>
      <c r="Q3483" s="367"/>
      <c r="R3483" s="367"/>
      <c r="S3483" s="364"/>
      <c r="Z3483" s="609" t="s">
        <v>3848</v>
      </c>
      <c r="AA3483" s="609" t="s">
        <v>5675</v>
      </c>
    </row>
    <row r="3484" spans="1:27" ht="18">
      <c r="A3484" s="2714"/>
      <c r="B3484" s="371">
        <v>101</v>
      </c>
      <c r="C3484" s="371" t="s">
        <v>2791</v>
      </c>
      <c r="D3484" s="2716">
        <f t="shared" ref="D3484:D3489" si="399">IF(OR(G3484="*",G3484="",G3484=0),0,COUNTIF($G$3484:$G$3489,G3484))</f>
        <v>1</v>
      </c>
      <c r="E3484" s="2721">
        <v>1</v>
      </c>
      <c r="F3484" s="294"/>
      <c r="G3484" s="1625" t="s">
        <v>3079</v>
      </c>
      <c r="H3484" s="309"/>
      <c r="I3484" s="360"/>
      <c r="J3484" s="346"/>
      <c r="K3484" s="355" t="s">
        <v>5364</v>
      </c>
      <c r="L3484" s="1522" t="s">
        <v>5365</v>
      </c>
      <c r="M3484" s="291"/>
      <c r="N3484" s="291"/>
      <c r="O3484" s="291"/>
      <c r="P3484" s="291"/>
      <c r="Q3484" s="367"/>
      <c r="R3484" s="367"/>
      <c r="S3484" s="364"/>
      <c r="Z3484" s="609" t="s">
        <v>3848</v>
      </c>
      <c r="AA3484" s="609" t="s">
        <v>5675</v>
      </c>
    </row>
    <row r="3485" spans="1:27" ht="18">
      <c r="A3485" s="2714"/>
      <c r="B3485" s="371">
        <v>102</v>
      </c>
      <c r="C3485" s="371" t="s">
        <v>2791</v>
      </c>
      <c r="D3485" s="2716">
        <f t="shared" si="399"/>
        <v>1</v>
      </c>
      <c r="E3485" s="2721">
        <v>1</v>
      </c>
      <c r="F3485" s="294"/>
      <c r="G3485" s="1625" t="s">
        <v>3080</v>
      </c>
      <c r="H3485" s="309"/>
      <c r="I3485" s="360"/>
      <c r="J3485" s="346"/>
      <c r="K3485" s="291"/>
      <c r="L3485" s="291"/>
      <c r="M3485" s="291"/>
      <c r="N3485" s="291"/>
      <c r="O3485" s="291"/>
      <c r="P3485" s="291"/>
      <c r="Q3485" s="367"/>
      <c r="R3485" s="367"/>
      <c r="S3485" s="364"/>
      <c r="Z3485" s="609" t="s">
        <v>3848</v>
      </c>
      <c r="AA3485" s="609" t="s">
        <v>5675</v>
      </c>
    </row>
    <row r="3486" spans="1:27" ht="18">
      <c r="A3486" s="2714"/>
      <c r="B3486" s="371">
        <v>103</v>
      </c>
      <c r="C3486" s="371" t="s">
        <v>2791</v>
      </c>
      <c r="D3486" s="2716">
        <f t="shared" si="399"/>
        <v>1</v>
      </c>
      <c r="E3486" s="2721">
        <v>1</v>
      </c>
      <c r="F3486" s="294"/>
      <c r="G3486" s="1625" t="s">
        <v>3081</v>
      </c>
      <c r="H3486" s="309"/>
      <c r="I3486" s="360"/>
      <c r="J3486" s="346"/>
      <c r="K3486" s="291"/>
      <c r="L3486" s="291"/>
      <c r="M3486" s="291"/>
      <c r="N3486" s="291"/>
      <c r="O3486" s="291"/>
      <c r="P3486" s="291"/>
      <c r="Q3486" s="367"/>
      <c r="R3486" s="367"/>
      <c r="S3486" s="364"/>
      <c r="Z3486" s="609" t="s">
        <v>3848</v>
      </c>
      <c r="AA3486" s="609" t="s">
        <v>5675</v>
      </c>
    </row>
    <row r="3487" spans="1:27" ht="18">
      <c r="A3487" s="2714"/>
      <c r="B3487" s="371">
        <v>104</v>
      </c>
      <c r="C3487" s="371" t="s">
        <v>2791</v>
      </c>
      <c r="D3487" s="2716">
        <f t="shared" si="399"/>
        <v>0</v>
      </c>
      <c r="E3487" s="2721">
        <v>1</v>
      </c>
      <c r="F3487" s="294"/>
      <c r="G3487" s="1625" t="s">
        <v>2792</v>
      </c>
      <c r="H3487" s="309"/>
      <c r="I3487" s="360"/>
      <c r="J3487" s="346"/>
      <c r="K3487" s="291"/>
      <c r="L3487" s="291"/>
      <c r="M3487" s="291"/>
      <c r="N3487" s="291"/>
      <c r="O3487" s="291"/>
      <c r="P3487" s="291"/>
      <c r="Q3487" s="367"/>
      <c r="R3487" s="367"/>
      <c r="S3487" s="364"/>
      <c r="Z3487" s="609" t="s">
        <v>3848</v>
      </c>
      <c r="AA3487" s="609" t="s">
        <v>5675</v>
      </c>
    </row>
    <row r="3488" spans="1:27" ht="18">
      <c r="A3488" s="2714"/>
      <c r="B3488" s="371">
        <v>105</v>
      </c>
      <c r="C3488" s="371" t="s">
        <v>2791</v>
      </c>
      <c r="D3488" s="2716">
        <f t="shared" si="399"/>
        <v>0</v>
      </c>
      <c r="E3488" s="2721">
        <v>1</v>
      </c>
      <c r="F3488" s="294"/>
      <c r="G3488" s="1625" t="s">
        <v>2792</v>
      </c>
      <c r="H3488" s="309"/>
      <c r="I3488" s="360"/>
      <c r="J3488" s="346"/>
      <c r="K3488" s="291"/>
      <c r="L3488" s="291"/>
      <c r="M3488" s="291"/>
      <c r="N3488" s="291"/>
      <c r="O3488" s="291"/>
      <c r="P3488" s="291"/>
      <c r="Q3488" s="367"/>
      <c r="R3488" s="367"/>
      <c r="S3488" s="364"/>
      <c r="Z3488" s="609" t="s">
        <v>3848</v>
      </c>
      <c r="AA3488" s="609" t="s">
        <v>5675</v>
      </c>
    </row>
    <row r="3489" spans="1:27" ht="18.75" thickBot="1">
      <c r="A3489" s="2714"/>
      <c r="B3489" s="371"/>
      <c r="C3489" s="371"/>
      <c r="D3489" s="2716">
        <f t="shared" si="399"/>
        <v>1</v>
      </c>
      <c r="E3489" s="2721" t="s">
        <v>3032</v>
      </c>
      <c r="F3489" s="294"/>
      <c r="G3489" s="1529" t="s">
        <v>2752</v>
      </c>
      <c r="H3489" s="1525"/>
      <c r="I3489" s="1526"/>
      <c r="J3489" s="1528">
        <f>SUMPRODUCT($E3483:$E3488,J3483:J3488)</f>
        <v>0</v>
      </c>
      <c r="K3489" s="291"/>
      <c r="L3489" s="291"/>
      <c r="M3489" s="291"/>
      <c r="N3489" s="291"/>
      <c r="O3489" s="291"/>
      <c r="P3489" s="291"/>
      <c r="Q3489" s="367"/>
      <c r="R3489" s="367"/>
      <c r="S3489" s="364"/>
      <c r="Z3489" s="609" t="s">
        <v>3848</v>
      </c>
      <c r="AA3489" s="609" t="s">
        <v>5675</v>
      </c>
    </row>
    <row r="3490" spans="1:27" ht="18">
      <c r="A3490" s="2714"/>
      <c r="B3490" s="371"/>
      <c r="C3490" s="371" t="s">
        <v>2755</v>
      </c>
      <c r="D3490" s="371"/>
      <c r="F3490" s="294"/>
      <c r="G3490" s="301"/>
      <c r="H3490" s="315"/>
      <c r="I3490" s="393"/>
      <c r="J3490" s="315"/>
      <c r="K3490" s="291"/>
      <c r="L3490" s="291"/>
      <c r="M3490" s="291"/>
      <c r="N3490" s="291"/>
      <c r="O3490" s="291"/>
      <c r="P3490" s="291"/>
      <c r="Q3490" s="367"/>
      <c r="R3490" s="367"/>
      <c r="S3490" s="364"/>
      <c r="Z3490" s="609" t="s">
        <v>3848</v>
      </c>
      <c r="AA3490" s="609" t="s">
        <v>5675</v>
      </c>
    </row>
    <row r="3491" spans="1:27" ht="24">
      <c r="A3491" s="2714" t="s">
        <v>1432</v>
      </c>
      <c r="B3491" s="371">
        <v>5</v>
      </c>
      <c r="C3491" s="371"/>
      <c r="D3491" s="2716" t="str">
        <f>VLOOKUP($A3491,Sheet_NoteList,2,0)</f>
        <v>关联方应收应付款项——应付账款</v>
      </c>
      <c r="E3491" s="2716" t="s">
        <v>6532</v>
      </c>
      <c r="F3491" s="294"/>
      <c r="G3491" s="372" t="str">
        <f>"("&amp;B3491&amp;")"&amp;D3491</f>
        <v>(5)关联方应收应付款项——应付账款</v>
      </c>
      <c r="H3491" s="1517" t="str">
        <f>$A3491</f>
        <v>2202c</v>
      </c>
      <c r="I3491" s="343" t="s">
        <v>5612</v>
      </c>
      <c r="J3491" s="301"/>
      <c r="K3491" s="3071"/>
      <c r="L3491" s="315"/>
      <c r="M3491" s="301"/>
      <c r="N3491" s="3071"/>
      <c r="O3491" s="315"/>
      <c r="P3491" s="301"/>
      <c r="Q3491" s="290" t="str">
        <f>IF($I3491="不适用","",IF(ROUND(SUM($H$3494:$I$3499),2)=0,"请输入",""))</f>
        <v>请输入</v>
      </c>
      <c r="S3491" s="364"/>
      <c r="Z3491" s="609" t="s">
        <v>3848</v>
      </c>
      <c r="AA3491" s="609" t="s">
        <v>5675</v>
      </c>
    </row>
    <row r="3492" spans="1:27" ht="0.75" customHeight="1" thickBot="1">
      <c r="A3492" s="2714"/>
      <c r="B3492" s="371"/>
      <c r="C3492" s="371"/>
      <c r="D3492" s="371"/>
      <c r="F3492" s="304"/>
      <c r="G3492" s="304" t="s">
        <v>3862</v>
      </c>
      <c r="H3492" s="304" t="s">
        <v>2747</v>
      </c>
      <c r="I3492" s="304" t="s">
        <v>2748</v>
      </c>
      <c r="J3492" s="291"/>
      <c r="K3492" s="291"/>
      <c r="L3492" s="291"/>
      <c r="M3492" s="291"/>
      <c r="S3492" s="364"/>
      <c r="Z3492" s="609" t="s">
        <v>3848</v>
      </c>
      <c r="AA3492" s="609" t="s">
        <v>5675</v>
      </c>
    </row>
    <row r="3493" spans="1:27" ht="18">
      <c r="A3493" s="2714"/>
      <c r="B3493" s="371"/>
      <c r="C3493" s="371"/>
      <c r="D3493" s="371"/>
      <c r="E3493" s="2716" t="s">
        <v>2749</v>
      </c>
      <c r="F3493" s="294"/>
      <c r="G3493" s="1633" t="s">
        <v>1423</v>
      </c>
      <c r="H3493" s="1631" t="s">
        <v>2775</v>
      </c>
      <c r="I3493" s="1632" t="s">
        <v>2776</v>
      </c>
      <c r="J3493" s="343" t="s">
        <v>3089</v>
      </c>
      <c r="K3493" s="291"/>
      <c r="L3493" s="291"/>
      <c r="M3493" s="291"/>
      <c r="S3493" s="364"/>
      <c r="Z3493" s="609" t="s">
        <v>3848</v>
      </c>
      <c r="AA3493" s="609" t="s">
        <v>5675</v>
      </c>
    </row>
    <row r="3494" spans="1:27" ht="18">
      <c r="A3494" s="2714"/>
      <c r="B3494" s="371">
        <v>101</v>
      </c>
      <c r="C3494" s="371" t="s">
        <v>2791</v>
      </c>
      <c r="D3494" s="2716">
        <f t="shared" ref="D3494:D3499" si="400">IF(OR(G3494="*",G3494="",G3494=0),0,COUNTIF($G$3494:$G$3499,G3494))</f>
        <v>0</v>
      </c>
      <c r="E3494" s="2721">
        <v>1</v>
      </c>
      <c r="F3494" s="294"/>
      <c r="G3494" s="1634" t="s">
        <v>2792</v>
      </c>
      <c r="H3494" s="309"/>
      <c r="I3494" s="346"/>
      <c r="J3494" s="355" t="s">
        <v>5364</v>
      </c>
      <c r="K3494" s="1522" t="s">
        <v>5613</v>
      </c>
      <c r="L3494" s="291"/>
      <c r="M3494" s="291"/>
      <c r="S3494" s="364"/>
      <c r="Z3494" s="609" t="s">
        <v>3848</v>
      </c>
      <c r="AA3494" s="609" t="s">
        <v>5675</v>
      </c>
    </row>
    <row r="3495" spans="1:27" ht="18">
      <c r="A3495" s="2714"/>
      <c r="B3495" s="371">
        <v>102</v>
      </c>
      <c r="C3495" s="371" t="s">
        <v>2791</v>
      </c>
      <c r="D3495" s="2716">
        <f t="shared" si="400"/>
        <v>0</v>
      </c>
      <c r="E3495" s="2721">
        <v>1</v>
      </c>
      <c r="F3495" s="294"/>
      <c r="G3495" s="1634" t="s">
        <v>2792</v>
      </c>
      <c r="H3495" s="309"/>
      <c r="I3495" s="346"/>
      <c r="J3495" s="291"/>
      <c r="K3495" s="291"/>
      <c r="L3495" s="291"/>
      <c r="M3495" s="291"/>
      <c r="S3495" s="364"/>
      <c r="Z3495" s="609" t="s">
        <v>3848</v>
      </c>
      <c r="AA3495" s="609" t="s">
        <v>5675</v>
      </c>
    </row>
    <row r="3496" spans="1:27" ht="18">
      <c r="A3496" s="2714"/>
      <c r="B3496" s="371">
        <v>103</v>
      </c>
      <c r="C3496" s="371" t="s">
        <v>2791</v>
      </c>
      <c r="D3496" s="2716">
        <f t="shared" si="400"/>
        <v>0</v>
      </c>
      <c r="E3496" s="2721">
        <v>1</v>
      </c>
      <c r="F3496" s="294"/>
      <c r="G3496" s="1634" t="s">
        <v>2792</v>
      </c>
      <c r="H3496" s="309"/>
      <c r="I3496" s="346"/>
      <c r="J3496" s="291"/>
      <c r="K3496" s="291"/>
      <c r="L3496" s="291"/>
      <c r="M3496" s="291"/>
      <c r="S3496" s="364"/>
      <c r="Z3496" s="609" t="s">
        <v>3848</v>
      </c>
      <c r="AA3496" s="609" t="s">
        <v>5675</v>
      </c>
    </row>
    <row r="3497" spans="1:27" ht="18">
      <c r="A3497" s="2714"/>
      <c r="B3497" s="371">
        <v>104</v>
      </c>
      <c r="C3497" s="371" t="s">
        <v>2791</v>
      </c>
      <c r="D3497" s="2716">
        <f t="shared" si="400"/>
        <v>0</v>
      </c>
      <c r="E3497" s="2721">
        <v>1</v>
      </c>
      <c r="F3497" s="294"/>
      <c r="G3497" s="1634" t="s">
        <v>2792</v>
      </c>
      <c r="H3497" s="309"/>
      <c r="I3497" s="346"/>
      <c r="J3497" s="291"/>
      <c r="K3497" s="291"/>
      <c r="L3497" s="291"/>
      <c r="M3497" s="291"/>
      <c r="S3497" s="364"/>
      <c r="Z3497" s="609" t="s">
        <v>3848</v>
      </c>
      <c r="AA3497" s="609" t="s">
        <v>5675</v>
      </c>
    </row>
    <row r="3498" spans="1:27" ht="18">
      <c r="A3498" s="2714"/>
      <c r="B3498" s="371">
        <v>105</v>
      </c>
      <c r="C3498" s="371" t="s">
        <v>2791</v>
      </c>
      <c r="D3498" s="2716">
        <f t="shared" si="400"/>
        <v>0</v>
      </c>
      <c r="E3498" s="2721">
        <v>1</v>
      </c>
      <c r="F3498" s="294"/>
      <c r="G3498" s="1634" t="s">
        <v>2792</v>
      </c>
      <c r="H3498" s="309"/>
      <c r="I3498" s="346"/>
      <c r="J3498" s="291"/>
      <c r="K3498" s="291"/>
      <c r="L3498" s="291"/>
      <c r="M3498" s="291"/>
      <c r="S3498" s="364"/>
      <c r="Z3498" s="609" t="s">
        <v>3848</v>
      </c>
      <c r="AA3498" s="609" t="s">
        <v>5675</v>
      </c>
    </row>
    <row r="3499" spans="1:27" ht="18.75" thickBot="1">
      <c r="A3499" s="2714"/>
      <c r="B3499" s="371"/>
      <c r="C3499" s="371"/>
      <c r="D3499" s="2716">
        <f t="shared" si="400"/>
        <v>1</v>
      </c>
      <c r="E3499" s="2721" t="s">
        <v>3032</v>
      </c>
      <c r="F3499" s="294"/>
      <c r="G3499" s="1529" t="s">
        <v>2752</v>
      </c>
      <c r="H3499" s="1527">
        <f>SUMPRODUCT($E3493:$E3498,H3493:H3498)</f>
        <v>0</v>
      </c>
      <c r="I3499" s="1528">
        <f>SUMPRODUCT($E3493:$E3498,I3493:I3498)</f>
        <v>0</v>
      </c>
      <c r="J3499" s="291"/>
      <c r="K3499" s="291"/>
      <c r="L3499" s="291"/>
      <c r="M3499" s="291"/>
      <c r="S3499" s="364"/>
      <c r="Z3499" s="609" t="s">
        <v>3848</v>
      </c>
      <c r="AA3499" s="609" t="s">
        <v>5675</v>
      </c>
    </row>
    <row r="3500" spans="1:27" ht="18">
      <c r="A3500" s="2714"/>
      <c r="B3500" s="371"/>
      <c r="C3500" s="371" t="s">
        <v>2755</v>
      </c>
      <c r="D3500" s="371"/>
      <c r="F3500" s="294"/>
      <c r="G3500" s="301"/>
      <c r="H3500" s="315"/>
      <c r="I3500" s="315"/>
      <c r="J3500" s="291"/>
      <c r="K3500" s="291"/>
      <c r="L3500" s="291"/>
      <c r="M3500" s="291"/>
      <c r="S3500" s="364"/>
      <c r="Z3500" s="609" t="s">
        <v>3848</v>
      </c>
      <c r="AA3500" s="609" t="s">
        <v>5675</v>
      </c>
    </row>
    <row r="3501" spans="1:27" ht="24">
      <c r="A3501" s="2714" t="s">
        <v>1443</v>
      </c>
      <c r="B3501" s="371">
        <v>6</v>
      </c>
      <c r="C3501" s="371"/>
      <c r="D3501" s="2716" t="str">
        <f>VLOOKUP($A3501,Sheet_NoteList,2,0)</f>
        <v>单项金额较大的应付账款</v>
      </c>
      <c r="E3501" s="2716" t="s">
        <v>6532</v>
      </c>
      <c r="F3501" s="294"/>
      <c r="G3501" s="372" t="str">
        <f>"("&amp;B3501&amp;")"&amp;D3501</f>
        <v>(6)单项金额较大的应付账款</v>
      </c>
      <c r="H3501" s="1517" t="str">
        <f>$A3501</f>
        <v>2202g</v>
      </c>
      <c r="I3501" s="343" t="s">
        <v>5965</v>
      </c>
      <c r="J3501" s="301" t="s">
        <v>5963</v>
      </c>
      <c r="K3501" s="2210">
        <f>H3509</f>
        <v>0</v>
      </c>
      <c r="L3501" s="345" t="str">
        <f>IF($I3501="适用",IF(ROUND(K3442-K3501,2)&gt;=0,"","#Logical!"),"#N/A")</f>
        <v/>
      </c>
      <c r="M3501" s="301"/>
      <c r="N3501" s="3071"/>
      <c r="O3501" s="315"/>
      <c r="P3501" s="301"/>
      <c r="S3501" s="364"/>
      <c r="Z3501" s="609" t="s">
        <v>3848</v>
      </c>
      <c r="AA3501" s="609" t="s">
        <v>5675</v>
      </c>
    </row>
    <row r="3502" spans="1:27" ht="0.75" customHeight="1" thickBot="1">
      <c r="A3502" s="2714"/>
      <c r="B3502" s="371"/>
      <c r="C3502" s="371"/>
      <c r="D3502" s="371"/>
      <c r="E3502" s="586"/>
      <c r="F3502" s="586"/>
      <c r="G3502" s="586" t="s">
        <v>3863</v>
      </c>
      <c r="H3502" s="371" t="s">
        <v>2849</v>
      </c>
      <c r="I3502" s="371" t="s">
        <v>3110</v>
      </c>
      <c r="J3502" s="371" t="s">
        <v>3864</v>
      </c>
      <c r="K3502" s="291"/>
      <c r="L3502" s="291"/>
      <c r="M3502" s="291"/>
      <c r="N3502" s="291"/>
      <c r="S3502" s="364"/>
      <c r="Z3502" s="609" t="s">
        <v>3848</v>
      </c>
      <c r="AA3502" s="609" t="s">
        <v>5675</v>
      </c>
    </row>
    <row r="3503" spans="1:27" ht="18">
      <c r="A3503" s="2714"/>
      <c r="B3503" s="371"/>
      <c r="C3503" s="371"/>
      <c r="D3503" s="371"/>
      <c r="E3503" s="586" t="s">
        <v>2749</v>
      </c>
      <c r="F3503" s="363"/>
      <c r="G3503" s="2363" t="s">
        <v>3865</v>
      </c>
      <c r="H3503" s="2364" t="s">
        <v>3866</v>
      </c>
      <c r="I3503" s="2364" t="s">
        <v>2961</v>
      </c>
      <c r="J3503" s="2365" t="s">
        <v>3867</v>
      </c>
      <c r="K3503" s="355" t="s">
        <v>6176</v>
      </c>
      <c r="L3503" s="291"/>
      <c r="M3503" s="291"/>
      <c r="N3503" s="291"/>
      <c r="S3503" s="364"/>
      <c r="Z3503" s="609" t="s">
        <v>3848</v>
      </c>
      <c r="AA3503" s="609" t="s">
        <v>5675</v>
      </c>
    </row>
    <row r="3504" spans="1:27" ht="18">
      <c r="A3504" s="2714"/>
      <c r="B3504" s="371">
        <v>101</v>
      </c>
      <c r="C3504" s="371" t="s">
        <v>2791</v>
      </c>
      <c r="D3504" s="2716">
        <f t="shared" ref="D3504:D3509" si="401">IF(OR(G3504="*",G3504="",G3504=0),0,COUNTIF($G$3504:$G$3509,G3504))</f>
        <v>0</v>
      </c>
      <c r="E3504" s="2721">
        <v>1</v>
      </c>
      <c r="F3504" s="294"/>
      <c r="G3504" s="2375" t="s">
        <v>2792</v>
      </c>
      <c r="H3504" s="2275"/>
      <c r="I3504" s="2298"/>
      <c r="J3504" s="2276"/>
      <c r="K3504" s="579"/>
      <c r="L3504" s="291"/>
      <c r="M3504" s="291"/>
      <c r="N3504" s="291"/>
      <c r="S3504" s="364"/>
      <c r="Z3504" s="609" t="s">
        <v>3848</v>
      </c>
      <c r="AA3504" s="609" t="s">
        <v>5675</v>
      </c>
    </row>
    <row r="3505" spans="1:27" ht="18">
      <c r="A3505" s="2714"/>
      <c r="B3505" s="371">
        <v>102</v>
      </c>
      <c r="C3505" s="371" t="s">
        <v>2791</v>
      </c>
      <c r="D3505" s="2716">
        <f t="shared" si="401"/>
        <v>0</v>
      </c>
      <c r="E3505" s="2721">
        <v>1</v>
      </c>
      <c r="F3505" s="294"/>
      <c r="G3505" s="2375" t="s">
        <v>2792</v>
      </c>
      <c r="H3505" s="2275"/>
      <c r="I3505" s="2298"/>
      <c r="J3505" s="2276"/>
      <c r="K3505" s="291"/>
      <c r="L3505" s="291"/>
      <c r="M3505" s="291"/>
      <c r="N3505" s="291"/>
      <c r="S3505" s="364"/>
      <c r="Z3505" s="609" t="s">
        <v>3848</v>
      </c>
      <c r="AA3505" s="609" t="s">
        <v>5675</v>
      </c>
    </row>
    <row r="3506" spans="1:27" ht="18">
      <c r="A3506" s="2714"/>
      <c r="B3506" s="371">
        <v>103</v>
      </c>
      <c r="C3506" s="371" t="s">
        <v>2791</v>
      </c>
      <c r="D3506" s="2716">
        <f t="shared" si="401"/>
        <v>0</v>
      </c>
      <c r="E3506" s="2721">
        <v>1</v>
      </c>
      <c r="F3506" s="294"/>
      <c r="G3506" s="2375" t="s">
        <v>2792</v>
      </c>
      <c r="H3506" s="2275"/>
      <c r="I3506" s="2298"/>
      <c r="J3506" s="2276"/>
      <c r="K3506" s="291"/>
      <c r="L3506" s="291"/>
      <c r="M3506" s="291"/>
      <c r="N3506" s="291"/>
      <c r="S3506" s="364"/>
      <c r="Z3506" s="609" t="s">
        <v>3848</v>
      </c>
      <c r="AA3506" s="609" t="s">
        <v>5675</v>
      </c>
    </row>
    <row r="3507" spans="1:27" ht="18">
      <c r="A3507" s="2714"/>
      <c r="B3507" s="371">
        <v>104</v>
      </c>
      <c r="C3507" s="371" t="s">
        <v>2791</v>
      </c>
      <c r="D3507" s="2716">
        <f t="shared" si="401"/>
        <v>0</v>
      </c>
      <c r="E3507" s="2721">
        <v>1</v>
      </c>
      <c r="F3507" s="294"/>
      <c r="G3507" s="2375" t="s">
        <v>2792</v>
      </c>
      <c r="H3507" s="2275"/>
      <c r="I3507" s="2298"/>
      <c r="J3507" s="2276"/>
      <c r="K3507" s="291"/>
      <c r="L3507" s="291"/>
      <c r="M3507" s="291"/>
      <c r="N3507" s="291"/>
      <c r="S3507" s="364"/>
      <c r="Z3507" s="609" t="s">
        <v>3848</v>
      </c>
      <c r="AA3507" s="609" t="s">
        <v>5675</v>
      </c>
    </row>
    <row r="3508" spans="1:27" ht="18">
      <c r="A3508" s="2714"/>
      <c r="B3508" s="371">
        <v>105</v>
      </c>
      <c r="C3508" s="371" t="s">
        <v>2791</v>
      </c>
      <c r="D3508" s="2716">
        <f t="shared" si="401"/>
        <v>0</v>
      </c>
      <c r="E3508" s="2721">
        <v>1</v>
      </c>
      <c r="F3508" s="294"/>
      <c r="G3508" s="2375" t="s">
        <v>2792</v>
      </c>
      <c r="H3508" s="2275"/>
      <c r="I3508" s="2298"/>
      <c r="J3508" s="2276"/>
      <c r="K3508" s="291"/>
      <c r="L3508" s="291"/>
      <c r="M3508" s="291"/>
      <c r="N3508" s="291"/>
      <c r="S3508" s="364"/>
      <c r="Z3508" s="609" t="s">
        <v>3848</v>
      </c>
      <c r="AA3508" s="609" t="s">
        <v>5675</v>
      </c>
    </row>
    <row r="3509" spans="1:27" ht="18.75" thickBot="1">
      <c r="A3509" s="2714"/>
      <c r="B3509" s="371"/>
      <c r="C3509" s="371"/>
      <c r="D3509" s="2716">
        <f t="shared" si="401"/>
        <v>1</v>
      </c>
      <c r="E3509" s="2721" t="s">
        <v>2751</v>
      </c>
      <c r="F3509" s="294"/>
      <c r="G3509" s="1529" t="s">
        <v>2752</v>
      </c>
      <c r="H3509" s="1527">
        <f>SUMPRODUCT($E3503:$E3508,H3503:H3508)</f>
        <v>0</v>
      </c>
      <c r="I3509" s="2316"/>
      <c r="J3509" s="2266"/>
      <c r="K3509" s="291"/>
      <c r="L3509" s="291"/>
      <c r="M3509" s="291"/>
      <c r="N3509" s="291"/>
      <c r="S3509" s="364"/>
      <c r="Z3509" s="609" t="s">
        <v>3848</v>
      </c>
      <c r="AA3509" s="609" t="s">
        <v>5675</v>
      </c>
    </row>
    <row r="3510" spans="1:27" ht="18">
      <c r="A3510" s="2714"/>
      <c r="B3510" s="371"/>
      <c r="C3510" s="371" t="s">
        <v>2755</v>
      </c>
      <c r="D3510" s="371"/>
      <c r="F3510" s="294"/>
      <c r="G3510" s="301"/>
      <c r="H3510" s="315"/>
      <c r="I3510" s="393"/>
      <c r="J3510" s="393"/>
      <c r="K3510" s="291"/>
      <c r="L3510" s="291"/>
      <c r="M3510" s="291"/>
      <c r="N3510" s="291"/>
      <c r="S3510" s="364"/>
      <c r="Z3510" s="609" t="s">
        <v>3848</v>
      </c>
      <c r="AA3510" s="609" t="s">
        <v>5675</v>
      </c>
    </row>
    <row r="3511" spans="1:27" ht="18">
      <c r="A3511" s="2714" t="s">
        <v>1448</v>
      </c>
      <c r="B3511" s="371">
        <v>7</v>
      </c>
      <c r="C3511" s="371"/>
      <c r="D3511" s="2716" t="str">
        <f>VLOOKUP($A3511,Sheet_NoteList,2,0)</f>
        <v>应付账款补充资料</v>
      </c>
      <c r="E3511" s="2716" t="s">
        <v>6532</v>
      </c>
      <c r="F3511" s="294"/>
      <c r="G3511" s="597" t="str">
        <f>"("&amp;B3511&amp;")"&amp;D3511</f>
        <v>(7)应付账款补充资料</v>
      </c>
      <c r="H3511" s="1517" t="str">
        <f>$A3511</f>
        <v>2202x</v>
      </c>
      <c r="I3511" s="343" t="s">
        <v>5966</v>
      </c>
      <c r="J3511" s="301" t="s">
        <v>5963</v>
      </c>
      <c r="K3511" s="2210">
        <f>H3528</f>
        <v>0</v>
      </c>
      <c r="L3511" s="345"/>
      <c r="M3511" s="301"/>
      <c r="N3511" s="3071"/>
      <c r="O3511" s="315"/>
      <c r="P3511" s="301"/>
      <c r="S3511" s="364"/>
      <c r="Z3511" s="609" t="s">
        <v>3848</v>
      </c>
      <c r="AA3511" s="609" t="s">
        <v>5675</v>
      </c>
    </row>
    <row r="3512" spans="1:27" ht="0.75" customHeight="1" thickBot="1">
      <c r="A3512" s="2714"/>
      <c r="B3512" s="371"/>
      <c r="C3512" s="371"/>
      <c r="D3512" s="371"/>
      <c r="F3512" s="371"/>
      <c r="G3512" s="371" t="s">
        <v>3868</v>
      </c>
      <c r="H3512" s="371" t="s">
        <v>2747</v>
      </c>
      <c r="I3512" s="371" t="s">
        <v>3859</v>
      </c>
      <c r="K3512" s="291"/>
      <c r="L3512" s="291"/>
      <c r="M3512" s="291"/>
      <c r="N3512" s="291"/>
      <c r="S3512" s="364"/>
      <c r="Z3512" s="609" t="s">
        <v>3848</v>
      </c>
      <c r="AA3512" s="609" t="s">
        <v>5675</v>
      </c>
    </row>
    <row r="3513" spans="1:27" ht="18">
      <c r="A3513" s="2714"/>
      <c r="B3513" s="371"/>
      <c r="C3513" s="371"/>
      <c r="D3513" s="371"/>
      <c r="E3513" s="2716" t="s">
        <v>2749</v>
      </c>
      <c r="F3513" s="294"/>
      <c r="G3513" s="2386" t="s">
        <v>1465</v>
      </c>
      <c r="H3513" s="2398" t="s">
        <v>2775</v>
      </c>
      <c r="I3513" s="2388" t="s">
        <v>2508</v>
      </c>
      <c r="J3513" s="355" t="s">
        <v>6176</v>
      </c>
      <c r="K3513" s="291"/>
      <c r="L3513" s="291"/>
      <c r="M3513" s="291"/>
      <c r="N3513" s="291"/>
      <c r="S3513" s="364"/>
      <c r="Z3513" s="609" t="s">
        <v>3848</v>
      </c>
      <c r="AA3513" s="609" t="s">
        <v>5675</v>
      </c>
    </row>
    <row r="3514" spans="1:27" ht="24">
      <c r="A3514" s="2714"/>
      <c r="B3514" s="371">
        <v>101</v>
      </c>
      <c r="C3514" s="371"/>
      <c r="D3514" s="2716">
        <f t="shared" ref="D3514:D3528" si="402">IF(OR(G3514="*",G3514="",G3514=0),0,COUNTIF($G$3514:$G$3528,G3514))</f>
        <v>1</v>
      </c>
      <c r="E3514" s="2721" t="s">
        <v>41</v>
      </c>
      <c r="F3514" s="294"/>
      <c r="G3514" s="308" t="s">
        <v>3869</v>
      </c>
      <c r="H3514" s="309"/>
      <c r="I3514" s="388"/>
      <c r="J3514" s="579"/>
      <c r="K3514" s="291"/>
      <c r="L3514" s="291"/>
      <c r="M3514" s="291"/>
      <c r="N3514" s="291"/>
      <c r="S3514" s="364"/>
      <c r="Z3514" s="609" t="s">
        <v>3848</v>
      </c>
      <c r="AA3514" s="609" t="s">
        <v>5675</v>
      </c>
    </row>
    <row r="3515" spans="1:27" ht="18">
      <c r="A3515" s="2714"/>
      <c r="B3515" s="371">
        <v>101.001</v>
      </c>
      <c r="C3515" s="371" t="s">
        <v>2791</v>
      </c>
      <c r="D3515" s="2716">
        <f t="shared" si="402"/>
        <v>0</v>
      </c>
      <c r="E3515" s="2721" t="s">
        <v>3870</v>
      </c>
      <c r="F3515" s="294"/>
      <c r="G3515" s="319" t="s">
        <v>2792</v>
      </c>
      <c r="H3515" s="309"/>
      <c r="I3515" s="388"/>
      <c r="K3515" s="291"/>
      <c r="L3515" s="291"/>
      <c r="M3515" s="291"/>
      <c r="N3515" s="291"/>
      <c r="S3515" s="364"/>
      <c r="Z3515" s="609" t="s">
        <v>3848</v>
      </c>
      <c r="AA3515" s="609" t="s">
        <v>5675</v>
      </c>
    </row>
    <row r="3516" spans="1:27" ht="18">
      <c r="A3516" s="2714"/>
      <c r="B3516" s="371">
        <v>101.002</v>
      </c>
      <c r="C3516" s="371" t="s">
        <v>2791</v>
      </c>
      <c r="D3516" s="2716">
        <f t="shared" si="402"/>
        <v>0</v>
      </c>
      <c r="E3516" s="2721" t="s">
        <v>3870</v>
      </c>
      <c r="F3516" s="294"/>
      <c r="G3516" s="319" t="s">
        <v>2792</v>
      </c>
      <c r="H3516" s="309"/>
      <c r="I3516" s="388"/>
      <c r="K3516" s="291"/>
      <c r="L3516" s="291"/>
      <c r="M3516" s="291"/>
      <c r="N3516" s="291"/>
      <c r="S3516" s="364"/>
      <c r="Z3516" s="609" t="s">
        <v>3848</v>
      </c>
      <c r="AA3516" s="609" t="s">
        <v>5675</v>
      </c>
    </row>
    <row r="3517" spans="1:27" ht="18">
      <c r="A3517" s="2714"/>
      <c r="B3517" s="371">
        <v>101.003</v>
      </c>
      <c r="C3517" s="371" t="s">
        <v>2791</v>
      </c>
      <c r="D3517" s="2716">
        <f t="shared" si="402"/>
        <v>0</v>
      </c>
      <c r="E3517" s="2721" t="s">
        <v>3870</v>
      </c>
      <c r="F3517" s="294"/>
      <c r="G3517" s="319" t="s">
        <v>2792</v>
      </c>
      <c r="H3517" s="309"/>
      <c r="I3517" s="388"/>
      <c r="K3517" s="291"/>
      <c r="L3517" s="291"/>
      <c r="M3517" s="291"/>
      <c r="N3517" s="291"/>
      <c r="S3517" s="364"/>
      <c r="Z3517" s="609" t="s">
        <v>3848</v>
      </c>
      <c r="AA3517" s="609" t="s">
        <v>5675</v>
      </c>
    </row>
    <row r="3518" spans="1:27" ht="18">
      <c r="A3518" s="2714"/>
      <c r="B3518" s="371">
        <v>101.004</v>
      </c>
      <c r="C3518" s="371" t="s">
        <v>2791</v>
      </c>
      <c r="D3518" s="2716">
        <f t="shared" si="402"/>
        <v>0</v>
      </c>
      <c r="E3518" s="2721" t="s">
        <v>3870</v>
      </c>
      <c r="F3518" s="294"/>
      <c r="G3518" s="319" t="s">
        <v>2792</v>
      </c>
      <c r="H3518" s="309"/>
      <c r="I3518" s="388"/>
      <c r="K3518" s="291"/>
      <c r="L3518" s="291"/>
      <c r="M3518" s="291"/>
      <c r="N3518" s="291"/>
      <c r="S3518" s="364"/>
      <c r="Z3518" s="609" t="s">
        <v>3848</v>
      </c>
      <c r="AA3518" s="609" t="s">
        <v>5675</v>
      </c>
    </row>
    <row r="3519" spans="1:27" ht="18">
      <c r="A3519" s="2714"/>
      <c r="B3519" s="371">
        <v>101.005</v>
      </c>
      <c r="C3519" s="371" t="s">
        <v>2791</v>
      </c>
      <c r="D3519" s="2716">
        <f t="shared" si="402"/>
        <v>0</v>
      </c>
      <c r="E3519" s="2721" t="s">
        <v>3870</v>
      </c>
      <c r="F3519" s="294"/>
      <c r="G3519" s="319" t="s">
        <v>2792</v>
      </c>
      <c r="H3519" s="309"/>
      <c r="I3519" s="388"/>
      <c r="K3519" s="291"/>
      <c r="L3519" s="291"/>
      <c r="M3519" s="291"/>
      <c r="N3519" s="291"/>
      <c r="S3519" s="364"/>
      <c r="Z3519" s="609" t="s">
        <v>3848</v>
      </c>
      <c r="AA3519" s="609" t="s">
        <v>5675</v>
      </c>
    </row>
    <row r="3520" spans="1:27" ht="24">
      <c r="A3520" s="2714"/>
      <c r="B3520" s="371">
        <v>101.999</v>
      </c>
      <c r="C3520" s="371" t="s">
        <v>2793</v>
      </c>
      <c r="D3520" s="2716">
        <f t="shared" si="402"/>
        <v>1</v>
      </c>
      <c r="E3520" s="2721">
        <v>1</v>
      </c>
      <c r="F3520" s="294"/>
      <c r="G3520" s="549" t="s">
        <v>3870</v>
      </c>
      <c r="H3520" s="377">
        <f>SUMIF($E$3513:$E$3527,$G3520,H$3513:H$3527)</f>
        <v>0</v>
      </c>
      <c r="I3520" s="388"/>
      <c r="K3520" s="291"/>
      <c r="L3520" s="291"/>
      <c r="M3520" s="291"/>
      <c r="N3520" s="291"/>
      <c r="S3520" s="364"/>
      <c r="Z3520" s="609" t="s">
        <v>3848</v>
      </c>
      <c r="AA3520" s="609" t="s">
        <v>5675</v>
      </c>
    </row>
    <row r="3521" spans="1:27" ht="18">
      <c r="A3521" s="2714"/>
      <c r="B3521" s="371">
        <v>102</v>
      </c>
      <c r="C3521" s="371"/>
      <c r="D3521" s="2716">
        <f t="shared" si="402"/>
        <v>1</v>
      </c>
      <c r="E3521" s="2721" t="s">
        <v>41</v>
      </c>
      <c r="F3521" s="294"/>
      <c r="G3521" s="308" t="s">
        <v>3871</v>
      </c>
      <c r="H3521" s="309"/>
      <c r="I3521" s="388"/>
      <c r="K3521" s="291"/>
      <c r="L3521" s="291"/>
      <c r="M3521" s="291"/>
      <c r="N3521" s="291"/>
      <c r="S3521" s="364"/>
      <c r="Z3521" s="609" t="s">
        <v>3848</v>
      </c>
      <c r="AA3521" s="609" t="s">
        <v>5675</v>
      </c>
    </row>
    <row r="3522" spans="1:27" ht="18">
      <c r="A3522" s="2714"/>
      <c r="B3522" s="371">
        <v>102.001</v>
      </c>
      <c r="C3522" s="371" t="s">
        <v>2791</v>
      </c>
      <c r="D3522" s="2716">
        <f t="shared" si="402"/>
        <v>0</v>
      </c>
      <c r="E3522" s="2721" t="s">
        <v>3872</v>
      </c>
      <c r="F3522" s="294"/>
      <c r="G3522" s="319" t="s">
        <v>2792</v>
      </c>
      <c r="H3522" s="309"/>
      <c r="I3522" s="388"/>
      <c r="K3522" s="291"/>
      <c r="L3522" s="291"/>
      <c r="M3522" s="291"/>
      <c r="N3522" s="291"/>
      <c r="S3522" s="364"/>
      <c r="Z3522" s="609" t="s">
        <v>3848</v>
      </c>
      <c r="AA3522" s="609" t="s">
        <v>5675</v>
      </c>
    </row>
    <row r="3523" spans="1:27" ht="18">
      <c r="A3523" s="2714"/>
      <c r="B3523" s="371">
        <v>102.002</v>
      </c>
      <c r="C3523" s="371" t="s">
        <v>2791</v>
      </c>
      <c r="D3523" s="2716">
        <f t="shared" si="402"/>
        <v>0</v>
      </c>
      <c r="E3523" s="2721" t="s">
        <v>3872</v>
      </c>
      <c r="F3523" s="294"/>
      <c r="G3523" s="319" t="s">
        <v>2792</v>
      </c>
      <c r="H3523" s="309"/>
      <c r="I3523" s="388"/>
      <c r="K3523" s="291"/>
      <c r="L3523" s="291"/>
      <c r="M3523" s="291"/>
      <c r="N3523" s="291"/>
      <c r="S3523" s="364"/>
      <c r="Z3523" s="609" t="s">
        <v>3848</v>
      </c>
      <c r="AA3523" s="609" t="s">
        <v>5675</v>
      </c>
    </row>
    <row r="3524" spans="1:27" ht="18">
      <c r="A3524" s="2714"/>
      <c r="B3524" s="371">
        <v>102.003</v>
      </c>
      <c r="C3524" s="371" t="s">
        <v>2791</v>
      </c>
      <c r="D3524" s="2716">
        <f t="shared" si="402"/>
        <v>0</v>
      </c>
      <c r="E3524" s="2721" t="s">
        <v>3872</v>
      </c>
      <c r="F3524" s="294"/>
      <c r="G3524" s="319" t="s">
        <v>2792</v>
      </c>
      <c r="H3524" s="309"/>
      <c r="I3524" s="388"/>
      <c r="K3524" s="291"/>
      <c r="L3524" s="291"/>
      <c r="M3524" s="291"/>
      <c r="N3524" s="291"/>
      <c r="S3524" s="364"/>
      <c r="Z3524" s="609" t="s">
        <v>3848</v>
      </c>
      <c r="AA3524" s="609" t="s">
        <v>5675</v>
      </c>
    </row>
    <row r="3525" spans="1:27" ht="18">
      <c r="A3525" s="2714"/>
      <c r="B3525" s="371">
        <v>102.004</v>
      </c>
      <c r="C3525" s="371" t="s">
        <v>2791</v>
      </c>
      <c r="D3525" s="2716">
        <f t="shared" si="402"/>
        <v>0</v>
      </c>
      <c r="E3525" s="2721" t="s">
        <v>3872</v>
      </c>
      <c r="F3525" s="294"/>
      <c r="G3525" s="319" t="s">
        <v>2792</v>
      </c>
      <c r="H3525" s="309"/>
      <c r="I3525" s="388"/>
      <c r="K3525" s="291"/>
      <c r="L3525" s="291"/>
      <c r="M3525" s="291"/>
      <c r="N3525" s="291"/>
      <c r="S3525" s="364"/>
      <c r="Z3525" s="609" t="s">
        <v>3848</v>
      </c>
      <c r="AA3525" s="609" t="s">
        <v>5675</v>
      </c>
    </row>
    <row r="3526" spans="1:27" ht="18">
      <c r="A3526" s="2714"/>
      <c r="B3526" s="371">
        <v>102.005</v>
      </c>
      <c r="C3526" s="371" t="s">
        <v>2791</v>
      </c>
      <c r="D3526" s="2716">
        <f t="shared" si="402"/>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102.999</v>
      </c>
      <c r="C3527" s="371" t="s">
        <v>2793</v>
      </c>
      <c r="D3527" s="2716">
        <f t="shared" si="402"/>
        <v>1</v>
      </c>
      <c r="E3527" s="2721">
        <v>1</v>
      </c>
      <c r="F3527" s="294"/>
      <c r="G3527" s="549" t="s">
        <v>3872</v>
      </c>
      <c r="H3527" s="377">
        <f>SUMIF($E$3513:$E$3527,$G3527,H$3513:H$3527)</f>
        <v>0</v>
      </c>
      <c r="I3527" s="388"/>
      <c r="K3527" s="291"/>
      <c r="L3527" s="291"/>
      <c r="M3527" s="291"/>
      <c r="N3527" s="291"/>
      <c r="S3527" s="364"/>
      <c r="Z3527" s="609" t="s">
        <v>3848</v>
      </c>
      <c r="AA3527" s="609" t="s">
        <v>5675</v>
      </c>
    </row>
    <row r="3528" spans="1:27" ht="18.75" thickBot="1">
      <c r="A3528" s="2714"/>
      <c r="B3528" s="371"/>
      <c r="C3528" s="371"/>
      <c r="D3528" s="2716">
        <f t="shared" si="402"/>
        <v>1</v>
      </c>
      <c r="E3528" s="2721" t="s">
        <v>2751</v>
      </c>
      <c r="F3528" s="294"/>
      <c r="G3528" s="1529" t="s">
        <v>2752</v>
      </c>
      <c r="H3528" s="2391">
        <f>SUMPRODUCT($E3513:$E3527,H3513:H3527)</f>
        <v>0</v>
      </c>
      <c r="I3528" s="1612"/>
      <c r="K3528" s="291"/>
      <c r="L3528" s="291"/>
      <c r="M3528" s="291"/>
      <c r="N3528" s="291"/>
      <c r="S3528" s="364"/>
      <c r="Z3528" s="609" t="s">
        <v>3848</v>
      </c>
      <c r="AA3528" s="609" t="s">
        <v>5675</v>
      </c>
    </row>
    <row r="3529" spans="1:27" ht="18">
      <c r="A3529" s="2714"/>
      <c r="B3529" s="371"/>
      <c r="C3529" s="371" t="s">
        <v>2755</v>
      </c>
      <c r="D3529" s="371"/>
      <c r="F3529" s="294"/>
      <c r="G3529" s="301"/>
      <c r="H3529" s="315"/>
      <c r="I3529" s="393"/>
      <c r="J3529" s="350"/>
      <c r="K3529" s="291"/>
      <c r="L3529" s="291"/>
      <c r="M3529" s="291"/>
      <c r="N3529" s="291"/>
      <c r="S3529" s="364"/>
      <c r="Z3529" s="609" t="s">
        <v>3848</v>
      </c>
      <c r="AA3529" s="609" t="s">
        <v>5675</v>
      </c>
    </row>
    <row r="3530" spans="1:27" ht="18">
      <c r="A3530" s="2714">
        <v>2205</v>
      </c>
      <c r="B3530" s="371">
        <v>39</v>
      </c>
      <c r="C3530" s="2716" t="str">
        <f>VLOOKUP($A3530,Sheet_Items,2,0)</f>
        <v>预收款项</v>
      </c>
      <c r="D3530" s="371"/>
      <c r="E3530" s="2716" t="s">
        <v>2739</v>
      </c>
      <c r="F3530" s="294"/>
      <c r="G3530" s="305" t="str">
        <f>B3530&amp;" "&amp;C3530</f>
        <v>39 预收款项</v>
      </c>
      <c r="H3530" s="306"/>
      <c r="I3530" s="306"/>
      <c r="J3530" s="306" t="s">
        <v>2740</v>
      </c>
      <c r="K3530" s="341">
        <f>VLOOKUP($A3530,Sheet_Trialbal,6,0)</f>
        <v>0</v>
      </c>
      <c r="L3530" s="342"/>
      <c r="M3530" s="306" t="s">
        <v>2741</v>
      </c>
      <c r="N3530" s="341">
        <f>VLOOKUP($A3530,Sheet_Trialbal,10,0)</f>
        <v>0</v>
      </c>
      <c r="O3530" s="306"/>
      <c r="P3530" s="301"/>
      <c r="S3530" s="364"/>
      <c r="Z3530" s="609" t="s">
        <v>3873</v>
      </c>
      <c r="AA3530" s="609" t="s">
        <v>5676</v>
      </c>
    </row>
    <row r="3531" spans="1:27" ht="18">
      <c r="A3531" s="2714" t="s">
        <v>1458</v>
      </c>
      <c r="B3531" s="371">
        <v>1</v>
      </c>
      <c r="C3531" s="371"/>
      <c r="D3531" s="2716" t="str">
        <f>VLOOKUP($A3531,Sheet_NoteList,2,0)</f>
        <v>预收款项列示</v>
      </c>
      <c r="E3531" s="2716" t="s">
        <v>2742</v>
      </c>
      <c r="F3531" s="294"/>
      <c r="G3531" s="307" t="str">
        <f>"("&amp;B3531&amp;")"&amp;D3531</f>
        <v>(1)预收款项列示</v>
      </c>
      <c r="H3531" s="1517" t="str">
        <f>$A3531</f>
        <v>2205f</v>
      </c>
      <c r="I3531" s="343" t="s">
        <v>2743</v>
      </c>
      <c r="J3531" s="301" t="s">
        <v>2744</v>
      </c>
      <c r="K3531" s="2210">
        <f>H3539</f>
        <v>0</v>
      </c>
      <c r="L3531" s="345" t="str">
        <f>IF($I3531="适用",IF(ROUND(K$3530-K3531,2)=0,"F/S",ROUND(K$3530-K3531,2)),"#N/A")</f>
        <v>F/S</v>
      </c>
      <c r="M3531" s="301" t="s">
        <v>2745</v>
      </c>
      <c r="N3531" s="2210">
        <f>I3539</f>
        <v>0</v>
      </c>
      <c r="O3531" s="345" t="str">
        <f>IF($I3531="适用",IF(ROUND(N$3530-N3531,2)=0,"F/S",ROUND(N$3530-N3531,2)),"#N/A")</f>
        <v>F/S</v>
      </c>
      <c r="P3531" s="301"/>
      <c r="Q3531" s="290" t="str">
        <f>IF($I3531="不适用","",IF(ROUND(SUM($H$3534:$I$3539),2)=0,"请输入",""))</f>
        <v>请输入</v>
      </c>
      <c r="S3531" s="364"/>
      <c r="Z3531" s="609" t="s">
        <v>3873</v>
      </c>
      <c r="AA3531" s="609" t="s">
        <v>5676</v>
      </c>
    </row>
    <row r="3532" spans="1:27" ht="0.75" customHeight="1" thickBot="1">
      <c r="A3532" s="2714"/>
      <c r="B3532" s="371"/>
      <c r="C3532" s="371"/>
      <c r="D3532" s="371"/>
      <c r="F3532" s="371"/>
      <c r="G3532" s="371" t="s">
        <v>3874</v>
      </c>
      <c r="H3532" s="371" t="s">
        <v>2747</v>
      </c>
      <c r="I3532" s="371" t="s">
        <v>2748</v>
      </c>
      <c r="J3532" s="291"/>
      <c r="K3532" s="291"/>
      <c r="L3532" s="291"/>
      <c r="M3532" s="291"/>
      <c r="S3532" s="364"/>
      <c r="Z3532" s="609" t="s">
        <v>3873</v>
      </c>
      <c r="AA3532" s="609" t="s">
        <v>5676</v>
      </c>
    </row>
    <row r="3533" spans="1:27" ht="18">
      <c r="A3533" s="2714"/>
      <c r="B3533" s="371"/>
      <c r="C3533" s="371"/>
      <c r="D3533" s="371"/>
      <c r="E3533" s="2716" t="s">
        <v>2749</v>
      </c>
      <c r="F3533" s="294"/>
      <c r="G3533" s="410" t="s">
        <v>47</v>
      </c>
      <c r="H3533" s="1454" t="str">
        <f>$V$2</f>
        <v>2019年12月31日</v>
      </c>
      <c r="I3533" s="1455" t="str">
        <f>$V$3</f>
        <v>2018年12月31日</v>
      </c>
      <c r="J3533" s="355" t="s">
        <v>5304</v>
      </c>
      <c r="K3533" s="291"/>
      <c r="L3533" s="291"/>
      <c r="M3533" s="291"/>
      <c r="S3533" s="364"/>
      <c r="Z3533" s="609" t="s">
        <v>3873</v>
      </c>
      <c r="AA3533" s="609" t="s">
        <v>5676</v>
      </c>
    </row>
    <row r="3534" spans="1:27" ht="18">
      <c r="A3534" s="2714"/>
      <c r="B3534" s="371">
        <v>101</v>
      </c>
      <c r="C3534" s="371"/>
      <c r="D3534" s="2716">
        <f t="shared" ref="D3534:D3539" si="403">IF(OR(G3534="*",G3534="",G3534=0),0,COUNTIF($G$3534:$G$3539,G3534))</f>
        <v>1</v>
      </c>
      <c r="E3534" s="2721">
        <v>1</v>
      </c>
      <c r="F3534" s="294"/>
      <c r="G3534" s="308" t="s">
        <v>3875</v>
      </c>
      <c r="H3534" s="309"/>
      <c r="I3534" s="346"/>
      <c r="J3534" s="291"/>
      <c r="K3534" s="291"/>
      <c r="L3534" s="291"/>
      <c r="M3534" s="291"/>
      <c r="S3534" s="364"/>
      <c r="Z3534" s="609" t="s">
        <v>3873</v>
      </c>
      <c r="AA3534" s="609" t="s">
        <v>5676</v>
      </c>
    </row>
    <row r="3535" spans="1:27" ht="18">
      <c r="A3535" s="2714"/>
      <c r="B3535" s="371">
        <v>102</v>
      </c>
      <c r="C3535" s="371"/>
      <c r="D3535" s="2716">
        <f t="shared" si="403"/>
        <v>1</v>
      </c>
      <c r="E3535" s="2721">
        <v>1</v>
      </c>
      <c r="F3535" s="294"/>
      <c r="G3535" s="308" t="s">
        <v>3876</v>
      </c>
      <c r="H3535" s="309"/>
      <c r="I3535" s="346"/>
      <c r="J3535" s="291"/>
      <c r="K3535" s="291"/>
      <c r="L3535" s="291"/>
      <c r="M3535" s="291"/>
      <c r="S3535" s="364"/>
      <c r="Z3535" s="609" t="s">
        <v>3873</v>
      </c>
      <c r="AA3535" s="609" t="s">
        <v>5676</v>
      </c>
    </row>
    <row r="3536" spans="1:27" ht="18">
      <c r="A3536" s="2714"/>
      <c r="B3536" s="371">
        <v>103</v>
      </c>
      <c r="C3536" s="371" t="s">
        <v>2791</v>
      </c>
      <c r="D3536" s="2716">
        <f t="shared" si="403"/>
        <v>0</v>
      </c>
      <c r="E3536" s="2721">
        <v>1</v>
      </c>
      <c r="F3536" s="294"/>
      <c r="G3536" s="319" t="s">
        <v>2792</v>
      </c>
      <c r="H3536" s="309"/>
      <c r="I3536" s="346"/>
      <c r="J3536" s="291"/>
      <c r="K3536" s="291"/>
      <c r="L3536" s="291"/>
      <c r="M3536" s="291"/>
      <c r="S3536" s="364"/>
      <c r="Z3536" s="609" t="s">
        <v>3873</v>
      </c>
      <c r="AA3536" s="609" t="s">
        <v>5676</v>
      </c>
    </row>
    <row r="3537" spans="1:29" ht="18">
      <c r="A3537" s="2714"/>
      <c r="B3537" s="371">
        <v>104</v>
      </c>
      <c r="C3537" s="371" t="s">
        <v>2791</v>
      </c>
      <c r="D3537" s="2716">
        <f t="shared" si="403"/>
        <v>0</v>
      </c>
      <c r="E3537" s="2721">
        <v>1</v>
      </c>
      <c r="F3537" s="294"/>
      <c r="G3537" s="319" t="s">
        <v>2792</v>
      </c>
      <c r="H3537" s="309"/>
      <c r="I3537" s="346"/>
      <c r="J3537" s="291"/>
      <c r="K3537" s="291"/>
      <c r="L3537" s="291"/>
      <c r="M3537" s="291"/>
      <c r="S3537" s="364"/>
      <c r="Z3537" s="609" t="s">
        <v>3873</v>
      </c>
      <c r="AA3537" s="609" t="s">
        <v>5676</v>
      </c>
    </row>
    <row r="3538" spans="1:29" ht="18">
      <c r="A3538" s="2714"/>
      <c r="B3538" s="371">
        <v>105</v>
      </c>
      <c r="C3538" s="371" t="s">
        <v>2791</v>
      </c>
      <c r="D3538" s="2716">
        <f t="shared" si="403"/>
        <v>0</v>
      </c>
      <c r="E3538" s="2721">
        <v>1</v>
      </c>
      <c r="F3538" s="294"/>
      <c r="G3538" s="319" t="s">
        <v>2792</v>
      </c>
      <c r="H3538" s="309"/>
      <c r="I3538" s="346"/>
      <c r="J3538" s="291"/>
      <c r="K3538" s="291"/>
      <c r="L3538" s="291"/>
      <c r="M3538" s="291"/>
      <c r="S3538" s="364"/>
      <c r="Z3538" s="609" t="s">
        <v>3873</v>
      </c>
      <c r="AA3538" s="609" t="s">
        <v>5676</v>
      </c>
    </row>
    <row r="3539" spans="1:29" ht="18.75" thickBot="1">
      <c r="A3539" s="2714"/>
      <c r="B3539" s="371"/>
      <c r="C3539" s="371"/>
      <c r="D3539" s="2716">
        <f t="shared" si="403"/>
        <v>1</v>
      </c>
      <c r="E3539" s="2721" t="s">
        <v>2751</v>
      </c>
      <c r="F3539" s="294"/>
      <c r="G3539" s="374" t="s">
        <v>2752</v>
      </c>
      <c r="H3539" s="596">
        <f>SUMPRODUCT($E3533:$E3538,H3533:H3538)</f>
        <v>0</v>
      </c>
      <c r="I3539" s="599">
        <f>SUMPRODUCT($E3533:$E3538,I3533:I3538)</f>
        <v>0</v>
      </c>
      <c r="J3539" s="1533" t="str">
        <f ca="1">HYPERLINK("#'"&amp;$G$1&amp;"'!"&amp;ADDRESS(ROW(Notes!H3552),COLUMN(Notes!H3552),4),"* 请勿删除此行！点击往勾稽单元格，F5+Enter返回")</f>
        <v>* 请勿删除此行！点击往勾稽单元格，F5+Enter返回</v>
      </c>
      <c r="K3539" s="291"/>
      <c r="L3539" s="291"/>
      <c r="M3539" s="291"/>
      <c r="S3539" s="364"/>
      <c r="Z3539" s="609" t="s">
        <v>3873</v>
      </c>
      <c r="AA3539" s="609" t="s">
        <v>5676</v>
      </c>
      <c r="AC3539" s="369" t="s">
        <v>6574</v>
      </c>
    </row>
    <row r="3540" spans="1:29" ht="18">
      <c r="A3540" s="2714"/>
      <c r="B3540" s="371"/>
      <c r="C3540" s="371" t="s">
        <v>2755</v>
      </c>
      <c r="D3540" s="371"/>
      <c r="F3540" s="294"/>
      <c r="G3540" s="301"/>
      <c r="H3540" s="315"/>
      <c r="I3540" s="315"/>
      <c r="J3540" s="291"/>
      <c r="K3540" s="291"/>
      <c r="L3540" s="291"/>
      <c r="M3540" s="291"/>
      <c r="S3540" s="364"/>
      <c r="Z3540" s="609" t="s">
        <v>3873</v>
      </c>
      <c r="AA3540" s="609" t="s">
        <v>5676</v>
      </c>
    </row>
    <row r="3541" spans="1:29" ht="18">
      <c r="A3541" s="2714" t="s">
        <v>1490</v>
      </c>
      <c r="B3541" s="371">
        <v>2</v>
      </c>
      <c r="C3541" s="371"/>
      <c r="D3541" s="2716" t="str">
        <f>VLOOKUP($A3541,Sheet_NoteList,2,0)</f>
        <v>预收账款按账龄列示</v>
      </c>
      <c r="E3541" s="2716" t="s">
        <v>6532</v>
      </c>
      <c r="F3541" s="294"/>
      <c r="G3541" s="307" t="str">
        <f>"("&amp;B3541&amp;")"&amp;D3541</f>
        <v>(2)预收账款按账龄列示</v>
      </c>
      <c r="H3541" s="1517" t="str">
        <f>$A3541</f>
        <v>2205g</v>
      </c>
      <c r="I3541" s="343" t="s">
        <v>5566</v>
      </c>
      <c r="J3541" s="301" t="s">
        <v>5564</v>
      </c>
      <c r="K3541" s="2210">
        <f>H3549</f>
        <v>0</v>
      </c>
      <c r="L3541" s="345" t="str">
        <f>IF($I3541="适用",IF(ROUND(K$3530-K3541,2)=0,"F/S",ROUND(K$3530-K3541,2)),"#N/A")</f>
        <v>F/S</v>
      </c>
      <c r="M3541" s="301" t="s">
        <v>5565</v>
      </c>
      <c r="N3541" s="2210">
        <f>I3549</f>
        <v>0</v>
      </c>
      <c r="O3541" s="345" t="str">
        <f>IF($I3541="适用",IF(ROUND(N$3530-N3541,2)=0,"F/S",ROUND(N$3530-N3541,2)),"#N/A")</f>
        <v>F/S</v>
      </c>
      <c r="P3541" s="301"/>
      <c r="S3541" s="364"/>
      <c r="Z3541" s="609" t="s">
        <v>3873</v>
      </c>
      <c r="AA3541" s="609" t="s">
        <v>5676</v>
      </c>
    </row>
    <row r="3542" spans="1:29" ht="0.75" customHeight="1" thickBot="1">
      <c r="A3542" s="2714"/>
      <c r="B3542" s="371"/>
      <c r="C3542" s="371"/>
      <c r="D3542" s="371"/>
      <c r="E3542" s="586"/>
      <c r="F3542" s="586"/>
      <c r="G3542" s="586" t="s">
        <v>3877</v>
      </c>
      <c r="H3542" s="371" t="s">
        <v>2747</v>
      </c>
      <c r="I3542" s="371" t="s">
        <v>2748</v>
      </c>
      <c r="J3542" s="291"/>
      <c r="K3542" s="291"/>
      <c r="L3542" s="291"/>
      <c r="M3542" s="291"/>
      <c r="S3542" s="364"/>
      <c r="Z3542" s="609" t="s">
        <v>3873</v>
      </c>
      <c r="AA3542" s="609" t="s">
        <v>5676</v>
      </c>
    </row>
    <row r="3543" spans="1:29" ht="18">
      <c r="A3543" s="2714"/>
      <c r="B3543" s="371"/>
      <c r="C3543" s="371"/>
      <c r="D3543" s="371"/>
      <c r="E3543" s="586" t="s">
        <v>2749</v>
      </c>
      <c r="F3543" s="363"/>
      <c r="G3543" s="2660" t="s">
        <v>1439</v>
      </c>
      <c r="H3543" s="2661" t="s">
        <v>2775</v>
      </c>
      <c r="I3543" s="2662" t="s">
        <v>2776</v>
      </c>
      <c r="J3543" s="355" t="s">
        <v>6176</v>
      </c>
      <c r="K3543" s="291"/>
      <c r="L3543" s="291"/>
      <c r="M3543" s="291"/>
      <c r="S3543" s="364"/>
      <c r="Z3543" s="609" t="s">
        <v>3873</v>
      </c>
      <c r="AA3543" s="609" t="s">
        <v>5676</v>
      </c>
    </row>
    <row r="3544" spans="1:29" ht="18">
      <c r="A3544" s="2714"/>
      <c r="B3544" s="371">
        <v>101</v>
      </c>
      <c r="C3544" s="371" t="s">
        <v>2791</v>
      </c>
      <c r="D3544" s="2716">
        <f t="shared" ref="D3544:D3549" si="404">IF(OR(G3544="*",G3544="",G3544=0),0,COUNTIF($G$3544:$G$3549,G3544))</f>
        <v>1</v>
      </c>
      <c r="E3544" s="2721">
        <v>1</v>
      </c>
      <c r="F3544" s="294"/>
      <c r="G3544" s="2663" t="s">
        <v>3855</v>
      </c>
      <c r="H3544" s="2275"/>
      <c r="I3544" s="2296"/>
      <c r="J3544" s="579"/>
      <c r="K3544" s="291"/>
      <c r="L3544" s="291"/>
      <c r="M3544" s="291"/>
      <c r="S3544" s="364"/>
      <c r="Z3544" s="609" t="s">
        <v>3873</v>
      </c>
      <c r="AA3544" s="609" t="s">
        <v>5676</v>
      </c>
    </row>
    <row r="3545" spans="1:29" ht="18">
      <c r="A3545" s="2714"/>
      <c r="B3545" s="371">
        <v>102</v>
      </c>
      <c r="C3545" s="371" t="s">
        <v>2791</v>
      </c>
      <c r="D3545" s="2716">
        <f t="shared" si="404"/>
        <v>1</v>
      </c>
      <c r="E3545" s="2721">
        <v>1</v>
      </c>
      <c r="F3545" s="294"/>
      <c r="G3545" s="2663" t="s">
        <v>3878</v>
      </c>
      <c r="H3545" s="2275"/>
      <c r="I3545" s="2296"/>
      <c r="J3545" s="291"/>
      <c r="K3545" s="291"/>
      <c r="L3545" s="291"/>
      <c r="M3545" s="291"/>
      <c r="S3545" s="364"/>
      <c r="Z3545" s="609" t="s">
        <v>3873</v>
      </c>
      <c r="AA3545" s="609" t="s">
        <v>5676</v>
      </c>
    </row>
    <row r="3546" spans="1:29" ht="18">
      <c r="A3546" s="2714"/>
      <c r="B3546" s="371">
        <v>103</v>
      </c>
      <c r="C3546" s="371" t="s">
        <v>2791</v>
      </c>
      <c r="D3546" s="2716">
        <f t="shared" si="404"/>
        <v>0</v>
      </c>
      <c r="E3546" s="2721">
        <v>1</v>
      </c>
      <c r="F3546" s="294"/>
      <c r="G3546" s="2663" t="s">
        <v>2792</v>
      </c>
      <c r="H3546" s="2275"/>
      <c r="I3546" s="2296"/>
      <c r="J3546" s="291"/>
      <c r="K3546" s="291"/>
      <c r="L3546" s="291"/>
      <c r="M3546" s="291"/>
      <c r="S3546" s="364"/>
      <c r="Z3546" s="609" t="s">
        <v>3873</v>
      </c>
      <c r="AA3546" s="609" t="s">
        <v>5676</v>
      </c>
    </row>
    <row r="3547" spans="1:29" ht="18">
      <c r="A3547" s="2714"/>
      <c r="B3547" s="371">
        <v>104</v>
      </c>
      <c r="C3547" s="371" t="s">
        <v>2791</v>
      </c>
      <c r="D3547" s="2716">
        <f t="shared" si="404"/>
        <v>0</v>
      </c>
      <c r="E3547" s="2721">
        <v>1</v>
      </c>
      <c r="F3547" s="294"/>
      <c r="G3547" s="2663" t="s">
        <v>2792</v>
      </c>
      <c r="H3547" s="2275"/>
      <c r="I3547" s="2296"/>
      <c r="J3547" s="291"/>
      <c r="K3547" s="291"/>
      <c r="L3547" s="291"/>
      <c r="M3547" s="291"/>
      <c r="S3547" s="364"/>
      <c r="Z3547" s="609" t="s">
        <v>3873</v>
      </c>
      <c r="AA3547" s="609" t="s">
        <v>5676</v>
      </c>
    </row>
    <row r="3548" spans="1:29" ht="18">
      <c r="A3548" s="2714"/>
      <c r="B3548" s="371">
        <v>105</v>
      </c>
      <c r="C3548" s="371" t="s">
        <v>2791</v>
      </c>
      <c r="D3548" s="2716">
        <f t="shared" si="404"/>
        <v>0</v>
      </c>
      <c r="E3548" s="2721">
        <v>1</v>
      </c>
      <c r="F3548" s="294"/>
      <c r="G3548" s="2663" t="s">
        <v>2792</v>
      </c>
      <c r="H3548" s="2275"/>
      <c r="I3548" s="2296"/>
      <c r="J3548" s="291"/>
      <c r="K3548" s="291"/>
      <c r="L3548" s="291"/>
      <c r="M3548" s="291"/>
      <c r="S3548" s="364"/>
      <c r="Z3548" s="609" t="s">
        <v>3873</v>
      </c>
      <c r="AA3548" s="609" t="s">
        <v>5676</v>
      </c>
    </row>
    <row r="3549" spans="1:29" ht="18.75" thickBot="1">
      <c r="A3549" s="2714"/>
      <c r="B3549" s="371"/>
      <c r="C3549" s="371"/>
      <c r="D3549" s="2716">
        <f t="shared" si="404"/>
        <v>1</v>
      </c>
      <c r="E3549" s="2721" t="s">
        <v>2751</v>
      </c>
      <c r="F3549" s="294"/>
      <c r="G3549" s="1529" t="s">
        <v>2752</v>
      </c>
      <c r="H3549" s="1527">
        <f>SUMPRODUCT($E3543:$E3548,H3543:H3548)</f>
        <v>0</v>
      </c>
      <c r="I3549" s="1528">
        <f>SUMPRODUCT($E3543:$E3548,I3543:I3548)</f>
        <v>0</v>
      </c>
      <c r="J3549" s="291"/>
      <c r="K3549" s="291"/>
      <c r="L3549" s="291"/>
      <c r="M3549" s="291"/>
      <c r="S3549" s="364"/>
      <c r="Z3549" s="609" t="s">
        <v>3873</v>
      </c>
      <c r="AA3549" s="609" t="s">
        <v>5676</v>
      </c>
    </row>
    <row r="3550" spans="1:29" ht="18.75" thickBot="1">
      <c r="A3550" s="2714"/>
      <c r="B3550" s="371"/>
      <c r="C3550" s="371" t="s">
        <v>2755</v>
      </c>
      <c r="D3550" s="371"/>
      <c r="F3550" s="294"/>
      <c r="G3550" s="301"/>
      <c r="H3550" s="315" t="s">
        <v>3002</v>
      </c>
      <c r="I3550" s="315" t="s">
        <v>3002</v>
      </c>
      <c r="J3550" s="291"/>
      <c r="K3550" s="291"/>
      <c r="L3550" s="291"/>
      <c r="M3550" s="291"/>
      <c r="S3550" s="364"/>
      <c r="Z3550" s="609" t="s">
        <v>3873</v>
      </c>
      <c r="AA3550" s="609" t="s">
        <v>5676</v>
      </c>
    </row>
    <row r="3551" spans="1:29" ht="18.75" thickTop="1">
      <c r="A3551" s="2714"/>
      <c r="B3551" s="371"/>
      <c r="C3551" s="371" t="s">
        <v>2565</v>
      </c>
      <c r="D3551" s="371"/>
      <c r="F3551" s="294"/>
      <c r="G3551" s="1561" t="s">
        <v>5367</v>
      </c>
      <c r="H3551" s="1550" t="str">
        <f>G3531</f>
        <v>(1)预收款项列示</v>
      </c>
      <c r="I3551" s="1552"/>
      <c r="J3551" s="1553" t="s">
        <v>5368</v>
      </c>
      <c r="K3551" s="291"/>
      <c r="L3551" s="291"/>
      <c r="M3551" s="291"/>
      <c r="S3551" s="364"/>
      <c r="Z3551" s="609" t="s">
        <v>3873</v>
      </c>
      <c r="AA3551" s="609" t="s">
        <v>5676</v>
      </c>
    </row>
    <row r="3552" spans="1:29" ht="18">
      <c r="A3552" s="2714"/>
      <c r="B3552" s="371"/>
      <c r="C3552" s="371" t="s">
        <v>2565</v>
      </c>
      <c r="D3552" s="371"/>
      <c r="F3552" s="294"/>
      <c r="G3552" s="316" t="str">
        <f>"注释A:"&amp; G3539</f>
        <v>注释A:合       计</v>
      </c>
      <c r="H3552" s="2252">
        <f ca="1">HYPERLINK("#'"&amp;$G$1&amp;"'!"&amp;ADDRESS(ROW(Notes!H3539),COLUMN(Notes!H3539),4),H3539)</f>
        <v>0</v>
      </c>
      <c r="I3552" s="2252">
        <f ca="1">HYPERLINK("#'"&amp;$G$1&amp;"'!"&amp;ADDRESS(ROW(Notes!I3539),COLUMN(Notes!I3539),4),I3539)</f>
        <v>0</v>
      </c>
      <c r="J3552" s="2632" t="str">
        <f>H3531</f>
        <v>2205f</v>
      </c>
      <c r="K3552" s="291"/>
      <c r="L3552" s="291"/>
      <c r="M3552" s="291"/>
      <c r="S3552" s="364"/>
      <c r="Z3552" s="609" t="s">
        <v>3873</v>
      </c>
      <c r="AA3552" s="609" t="s">
        <v>5676</v>
      </c>
    </row>
    <row r="3553" spans="1:27" ht="18">
      <c r="A3553" s="2714"/>
      <c r="B3553" s="371"/>
      <c r="C3553" s="371" t="s">
        <v>2565</v>
      </c>
      <c r="D3553" s="371"/>
      <c r="F3553" s="294"/>
      <c r="G3553" s="316" t="str">
        <f>"本注释B:"&amp; G3549</f>
        <v>本注释B:合       计</v>
      </c>
      <c r="H3553" s="456">
        <f>H3549</f>
        <v>0</v>
      </c>
      <c r="I3553" s="456">
        <f>I3549</f>
        <v>0</v>
      </c>
      <c r="J3553" s="2638" t="s">
        <v>1490</v>
      </c>
      <c r="K3553" s="291"/>
      <c r="L3553" s="291"/>
      <c r="M3553" s="291"/>
      <c r="S3553" s="364"/>
      <c r="Z3553" s="609" t="s">
        <v>3873</v>
      </c>
      <c r="AA3553" s="609" t="s">
        <v>5676</v>
      </c>
    </row>
    <row r="3554" spans="1:27" ht="18.75" thickBot="1">
      <c r="A3554" s="2714"/>
      <c r="B3554" s="371"/>
      <c r="C3554" s="371" t="s">
        <v>2565</v>
      </c>
      <c r="D3554" s="371"/>
      <c r="F3554" s="294"/>
      <c r="G3554" s="1562" t="s">
        <v>2757</v>
      </c>
      <c r="H3554" s="1531">
        <f ca="1">IF(AND(H3552="",H3553=""),"",ROUND(H3552-H3553,2))</f>
        <v>0</v>
      </c>
      <c r="I3554" s="1531">
        <f ca="1">IF(AND(I3552="",I3553=""),"",ROUND(I3552-I3553,2))</f>
        <v>0</v>
      </c>
      <c r="J3554" s="1555"/>
      <c r="K3554" s="291"/>
      <c r="L3554" s="291"/>
      <c r="M3554" s="291"/>
      <c r="S3554" s="364"/>
      <c r="Z3554" s="609" t="s">
        <v>3873</v>
      </c>
      <c r="AA3554" s="609" t="s">
        <v>5676</v>
      </c>
    </row>
    <row r="3555" spans="1:27" ht="18.75" thickTop="1">
      <c r="A3555" s="2714"/>
      <c r="B3555" s="371"/>
      <c r="C3555" s="371" t="s">
        <v>2565</v>
      </c>
      <c r="D3555" s="371"/>
      <c r="F3555" s="294"/>
      <c r="G3555" s="354"/>
      <c r="H3555" s="459" t="str">
        <f ca="1">IF(OR(H3554=0,H3554=""),"√","？")</f>
        <v>√</v>
      </c>
      <c r="I3555" s="459" t="str">
        <f ca="1">IF(OR(I3554=0,I3554=""),"√","？")</f>
        <v>√</v>
      </c>
      <c r="J3555" s="354"/>
      <c r="K3555" s="291"/>
      <c r="L3555" s="291"/>
      <c r="M3555" s="291"/>
      <c r="S3555" s="364"/>
      <c r="Z3555" s="609" t="s">
        <v>3873</v>
      </c>
      <c r="AA3555" s="609" t="s">
        <v>5676</v>
      </c>
    </row>
    <row r="3556" spans="1:27" ht="18">
      <c r="A3556" s="2714"/>
      <c r="B3556" s="371"/>
      <c r="C3556" s="371" t="s">
        <v>2565</v>
      </c>
      <c r="D3556" s="371"/>
      <c r="F3556" s="294"/>
      <c r="G3556" s="460" t="s">
        <v>2759</v>
      </c>
      <c r="H3556" s="461"/>
      <c r="I3556" s="461"/>
      <c r="J3556" s="354"/>
      <c r="K3556" s="345">
        <f ca="1">SUMIF($H$3555:$J$3555,"&lt;&gt;√",$H$3554:$J$3554)</f>
        <v>0</v>
      </c>
      <c r="L3556" s="475" t="str">
        <f ca="1">IF(OR(K3556=0,K3556=""),"√","？")</f>
        <v>√</v>
      </c>
      <c r="M3556" s="291"/>
      <c r="S3556" s="364"/>
      <c r="Z3556" s="609" t="s">
        <v>3873</v>
      </c>
      <c r="AA3556" s="609" t="s">
        <v>5676</v>
      </c>
    </row>
    <row r="3557" spans="1:27" ht="18">
      <c r="A3557" s="2714"/>
      <c r="B3557" s="371"/>
      <c r="C3557" s="371" t="s">
        <v>2565</v>
      </c>
      <c r="D3557" s="371"/>
      <c r="F3557" s="294"/>
      <c r="G3557" s="354"/>
      <c r="H3557" s="461"/>
      <c r="I3557" s="461"/>
      <c r="J3557" s="354"/>
      <c r="K3557" s="291"/>
      <c r="L3557" s="291"/>
      <c r="M3557" s="291"/>
      <c r="S3557" s="364"/>
      <c r="Z3557" s="609" t="s">
        <v>3873</v>
      </c>
      <c r="AA3557" s="609" t="s">
        <v>5676</v>
      </c>
    </row>
    <row r="3558" spans="1:27" ht="24">
      <c r="A3558" s="2714" t="s">
        <v>1463</v>
      </c>
      <c r="B3558" s="371">
        <v>3</v>
      </c>
      <c r="C3558" s="371"/>
      <c r="D3558" s="2716" t="str">
        <f>VLOOKUP($A3558,Sheet_NoteList,2,0)</f>
        <v>期末账龄超过1年的重要预收款项</v>
      </c>
      <c r="E3558" s="2716" t="s">
        <v>2742</v>
      </c>
      <c r="F3558" s="294"/>
      <c r="G3558" s="372" t="str">
        <f>"("&amp;B3558&amp;")"&amp;D3558</f>
        <v>(3)期末账龄超过1年的重要预收款项</v>
      </c>
      <c r="H3558" s="1517" t="str">
        <f>$A3558</f>
        <v>2205a</v>
      </c>
      <c r="I3558" s="343" t="s">
        <v>2743</v>
      </c>
      <c r="J3558" s="301" t="s">
        <v>2744</v>
      </c>
      <c r="K3558" s="2210">
        <f>H3566</f>
        <v>0</v>
      </c>
      <c r="L3558" s="345" t="str">
        <f>IF($I3558="适用",IF(ROUND(K3530-K3558,2)&gt;=0,"","#Logical!"),"#N/A")</f>
        <v/>
      </c>
      <c r="M3558" s="301"/>
      <c r="N3558" s="3071"/>
      <c r="O3558" s="315"/>
      <c r="P3558" s="301"/>
      <c r="Q3558" s="290" t="str">
        <f>IF($I3558="不适用","",IF(ROUND(SUM($H$3561:$I$3566),2)=0,"请输入",""))</f>
        <v>请输入</v>
      </c>
      <c r="S3558" s="364"/>
      <c r="Z3558" s="609" t="s">
        <v>3873</v>
      </c>
      <c r="AA3558" s="609" t="s">
        <v>5676</v>
      </c>
    </row>
    <row r="3559" spans="1:27" ht="0.75" customHeight="1" thickBot="1">
      <c r="A3559" s="2714"/>
      <c r="B3559" s="371"/>
      <c r="C3559" s="371"/>
      <c r="D3559" s="371"/>
      <c r="F3559" s="304"/>
      <c r="G3559" s="304" t="s">
        <v>3879</v>
      </c>
      <c r="H3559" s="304" t="s">
        <v>2747</v>
      </c>
      <c r="I3559" s="304" t="s">
        <v>3880</v>
      </c>
      <c r="K3559" s="291"/>
      <c r="L3559" s="291"/>
      <c r="M3559" s="291"/>
      <c r="N3559" s="291"/>
      <c r="S3559" s="364"/>
      <c r="Z3559" s="609" t="s">
        <v>3873</v>
      </c>
      <c r="AA3559" s="609" t="s">
        <v>5676</v>
      </c>
    </row>
    <row r="3560" spans="1:27" ht="24">
      <c r="A3560" s="2714"/>
      <c r="B3560" s="371"/>
      <c r="C3560" s="371"/>
      <c r="D3560" s="371"/>
      <c r="E3560" s="2716" t="s">
        <v>2749</v>
      </c>
      <c r="F3560" s="294"/>
      <c r="G3560" s="378" t="s">
        <v>47</v>
      </c>
      <c r="H3560" s="2473" t="str">
        <f>$V$2</f>
        <v>2019年12月31日</v>
      </c>
      <c r="I3560" s="1488" t="s">
        <v>5213</v>
      </c>
      <c r="J3560" s="355" t="s">
        <v>5304</v>
      </c>
      <c r="K3560" s="291"/>
      <c r="L3560" s="291"/>
      <c r="M3560" s="291"/>
      <c r="N3560" s="291"/>
      <c r="S3560" s="364"/>
      <c r="Z3560" s="609" t="s">
        <v>3873</v>
      </c>
      <c r="AA3560" s="609" t="s">
        <v>5676</v>
      </c>
    </row>
    <row r="3561" spans="1:27" ht="18">
      <c r="A3561" s="2714"/>
      <c r="B3561" s="371">
        <v>101</v>
      </c>
      <c r="C3561" s="371" t="s">
        <v>2791</v>
      </c>
      <c r="D3561" s="2716">
        <f t="shared" ref="D3561:D3566" si="405">IF(OR(G3561="*",G3561="",G3561=0),0,COUNTIF($G$3561:$G$3566,G3561))</f>
        <v>0</v>
      </c>
      <c r="E3561" s="2721">
        <v>1</v>
      </c>
      <c r="F3561" s="294"/>
      <c r="G3561" s="409" t="s">
        <v>2792</v>
      </c>
      <c r="H3561" s="383"/>
      <c r="I3561" s="492"/>
      <c r="K3561" s="291"/>
      <c r="L3561" s="291"/>
      <c r="M3561" s="291"/>
      <c r="N3561" s="291"/>
      <c r="S3561" s="364"/>
      <c r="Z3561" s="609" t="s">
        <v>3873</v>
      </c>
      <c r="AA3561" s="609" t="s">
        <v>5676</v>
      </c>
    </row>
    <row r="3562" spans="1:27" ht="18">
      <c r="A3562" s="2714"/>
      <c r="B3562" s="371">
        <v>102</v>
      </c>
      <c r="C3562" s="371" t="s">
        <v>2791</v>
      </c>
      <c r="D3562" s="2716">
        <f t="shared" si="405"/>
        <v>0</v>
      </c>
      <c r="E3562" s="2721">
        <v>1</v>
      </c>
      <c r="F3562" s="294"/>
      <c r="G3562" s="409" t="s">
        <v>2792</v>
      </c>
      <c r="H3562" s="383"/>
      <c r="I3562" s="492"/>
      <c r="K3562" s="291"/>
      <c r="L3562" s="291"/>
      <c r="M3562" s="291"/>
      <c r="N3562" s="291"/>
      <c r="S3562" s="364"/>
      <c r="Z3562" s="609" t="s">
        <v>3873</v>
      </c>
      <c r="AA3562" s="609" t="s">
        <v>5676</v>
      </c>
    </row>
    <row r="3563" spans="1:27" ht="18">
      <c r="A3563" s="2714"/>
      <c r="B3563" s="371">
        <v>103</v>
      </c>
      <c r="C3563" s="371" t="s">
        <v>2791</v>
      </c>
      <c r="D3563" s="2716">
        <f t="shared" si="405"/>
        <v>0</v>
      </c>
      <c r="E3563" s="2721">
        <v>1</v>
      </c>
      <c r="F3563" s="294"/>
      <c r="G3563" s="409" t="s">
        <v>2792</v>
      </c>
      <c r="H3563" s="383"/>
      <c r="I3563" s="492"/>
      <c r="K3563" s="291"/>
      <c r="L3563" s="291"/>
      <c r="M3563" s="291"/>
      <c r="N3563" s="291"/>
      <c r="S3563" s="364"/>
      <c r="Z3563" s="609" t="s">
        <v>3873</v>
      </c>
      <c r="AA3563" s="609" t="s">
        <v>5676</v>
      </c>
    </row>
    <row r="3564" spans="1:27" ht="18">
      <c r="A3564" s="2714"/>
      <c r="B3564" s="371">
        <v>104</v>
      </c>
      <c r="C3564" s="371" t="s">
        <v>2791</v>
      </c>
      <c r="D3564" s="2716">
        <f t="shared" si="405"/>
        <v>0</v>
      </c>
      <c r="E3564" s="2721">
        <v>1</v>
      </c>
      <c r="F3564" s="294"/>
      <c r="G3564" s="409" t="s">
        <v>2792</v>
      </c>
      <c r="H3564" s="383"/>
      <c r="I3564" s="492"/>
      <c r="K3564" s="291"/>
      <c r="L3564" s="291"/>
      <c r="M3564" s="291"/>
      <c r="N3564" s="291"/>
      <c r="S3564" s="364"/>
      <c r="Z3564" s="609" t="s">
        <v>3873</v>
      </c>
      <c r="AA3564" s="609" t="s">
        <v>5676</v>
      </c>
    </row>
    <row r="3565" spans="1:27" ht="18">
      <c r="A3565" s="2714"/>
      <c r="B3565" s="371">
        <v>105</v>
      </c>
      <c r="C3565" s="371" t="s">
        <v>2791</v>
      </c>
      <c r="D3565" s="2716">
        <f t="shared" si="405"/>
        <v>0</v>
      </c>
      <c r="E3565" s="2721">
        <v>1</v>
      </c>
      <c r="F3565" s="294"/>
      <c r="G3565" s="409" t="s">
        <v>2792</v>
      </c>
      <c r="H3565" s="383"/>
      <c r="I3565" s="492"/>
      <c r="K3565" s="291"/>
      <c r="L3565" s="291"/>
      <c r="M3565" s="291"/>
      <c r="N3565" s="291"/>
      <c r="S3565" s="364"/>
      <c r="Z3565" s="609" t="s">
        <v>3873</v>
      </c>
      <c r="AA3565" s="609" t="s">
        <v>5676</v>
      </c>
    </row>
    <row r="3566" spans="1:27" ht="18.75" thickBot="1">
      <c r="A3566" s="2714"/>
      <c r="B3566" s="371"/>
      <c r="C3566" s="371"/>
      <c r="D3566" s="2716">
        <f t="shared" si="405"/>
        <v>1</v>
      </c>
      <c r="E3566" s="2721" t="s">
        <v>2751</v>
      </c>
      <c r="F3566" s="294"/>
      <c r="G3566" s="403" t="s">
        <v>2752</v>
      </c>
      <c r="H3566" s="503">
        <f>SUMPRODUCT($E3560:$E3565,H3560:H3565)</f>
        <v>0</v>
      </c>
      <c r="I3566" s="513"/>
      <c r="K3566" s="291"/>
      <c r="L3566" s="291"/>
      <c r="M3566" s="291"/>
      <c r="N3566" s="291"/>
      <c r="S3566" s="364"/>
      <c r="Z3566" s="609" t="s">
        <v>3873</v>
      </c>
      <c r="AA3566" s="609" t="s">
        <v>5676</v>
      </c>
    </row>
    <row r="3567" spans="1:27" ht="18">
      <c r="A3567" s="2714"/>
      <c r="B3567" s="371"/>
      <c r="C3567" s="371" t="s">
        <v>2755</v>
      </c>
      <c r="D3567" s="371"/>
      <c r="F3567" s="294"/>
      <c r="G3567" s="301"/>
      <c r="H3567" s="349"/>
      <c r="I3567" s="350"/>
      <c r="J3567" s="350"/>
      <c r="K3567" s="291"/>
      <c r="L3567" s="291"/>
      <c r="M3567" s="291"/>
      <c r="N3567" s="291"/>
      <c r="S3567" s="364"/>
      <c r="Z3567" s="609" t="s">
        <v>3873</v>
      </c>
      <c r="AA3567" s="609" t="s">
        <v>5676</v>
      </c>
    </row>
    <row r="3568" spans="1:27" ht="24">
      <c r="A3568" s="2714" t="s">
        <v>1469</v>
      </c>
      <c r="B3568" s="371">
        <v>4</v>
      </c>
      <c r="C3568" s="371"/>
      <c r="D3568" s="2716" t="str">
        <f>VLOOKUP($A3568,Sheet_NoteList,2,0)</f>
        <v>建造合同形成的已结算未完工项目情况</v>
      </c>
      <c r="E3568" s="2716" t="s">
        <v>2742</v>
      </c>
      <c r="F3568" s="294"/>
      <c r="G3568" s="372" t="str">
        <f>"("&amp;B3568&amp;")"&amp;D3568</f>
        <v>(4)建造合同形成的已结算未完工项目情况</v>
      </c>
      <c r="H3568" s="1517" t="str">
        <f>$A3568</f>
        <v>2205h</v>
      </c>
      <c r="I3568" s="343" t="s">
        <v>2743</v>
      </c>
      <c r="J3568" s="301" t="s">
        <v>2744</v>
      </c>
      <c r="K3568" s="2210">
        <f>H3576</f>
        <v>0</v>
      </c>
      <c r="L3568" s="315"/>
      <c r="M3568" s="301"/>
      <c r="N3568" s="3071"/>
      <c r="O3568" s="315"/>
      <c r="P3568" s="301"/>
      <c r="Q3568" s="290" t="str">
        <f>IF($I3568="不适用","",IF(ROUND(SUM($H$3571:$I$3576),2)=0,"请输入",""))</f>
        <v>请输入</v>
      </c>
      <c r="S3568" s="364"/>
      <c r="Z3568" s="609" t="s">
        <v>3873</v>
      </c>
      <c r="AA3568" s="609" t="s">
        <v>5676</v>
      </c>
    </row>
    <row r="3569" spans="1:27" ht="0.75" customHeight="1" thickBot="1">
      <c r="A3569" s="2714"/>
      <c r="B3569" s="371"/>
      <c r="C3569" s="371"/>
      <c r="D3569" s="371"/>
      <c r="E3569" s="586"/>
      <c r="F3569" s="586"/>
      <c r="G3569" s="586" t="s">
        <v>3881</v>
      </c>
      <c r="H3569" s="371" t="s">
        <v>2747</v>
      </c>
      <c r="I3569" s="602"/>
      <c r="J3569" s="472"/>
      <c r="K3569" s="472"/>
      <c r="L3569" s="472"/>
      <c r="M3569" s="472"/>
      <c r="N3569" s="472"/>
      <c r="O3569" s="472"/>
      <c r="P3569" s="442"/>
      <c r="Q3569" s="442"/>
      <c r="R3569" s="443"/>
      <c r="S3569" s="364"/>
      <c r="Z3569" s="609" t="s">
        <v>3873</v>
      </c>
      <c r="AA3569" s="609" t="s">
        <v>5676</v>
      </c>
    </row>
    <row r="3570" spans="1:27" ht="18">
      <c r="A3570" s="2714"/>
      <c r="B3570" s="371"/>
      <c r="C3570" s="371"/>
      <c r="D3570" s="371"/>
      <c r="E3570" s="586" t="s">
        <v>2749</v>
      </c>
      <c r="F3570" s="363"/>
      <c r="G3570" s="2361" t="s">
        <v>47</v>
      </c>
      <c r="H3570" s="2479" t="str">
        <f>$V$2</f>
        <v>2019年12月31日</v>
      </c>
      <c r="I3570" s="355" t="s">
        <v>5304</v>
      </c>
      <c r="J3570" s="537"/>
      <c r="K3570" s="537"/>
      <c r="L3570" s="472"/>
      <c r="M3570" s="472"/>
      <c r="N3570" s="472"/>
      <c r="O3570" s="472"/>
      <c r="P3570" s="442"/>
      <c r="Q3570" s="442"/>
      <c r="R3570" s="443"/>
      <c r="S3570" s="364"/>
      <c r="Z3570" s="609" t="s">
        <v>3873</v>
      </c>
      <c r="AA3570" s="609" t="s">
        <v>5676</v>
      </c>
    </row>
    <row r="3571" spans="1:27" ht="18">
      <c r="A3571" s="2714"/>
      <c r="B3571" s="371">
        <v>101</v>
      </c>
      <c r="C3571" s="371"/>
      <c r="D3571" s="2716">
        <f t="shared" ref="D3571:D3576" si="406">IF(OR(G3571="*",G3571="",G3571=0),0,COUNTIF($G$3571:$G$3576,G3571))</f>
        <v>1</v>
      </c>
      <c r="E3571" s="2721">
        <v>1</v>
      </c>
      <c r="F3571" s="294"/>
      <c r="G3571" s="1474" t="s">
        <v>3258</v>
      </c>
      <c r="H3571" s="2296"/>
      <c r="I3571" s="538"/>
      <c r="J3571" s="537"/>
      <c r="K3571" s="537"/>
      <c r="L3571" s="472"/>
      <c r="M3571" s="472"/>
      <c r="N3571" s="472"/>
      <c r="O3571" s="472"/>
      <c r="P3571" s="442"/>
      <c r="Q3571" s="442"/>
      <c r="R3571" s="443"/>
      <c r="S3571" s="364"/>
      <c r="Z3571" s="609" t="s">
        <v>3873</v>
      </c>
      <c r="AA3571" s="609" t="s">
        <v>5676</v>
      </c>
    </row>
    <row r="3572" spans="1:27" ht="18">
      <c r="A3572" s="2714"/>
      <c r="B3572" s="371">
        <v>102</v>
      </c>
      <c r="C3572" s="371"/>
      <c r="D3572" s="2716">
        <f t="shared" si="406"/>
        <v>1</v>
      </c>
      <c r="E3572" s="2721">
        <v>1</v>
      </c>
      <c r="F3572" s="294"/>
      <c r="G3572" s="1474" t="s">
        <v>3259</v>
      </c>
      <c r="H3572" s="2296"/>
      <c r="I3572" s="437"/>
      <c r="J3572" s="472"/>
      <c r="K3572" s="472"/>
      <c r="L3572" s="472"/>
      <c r="M3572" s="472"/>
      <c r="N3572" s="472"/>
      <c r="O3572" s="472"/>
      <c r="P3572" s="442"/>
      <c r="Q3572" s="442"/>
      <c r="R3572" s="443"/>
      <c r="S3572" s="364"/>
      <c r="Z3572" s="609" t="s">
        <v>3873</v>
      </c>
      <c r="AA3572" s="609" t="s">
        <v>5676</v>
      </c>
    </row>
    <row r="3573" spans="1:27" ht="18">
      <c r="A3573" s="2714"/>
      <c r="B3573" s="371">
        <v>103</v>
      </c>
      <c r="C3573" s="371"/>
      <c r="D3573" s="2716">
        <f t="shared" si="406"/>
        <v>1</v>
      </c>
      <c r="E3573" s="2721">
        <v>-1</v>
      </c>
      <c r="F3573" s="294"/>
      <c r="G3573" s="1474" t="s">
        <v>3882</v>
      </c>
      <c r="H3573" s="2296"/>
      <c r="I3573" s="437"/>
      <c r="J3573" s="472"/>
      <c r="K3573" s="472"/>
      <c r="L3573" s="472"/>
      <c r="M3573" s="472"/>
      <c r="N3573" s="472"/>
      <c r="O3573" s="472"/>
      <c r="P3573" s="442"/>
      <c r="Q3573" s="442"/>
      <c r="R3573" s="443"/>
      <c r="S3573" s="364"/>
      <c r="Z3573" s="609" t="s">
        <v>3873</v>
      </c>
      <c r="AA3573" s="609" t="s">
        <v>5676</v>
      </c>
    </row>
    <row r="3574" spans="1:27" ht="18">
      <c r="A3574" s="2714"/>
      <c r="B3574" s="371">
        <v>104</v>
      </c>
      <c r="C3574" s="371"/>
      <c r="D3574" s="2716">
        <f t="shared" si="406"/>
        <v>1</v>
      </c>
      <c r="E3574" s="2721">
        <v>-1</v>
      </c>
      <c r="F3574" s="294"/>
      <c r="G3574" s="1474" t="s">
        <v>3883</v>
      </c>
      <c r="H3574" s="2296"/>
      <c r="I3574" s="437"/>
      <c r="J3574" s="472"/>
      <c r="K3574" s="472"/>
      <c r="L3574" s="472"/>
      <c r="M3574" s="472"/>
      <c r="N3574" s="472"/>
      <c r="O3574" s="472"/>
      <c r="P3574" s="442"/>
      <c r="Q3574" s="442"/>
      <c r="R3574" s="443"/>
      <c r="S3574" s="364"/>
      <c r="Z3574" s="609" t="s">
        <v>3873</v>
      </c>
      <c r="AA3574" s="609" t="s">
        <v>5676</v>
      </c>
    </row>
    <row r="3575" spans="1:27" ht="18">
      <c r="A3575" s="2714"/>
      <c r="B3575" s="371">
        <v>105</v>
      </c>
      <c r="C3575" s="371" t="s">
        <v>2791</v>
      </c>
      <c r="D3575" s="2716">
        <f t="shared" si="406"/>
        <v>0</v>
      </c>
      <c r="E3575" s="2721">
        <v>1</v>
      </c>
      <c r="F3575" s="294"/>
      <c r="G3575" s="2375" t="s">
        <v>2792</v>
      </c>
      <c r="H3575" s="2296"/>
      <c r="I3575" s="437"/>
      <c r="J3575" s="472"/>
      <c r="K3575" s="472"/>
      <c r="L3575" s="472"/>
      <c r="M3575" s="472"/>
      <c r="N3575" s="472"/>
      <c r="O3575" s="472"/>
      <c r="P3575" s="442"/>
      <c r="Q3575" s="442"/>
      <c r="R3575" s="443"/>
      <c r="S3575" s="364"/>
      <c r="Z3575" s="609" t="s">
        <v>3873</v>
      </c>
      <c r="AA3575" s="609" t="s">
        <v>5676</v>
      </c>
    </row>
    <row r="3576" spans="1:27" ht="24.75" thickBot="1">
      <c r="A3576" s="2714"/>
      <c r="B3576" s="371"/>
      <c r="C3576" s="371"/>
      <c r="D3576" s="2716">
        <f t="shared" si="406"/>
        <v>1</v>
      </c>
      <c r="E3576" s="2721" t="s">
        <v>3032</v>
      </c>
      <c r="F3576" s="294"/>
      <c r="G3576" s="2234" t="s">
        <v>3884</v>
      </c>
      <c r="H3576" s="2236">
        <f>SUMPRODUCT($E3570:$E3575,H3570:H3575)</f>
        <v>0</v>
      </c>
      <c r="I3576" s="437"/>
      <c r="J3576" s="472"/>
      <c r="K3576" s="472"/>
      <c r="L3576" s="472"/>
      <c r="M3576" s="472"/>
      <c r="N3576" s="472"/>
      <c r="O3576" s="472"/>
      <c r="P3576" s="442"/>
      <c r="Q3576" s="442"/>
      <c r="R3576" s="443"/>
      <c r="S3576" s="364"/>
      <c r="Z3576" s="609" t="s">
        <v>3873</v>
      </c>
      <c r="AA3576" s="609" t="s">
        <v>5676</v>
      </c>
    </row>
    <row r="3577" spans="1:27" ht="18">
      <c r="A3577" s="2714"/>
      <c r="B3577" s="371"/>
      <c r="C3577" s="371" t="s">
        <v>2755</v>
      </c>
      <c r="D3577" s="371"/>
      <c r="F3577" s="294"/>
      <c r="G3577" s="301"/>
      <c r="H3577" s="315"/>
      <c r="I3577" s="437"/>
      <c r="J3577" s="472"/>
      <c r="K3577" s="472"/>
      <c r="L3577" s="472"/>
      <c r="M3577" s="472"/>
      <c r="N3577" s="472"/>
      <c r="O3577" s="472"/>
      <c r="P3577" s="442"/>
      <c r="Q3577" s="442"/>
      <c r="R3577" s="443"/>
      <c r="S3577" s="364"/>
      <c r="Z3577" s="609" t="s">
        <v>3873</v>
      </c>
      <c r="AA3577" s="609" t="s">
        <v>5676</v>
      </c>
    </row>
    <row r="3578" spans="1:27" ht="24">
      <c r="A3578" s="2714" t="s">
        <v>1485</v>
      </c>
      <c r="B3578" s="371">
        <v>5</v>
      </c>
      <c r="C3578" s="371"/>
      <c r="D3578" s="2716" t="str">
        <f>VLOOKUP($A3578,Sheet_NoteList,2,0)</f>
        <v>预收款项中预售房产收款情况</v>
      </c>
      <c r="E3578" s="2716" t="s">
        <v>6532</v>
      </c>
      <c r="F3578" s="294"/>
      <c r="G3578" s="372" t="str">
        <f>"("&amp;B3578&amp;")"&amp;D3578</f>
        <v>(5)预收款项中预售房产收款情况</v>
      </c>
      <c r="H3578" s="1517" t="str">
        <f>$A3578</f>
        <v>2205e</v>
      </c>
      <c r="I3578" s="343" t="s">
        <v>5974</v>
      </c>
      <c r="J3578" s="301" t="s">
        <v>5973</v>
      </c>
      <c r="K3578" s="2210">
        <f>H3586</f>
        <v>0</v>
      </c>
      <c r="L3578" s="345" t="str">
        <f>IF($I3578="适用",IF(ROUND(K$3530-K3578,2)&gt;=0,"","#Logical!"),"#N/A")</f>
        <v/>
      </c>
      <c r="M3578" s="301" t="s">
        <v>5970</v>
      </c>
      <c r="N3578" s="2210">
        <f>I3586</f>
        <v>0</v>
      </c>
      <c r="O3578" s="345" t="str">
        <f>IF($I3578="适用",IF(ROUND(N$3530-N3578,2)&gt;=0,"","#Logical!"),"#N/A")</f>
        <v/>
      </c>
      <c r="P3578" s="301"/>
      <c r="Q3578" s="290" t="str">
        <f>IF($I3578="不适用","",IF(ROUND(SUM($H$3581:$K$3586),2)=0,"请输入",""))</f>
        <v>请输入</v>
      </c>
      <c r="S3578" s="364"/>
      <c r="Z3578" s="609" t="s">
        <v>3873</v>
      </c>
      <c r="AA3578" s="609" t="s">
        <v>5676</v>
      </c>
    </row>
    <row r="3579" spans="1:27" ht="0.75" customHeight="1" thickBot="1">
      <c r="A3579" s="2714"/>
      <c r="B3579" s="371"/>
      <c r="C3579" s="371"/>
      <c r="D3579" s="371"/>
      <c r="E3579" s="586"/>
      <c r="F3579" s="363"/>
      <c r="G3579" s="363" t="s">
        <v>3885</v>
      </c>
      <c r="H3579" s="294" t="s">
        <v>2747</v>
      </c>
      <c r="I3579" s="294" t="s">
        <v>2748</v>
      </c>
      <c r="J3579" s="294" t="s">
        <v>3886</v>
      </c>
      <c r="K3579" s="294" t="s">
        <v>3887</v>
      </c>
      <c r="L3579" s="291"/>
      <c r="M3579" s="291"/>
      <c r="N3579" s="291"/>
      <c r="O3579" s="291"/>
      <c r="S3579" s="364"/>
      <c r="Z3579" s="609" t="s">
        <v>3873</v>
      </c>
      <c r="AA3579" s="609" t="s">
        <v>5676</v>
      </c>
    </row>
    <row r="3580" spans="1:27" ht="18">
      <c r="A3580" s="2714"/>
      <c r="B3580" s="371"/>
      <c r="C3580" s="371"/>
      <c r="D3580" s="371"/>
      <c r="E3580" s="586" t="s">
        <v>2749</v>
      </c>
      <c r="F3580" s="363"/>
      <c r="G3580" s="2363" t="s">
        <v>1476</v>
      </c>
      <c r="H3580" s="2364" t="s">
        <v>2775</v>
      </c>
      <c r="I3580" s="2364" t="s">
        <v>2776</v>
      </c>
      <c r="J3580" s="2364" t="s">
        <v>3245</v>
      </c>
      <c r="K3580" s="2365" t="s">
        <v>3888</v>
      </c>
      <c r="L3580" s="355" t="s">
        <v>6176</v>
      </c>
      <c r="M3580" s="291"/>
      <c r="N3580" s="291"/>
      <c r="O3580" s="291"/>
      <c r="S3580" s="364"/>
      <c r="Z3580" s="609" t="s">
        <v>3873</v>
      </c>
      <c r="AA3580" s="609" t="s">
        <v>5676</v>
      </c>
    </row>
    <row r="3581" spans="1:27" ht="18">
      <c r="A3581" s="2714"/>
      <c r="B3581" s="371">
        <v>101</v>
      </c>
      <c r="C3581" s="371" t="s">
        <v>2791</v>
      </c>
      <c r="D3581" s="2716">
        <f t="shared" ref="D3581:D3586" si="407">IF(OR(G3581="*",G3581="",G3581=0),0,COUNTIF($G$3581:$G$3586,G3581))</f>
        <v>0</v>
      </c>
      <c r="E3581" s="2721">
        <v>1</v>
      </c>
      <c r="F3581" s="294"/>
      <c r="G3581" s="2375" t="s">
        <v>2792</v>
      </c>
      <c r="H3581" s="2275"/>
      <c r="I3581" s="2275"/>
      <c r="J3581" s="2298"/>
      <c r="K3581" s="2276"/>
      <c r="L3581" s="291"/>
      <c r="M3581" s="291"/>
      <c r="N3581" s="291"/>
      <c r="O3581" s="291"/>
      <c r="S3581" s="364"/>
      <c r="Z3581" s="609" t="s">
        <v>3873</v>
      </c>
      <c r="AA3581" s="609" t="s">
        <v>5676</v>
      </c>
    </row>
    <row r="3582" spans="1:27" ht="18">
      <c r="A3582" s="2714"/>
      <c r="B3582" s="371">
        <v>102</v>
      </c>
      <c r="C3582" s="371" t="s">
        <v>2791</v>
      </c>
      <c r="D3582" s="2716">
        <f t="shared" si="407"/>
        <v>0</v>
      </c>
      <c r="E3582" s="2721">
        <v>1</v>
      </c>
      <c r="F3582" s="294"/>
      <c r="G3582" s="2375" t="s">
        <v>2792</v>
      </c>
      <c r="H3582" s="2275"/>
      <c r="I3582" s="2275"/>
      <c r="J3582" s="2298"/>
      <c r="K3582" s="2276"/>
      <c r="L3582" s="291"/>
      <c r="M3582" s="291"/>
      <c r="N3582" s="291"/>
      <c r="O3582" s="291"/>
      <c r="S3582" s="364"/>
      <c r="Z3582" s="609" t="s">
        <v>3873</v>
      </c>
      <c r="AA3582" s="609" t="s">
        <v>5676</v>
      </c>
    </row>
    <row r="3583" spans="1:27" ht="18">
      <c r="A3583" s="2714"/>
      <c r="B3583" s="371">
        <v>103</v>
      </c>
      <c r="C3583" s="371" t="s">
        <v>2791</v>
      </c>
      <c r="D3583" s="2716">
        <f t="shared" si="407"/>
        <v>0</v>
      </c>
      <c r="E3583" s="2721">
        <v>1</v>
      </c>
      <c r="F3583" s="294"/>
      <c r="G3583" s="2375" t="s">
        <v>2792</v>
      </c>
      <c r="H3583" s="2275"/>
      <c r="I3583" s="2275"/>
      <c r="J3583" s="2298"/>
      <c r="K3583" s="2276"/>
      <c r="L3583" s="291"/>
      <c r="M3583" s="291"/>
      <c r="N3583" s="291"/>
      <c r="O3583" s="291"/>
      <c r="S3583" s="364"/>
      <c r="Z3583" s="609" t="s">
        <v>3873</v>
      </c>
      <c r="AA3583" s="609" t="s">
        <v>5676</v>
      </c>
    </row>
    <row r="3584" spans="1:27" ht="18">
      <c r="A3584" s="2714"/>
      <c r="B3584" s="371">
        <v>104</v>
      </c>
      <c r="C3584" s="371" t="s">
        <v>2791</v>
      </c>
      <c r="D3584" s="2716">
        <f t="shared" si="407"/>
        <v>0</v>
      </c>
      <c r="E3584" s="2721">
        <v>1</v>
      </c>
      <c r="F3584" s="294"/>
      <c r="G3584" s="2375" t="s">
        <v>2792</v>
      </c>
      <c r="H3584" s="2275"/>
      <c r="I3584" s="2275"/>
      <c r="J3584" s="2298"/>
      <c r="K3584" s="2276"/>
      <c r="L3584" s="291"/>
      <c r="M3584" s="291"/>
      <c r="N3584" s="291"/>
      <c r="O3584" s="291"/>
      <c r="S3584" s="364"/>
      <c r="Z3584" s="609" t="s">
        <v>3873</v>
      </c>
      <c r="AA3584" s="609" t="s">
        <v>5676</v>
      </c>
    </row>
    <row r="3585" spans="1:27" ht="18">
      <c r="A3585" s="2714"/>
      <c r="B3585" s="371">
        <v>105</v>
      </c>
      <c r="C3585" s="371" t="s">
        <v>2791</v>
      </c>
      <c r="D3585" s="2716">
        <f t="shared" si="407"/>
        <v>0</v>
      </c>
      <c r="E3585" s="2721">
        <v>1</v>
      </c>
      <c r="F3585" s="294"/>
      <c r="G3585" s="2375" t="s">
        <v>2792</v>
      </c>
      <c r="H3585" s="2275"/>
      <c r="I3585" s="2275"/>
      <c r="J3585" s="2298"/>
      <c r="K3585" s="2276"/>
      <c r="L3585" s="291"/>
      <c r="M3585" s="291"/>
      <c r="N3585" s="291"/>
      <c r="O3585" s="291"/>
      <c r="S3585" s="364"/>
      <c r="Z3585" s="609" t="s">
        <v>3873</v>
      </c>
      <c r="AA3585" s="609" t="s">
        <v>5676</v>
      </c>
    </row>
    <row r="3586" spans="1:27" ht="18.75" thickBot="1">
      <c r="A3586" s="2714"/>
      <c r="B3586" s="371"/>
      <c r="C3586" s="371"/>
      <c r="D3586" s="2716">
        <f t="shared" si="407"/>
        <v>1</v>
      </c>
      <c r="E3586" s="2721" t="s">
        <v>3032</v>
      </c>
      <c r="F3586" s="294"/>
      <c r="G3586" s="1529" t="s">
        <v>2752</v>
      </c>
      <c r="H3586" s="1527">
        <f>SUMPRODUCT($E3580:$E3585,H3580:H3585)</f>
        <v>0</v>
      </c>
      <c r="I3586" s="1527">
        <f>SUMPRODUCT($E3580:$E3585,I3580:I3585)</f>
        <v>0</v>
      </c>
      <c r="J3586" s="2316"/>
      <c r="K3586" s="2266"/>
      <c r="L3586" s="291"/>
      <c r="M3586" s="291"/>
      <c r="N3586" s="291"/>
      <c r="O3586" s="291"/>
      <c r="S3586" s="364"/>
      <c r="Z3586" s="609" t="s">
        <v>3873</v>
      </c>
      <c r="AA3586" s="609" t="s">
        <v>5676</v>
      </c>
    </row>
    <row r="3587" spans="1:27" ht="18">
      <c r="A3587" s="2714"/>
      <c r="B3587" s="371"/>
      <c r="C3587" s="371" t="s">
        <v>2755</v>
      </c>
      <c r="D3587" s="371"/>
      <c r="F3587" s="294"/>
      <c r="G3587" s="301"/>
      <c r="H3587" s="315"/>
      <c r="I3587" s="315"/>
      <c r="J3587" s="393"/>
      <c r="K3587" s="393"/>
      <c r="L3587" s="291"/>
      <c r="M3587" s="291"/>
      <c r="N3587" s="291"/>
      <c r="O3587" s="291"/>
      <c r="S3587" s="364"/>
      <c r="Z3587" s="609" t="s">
        <v>3873</v>
      </c>
      <c r="AA3587" s="609" t="s">
        <v>5676</v>
      </c>
    </row>
    <row r="3588" spans="1:27" ht="24">
      <c r="A3588" s="2714" t="s">
        <v>1474</v>
      </c>
      <c r="B3588" s="371">
        <v>6</v>
      </c>
      <c r="C3588" s="371"/>
      <c r="D3588" s="2716" t="str">
        <f>VLOOKUP($A3588,Sheet_NoteList,2,0)</f>
        <v>关联方应收应付款项——预收款项</v>
      </c>
      <c r="E3588" s="2716" t="s">
        <v>6532</v>
      </c>
      <c r="F3588" s="294"/>
      <c r="G3588" s="372" t="str">
        <f>"("&amp;B3588&amp;")"&amp;D3588</f>
        <v>(6)关联方应收应付款项——预收款项</v>
      </c>
      <c r="H3588" s="1517" t="str">
        <f>$A3588</f>
        <v>2205c</v>
      </c>
      <c r="I3588" s="343" t="s">
        <v>5612</v>
      </c>
      <c r="J3588" s="301"/>
      <c r="K3588" s="3071"/>
      <c r="L3588" s="315"/>
      <c r="M3588" s="301"/>
      <c r="N3588" s="3071"/>
      <c r="O3588" s="315"/>
      <c r="P3588" s="301"/>
      <c r="Q3588" s="290" t="str">
        <f>IF($I3588="不适用","",IF(ROUND(SUM($H$3591:$I$3596),2)=0,"请输入",""))</f>
        <v>请输入</v>
      </c>
      <c r="S3588" s="364"/>
      <c r="Z3588" s="609" t="s">
        <v>3873</v>
      </c>
      <c r="AA3588" s="609" t="s">
        <v>5676</v>
      </c>
    </row>
    <row r="3589" spans="1:27" ht="0.75" customHeight="1" thickBot="1">
      <c r="A3589" s="2714"/>
      <c r="B3589" s="371"/>
      <c r="C3589" s="371"/>
      <c r="D3589" s="371"/>
      <c r="F3589" s="304"/>
      <c r="G3589" s="304" t="s">
        <v>3889</v>
      </c>
      <c r="H3589" s="304" t="s">
        <v>2747</v>
      </c>
      <c r="I3589" s="304" t="s">
        <v>2748</v>
      </c>
      <c r="J3589" s="291"/>
      <c r="K3589" s="291"/>
      <c r="L3589" s="291"/>
      <c r="M3589" s="291"/>
      <c r="S3589" s="364"/>
      <c r="Z3589" s="609" t="s">
        <v>3873</v>
      </c>
      <c r="AA3589" s="609" t="s">
        <v>5676</v>
      </c>
    </row>
    <row r="3590" spans="1:27" ht="18">
      <c r="A3590" s="2714"/>
      <c r="B3590" s="371"/>
      <c r="C3590" s="371"/>
      <c r="D3590" s="371"/>
      <c r="E3590" s="2716" t="s">
        <v>2749</v>
      </c>
      <c r="F3590" s="294"/>
      <c r="G3590" s="1633" t="s">
        <v>1423</v>
      </c>
      <c r="H3590" s="1631" t="s">
        <v>2775</v>
      </c>
      <c r="I3590" s="1632" t="s">
        <v>2776</v>
      </c>
      <c r="J3590" s="343" t="s">
        <v>3089</v>
      </c>
      <c r="K3590" s="291"/>
      <c r="L3590" s="291"/>
      <c r="M3590" s="291"/>
      <c r="S3590" s="364"/>
      <c r="Z3590" s="609" t="s">
        <v>3873</v>
      </c>
      <c r="AA3590" s="609" t="s">
        <v>5676</v>
      </c>
    </row>
    <row r="3591" spans="1:27" ht="18">
      <c r="A3591" s="2714"/>
      <c r="B3591" s="371">
        <v>101</v>
      </c>
      <c r="C3591" s="371" t="s">
        <v>2791</v>
      </c>
      <c r="D3591" s="2716">
        <f t="shared" ref="D3591:D3596" si="408">IF(OR(G3591="*",G3591="",G3591=0),0,COUNTIF($G$3591:$G$3596,G3591))</f>
        <v>0</v>
      </c>
      <c r="E3591" s="2721">
        <v>1</v>
      </c>
      <c r="F3591" s="294"/>
      <c r="G3591" s="1634" t="s">
        <v>2792</v>
      </c>
      <c r="H3591" s="309"/>
      <c r="I3591" s="346"/>
      <c r="J3591" s="355" t="s">
        <v>5364</v>
      </c>
      <c r="K3591" s="1522" t="s">
        <v>5613</v>
      </c>
      <c r="L3591" s="291"/>
      <c r="M3591" s="291"/>
      <c r="S3591" s="364"/>
      <c r="Z3591" s="609" t="s">
        <v>3873</v>
      </c>
      <c r="AA3591" s="609" t="s">
        <v>5676</v>
      </c>
    </row>
    <row r="3592" spans="1:27" ht="18">
      <c r="A3592" s="2714"/>
      <c r="B3592" s="371">
        <v>102</v>
      </c>
      <c r="C3592" s="371" t="s">
        <v>2791</v>
      </c>
      <c r="D3592" s="2716">
        <f t="shared" si="408"/>
        <v>0</v>
      </c>
      <c r="E3592" s="2721">
        <v>1</v>
      </c>
      <c r="F3592" s="294"/>
      <c r="G3592" s="1634" t="s">
        <v>2792</v>
      </c>
      <c r="H3592" s="309"/>
      <c r="I3592" s="346"/>
      <c r="J3592" s="291"/>
      <c r="K3592" s="291"/>
      <c r="L3592" s="291"/>
      <c r="M3592" s="291"/>
      <c r="S3592" s="364"/>
      <c r="Z3592" s="609" t="s">
        <v>3873</v>
      </c>
      <c r="AA3592" s="609" t="s">
        <v>5676</v>
      </c>
    </row>
    <row r="3593" spans="1:27" ht="18">
      <c r="A3593" s="2714"/>
      <c r="B3593" s="371">
        <v>103</v>
      </c>
      <c r="C3593" s="371" t="s">
        <v>2791</v>
      </c>
      <c r="D3593" s="2716">
        <f t="shared" si="408"/>
        <v>0</v>
      </c>
      <c r="E3593" s="2721">
        <v>1</v>
      </c>
      <c r="F3593" s="294"/>
      <c r="G3593" s="1634" t="s">
        <v>2792</v>
      </c>
      <c r="H3593" s="309"/>
      <c r="I3593" s="346"/>
      <c r="J3593" s="291"/>
      <c r="K3593" s="291"/>
      <c r="L3593" s="291"/>
      <c r="M3593" s="291"/>
      <c r="S3593" s="364"/>
      <c r="Z3593" s="609" t="s">
        <v>3873</v>
      </c>
      <c r="AA3593" s="609" t="s">
        <v>5676</v>
      </c>
    </row>
    <row r="3594" spans="1:27" ht="18">
      <c r="A3594" s="2714"/>
      <c r="B3594" s="371">
        <v>104</v>
      </c>
      <c r="C3594" s="371" t="s">
        <v>2791</v>
      </c>
      <c r="D3594" s="2716">
        <f t="shared" si="408"/>
        <v>0</v>
      </c>
      <c r="E3594" s="2721">
        <v>1</v>
      </c>
      <c r="F3594" s="294"/>
      <c r="G3594" s="1634" t="s">
        <v>2792</v>
      </c>
      <c r="H3594" s="309"/>
      <c r="I3594" s="346"/>
      <c r="J3594" s="291"/>
      <c r="K3594" s="291"/>
      <c r="L3594" s="291"/>
      <c r="M3594" s="291"/>
      <c r="S3594" s="364"/>
      <c r="Z3594" s="609" t="s">
        <v>3873</v>
      </c>
      <c r="AA3594" s="609" t="s">
        <v>5676</v>
      </c>
    </row>
    <row r="3595" spans="1:27" ht="18">
      <c r="A3595" s="2714"/>
      <c r="B3595" s="371">
        <v>105</v>
      </c>
      <c r="C3595" s="371" t="s">
        <v>2791</v>
      </c>
      <c r="D3595" s="2716">
        <f t="shared" si="408"/>
        <v>0</v>
      </c>
      <c r="E3595" s="2721">
        <v>1</v>
      </c>
      <c r="F3595" s="294"/>
      <c r="G3595" s="1634" t="s">
        <v>2792</v>
      </c>
      <c r="H3595" s="309"/>
      <c r="I3595" s="346"/>
      <c r="J3595" s="291"/>
      <c r="K3595" s="291"/>
      <c r="L3595" s="291"/>
      <c r="M3595" s="291"/>
      <c r="S3595" s="364"/>
      <c r="Z3595" s="609" t="s">
        <v>3873</v>
      </c>
      <c r="AA3595" s="609" t="s">
        <v>5676</v>
      </c>
    </row>
    <row r="3596" spans="1:27" ht="18.75" thickBot="1">
      <c r="A3596" s="2714"/>
      <c r="B3596" s="371"/>
      <c r="C3596" s="371"/>
      <c r="D3596" s="2716">
        <f t="shared" si="408"/>
        <v>1</v>
      </c>
      <c r="E3596" s="2721" t="s">
        <v>3032</v>
      </c>
      <c r="F3596" s="294"/>
      <c r="G3596" s="1529" t="s">
        <v>2752</v>
      </c>
      <c r="H3596" s="1527">
        <f>SUMPRODUCT($E3590:$E3595,H3590:H3595)</f>
        <v>0</v>
      </c>
      <c r="I3596" s="1528">
        <f>SUMPRODUCT($E3590:$E3595,I3590:I3595)</f>
        <v>0</v>
      </c>
      <c r="J3596" s="291"/>
      <c r="K3596" s="291"/>
      <c r="L3596" s="291"/>
      <c r="M3596" s="291"/>
      <c r="S3596" s="364"/>
      <c r="Z3596" s="609" t="s">
        <v>3873</v>
      </c>
      <c r="AA3596" s="609" t="s">
        <v>5676</v>
      </c>
    </row>
    <row r="3597" spans="1:27" ht="18">
      <c r="A3597" s="2714"/>
      <c r="B3597" s="371"/>
      <c r="C3597" s="371" t="s">
        <v>2755</v>
      </c>
      <c r="D3597" s="371"/>
      <c r="F3597" s="294"/>
      <c r="G3597" s="301"/>
      <c r="H3597" s="315"/>
      <c r="I3597" s="315"/>
      <c r="J3597" s="291"/>
      <c r="K3597" s="291"/>
      <c r="L3597" s="291"/>
      <c r="M3597" s="291"/>
      <c r="S3597" s="364"/>
      <c r="Z3597" s="609" t="s">
        <v>3873</v>
      </c>
      <c r="AA3597" s="609" t="s">
        <v>5676</v>
      </c>
    </row>
    <row r="3598" spans="1:27" ht="18">
      <c r="A3598" s="2714" t="s">
        <v>1495</v>
      </c>
      <c r="B3598" s="371">
        <v>7</v>
      </c>
      <c r="C3598" s="371"/>
      <c r="D3598" s="2716" t="str">
        <f>VLOOKUP($A3598,Sheet_NoteList,2,0)</f>
        <v>预收款项补充资料</v>
      </c>
      <c r="E3598" s="2716" t="s">
        <v>6532</v>
      </c>
      <c r="F3598" s="294"/>
      <c r="G3598" s="597" t="str">
        <f>"("&amp;B3598&amp;")"&amp;D3598</f>
        <v>(7)预收款项补充资料</v>
      </c>
      <c r="H3598" s="1517" t="str">
        <f>$A3598</f>
        <v>2205x</v>
      </c>
      <c r="I3598" s="343" t="s">
        <v>5966</v>
      </c>
      <c r="J3598" s="301" t="s">
        <v>5971</v>
      </c>
      <c r="K3598" s="2210">
        <f>H3615</f>
        <v>0</v>
      </c>
      <c r="L3598" s="345"/>
      <c r="M3598" s="301"/>
      <c r="N3598" s="3071"/>
      <c r="O3598" s="315"/>
      <c r="P3598" s="301"/>
      <c r="S3598" s="364"/>
      <c r="Z3598" s="609" t="s">
        <v>3873</v>
      </c>
      <c r="AA3598" s="609" t="s">
        <v>5676</v>
      </c>
    </row>
    <row r="3599" spans="1:27" ht="0.75" customHeight="1" thickBot="1">
      <c r="A3599" s="2714"/>
      <c r="B3599" s="371"/>
      <c r="C3599" s="371"/>
      <c r="D3599" s="371"/>
      <c r="F3599" s="371"/>
      <c r="G3599" s="371" t="s">
        <v>3890</v>
      </c>
      <c r="H3599" s="371" t="s">
        <v>2747</v>
      </c>
      <c r="I3599" s="371" t="s">
        <v>3859</v>
      </c>
      <c r="K3599" s="291"/>
      <c r="L3599" s="291"/>
      <c r="M3599" s="291"/>
      <c r="N3599" s="291"/>
      <c r="S3599" s="364"/>
      <c r="Z3599" s="609" t="s">
        <v>3873</v>
      </c>
      <c r="AA3599" s="609" t="s">
        <v>5676</v>
      </c>
    </row>
    <row r="3600" spans="1:27" ht="18">
      <c r="A3600" s="2714"/>
      <c r="B3600" s="371"/>
      <c r="C3600" s="371"/>
      <c r="D3600" s="371"/>
      <c r="E3600" s="2716" t="s">
        <v>2749</v>
      </c>
      <c r="F3600" s="294"/>
      <c r="G3600" s="2386" t="s">
        <v>1465</v>
      </c>
      <c r="H3600" s="2398" t="s">
        <v>2775</v>
      </c>
      <c r="I3600" s="2388" t="s">
        <v>2508</v>
      </c>
      <c r="J3600" s="355" t="s">
        <v>6176</v>
      </c>
      <c r="K3600" s="291"/>
      <c r="L3600" s="291"/>
      <c r="M3600" s="291"/>
      <c r="N3600" s="291"/>
      <c r="S3600" s="364"/>
      <c r="Z3600" s="609" t="s">
        <v>3873</v>
      </c>
      <c r="AA3600" s="609" t="s">
        <v>5676</v>
      </c>
    </row>
    <row r="3601" spans="1:27" ht="24">
      <c r="A3601" s="2714"/>
      <c r="B3601" s="371">
        <v>101</v>
      </c>
      <c r="C3601" s="371"/>
      <c r="D3601" s="2716">
        <f t="shared" ref="D3601:D3615" si="409">IF(OR(G3601="*",G3601="",G3601=0),0,COUNTIF($G$3601:$G$3615,G3601))</f>
        <v>1</v>
      </c>
      <c r="E3601" s="2721" t="s">
        <v>41</v>
      </c>
      <c r="F3601" s="294"/>
      <c r="G3601" s="308" t="s">
        <v>3891</v>
      </c>
      <c r="H3601" s="309"/>
      <c r="I3601" s="388"/>
      <c r="J3601" s="579"/>
      <c r="K3601" s="291"/>
      <c r="L3601" s="291"/>
      <c r="M3601" s="291"/>
      <c r="N3601" s="291"/>
      <c r="S3601" s="364"/>
      <c r="Z3601" s="609" t="s">
        <v>3873</v>
      </c>
      <c r="AA3601" s="609" t="s">
        <v>5676</v>
      </c>
    </row>
    <row r="3602" spans="1:27" ht="18">
      <c r="A3602" s="2714"/>
      <c r="B3602" s="371">
        <v>101.001</v>
      </c>
      <c r="C3602" s="371" t="s">
        <v>2791</v>
      </c>
      <c r="D3602" s="2716">
        <f t="shared" si="409"/>
        <v>0</v>
      </c>
      <c r="E3602" s="2721" t="s">
        <v>3892</v>
      </c>
      <c r="F3602" s="294"/>
      <c r="G3602" s="319" t="s">
        <v>2792</v>
      </c>
      <c r="H3602" s="309"/>
      <c r="I3602" s="388"/>
      <c r="K3602" s="291"/>
      <c r="L3602" s="291"/>
      <c r="M3602" s="291"/>
      <c r="N3602" s="291"/>
      <c r="S3602" s="364"/>
      <c r="Z3602" s="609" t="s">
        <v>3873</v>
      </c>
      <c r="AA3602" s="609" t="s">
        <v>5676</v>
      </c>
    </row>
    <row r="3603" spans="1:27" ht="18">
      <c r="A3603" s="2714"/>
      <c r="B3603" s="371">
        <v>101.002</v>
      </c>
      <c r="C3603" s="371" t="s">
        <v>2791</v>
      </c>
      <c r="D3603" s="2716">
        <f t="shared" si="409"/>
        <v>0</v>
      </c>
      <c r="E3603" s="2721" t="s">
        <v>3892</v>
      </c>
      <c r="F3603" s="294"/>
      <c r="G3603" s="319" t="s">
        <v>2792</v>
      </c>
      <c r="H3603" s="309"/>
      <c r="I3603" s="388"/>
      <c r="K3603" s="291"/>
      <c r="L3603" s="291"/>
      <c r="M3603" s="291"/>
      <c r="N3603" s="291"/>
      <c r="S3603" s="364"/>
      <c r="Z3603" s="609" t="s">
        <v>3873</v>
      </c>
      <c r="AA3603" s="609" t="s">
        <v>5676</v>
      </c>
    </row>
    <row r="3604" spans="1:27" ht="18">
      <c r="A3604" s="2714"/>
      <c r="B3604" s="371">
        <v>101.003</v>
      </c>
      <c r="C3604" s="371" t="s">
        <v>2791</v>
      </c>
      <c r="D3604" s="2716">
        <f t="shared" si="409"/>
        <v>0</v>
      </c>
      <c r="E3604" s="2721" t="s">
        <v>3892</v>
      </c>
      <c r="F3604" s="294"/>
      <c r="G3604" s="319" t="s">
        <v>2792</v>
      </c>
      <c r="H3604" s="309"/>
      <c r="I3604" s="388"/>
      <c r="K3604" s="291"/>
      <c r="L3604" s="291"/>
      <c r="M3604" s="291"/>
      <c r="N3604" s="291"/>
      <c r="S3604" s="364"/>
      <c r="Z3604" s="609" t="s">
        <v>3873</v>
      </c>
      <c r="AA3604" s="609" t="s">
        <v>5676</v>
      </c>
    </row>
    <row r="3605" spans="1:27" ht="18">
      <c r="A3605" s="2714"/>
      <c r="B3605" s="371">
        <v>101.004</v>
      </c>
      <c r="C3605" s="371" t="s">
        <v>2791</v>
      </c>
      <c r="D3605" s="2716">
        <f t="shared" si="409"/>
        <v>0</v>
      </c>
      <c r="E3605" s="2721" t="s">
        <v>3892</v>
      </c>
      <c r="F3605" s="294"/>
      <c r="G3605" s="319" t="s">
        <v>2792</v>
      </c>
      <c r="H3605" s="309"/>
      <c r="I3605" s="388"/>
      <c r="K3605" s="291"/>
      <c r="L3605" s="291"/>
      <c r="M3605" s="291"/>
      <c r="N3605" s="291"/>
      <c r="S3605" s="364"/>
      <c r="Z3605" s="609" t="s">
        <v>3873</v>
      </c>
      <c r="AA3605" s="609" t="s">
        <v>5676</v>
      </c>
    </row>
    <row r="3606" spans="1:27" ht="18">
      <c r="A3606" s="2714"/>
      <c r="B3606" s="371">
        <v>101.005</v>
      </c>
      <c r="C3606" s="371" t="s">
        <v>2791</v>
      </c>
      <c r="D3606" s="2716">
        <f t="shared" si="409"/>
        <v>0</v>
      </c>
      <c r="E3606" s="2721" t="s">
        <v>3892</v>
      </c>
      <c r="F3606" s="294"/>
      <c r="G3606" s="319" t="s">
        <v>2792</v>
      </c>
      <c r="H3606" s="309"/>
      <c r="I3606" s="388"/>
      <c r="K3606" s="291"/>
      <c r="L3606" s="291"/>
      <c r="M3606" s="291"/>
      <c r="N3606" s="291"/>
      <c r="S3606" s="364"/>
      <c r="Z3606" s="609" t="s">
        <v>3873</v>
      </c>
      <c r="AA3606" s="609" t="s">
        <v>5676</v>
      </c>
    </row>
    <row r="3607" spans="1:27" ht="24">
      <c r="A3607" s="2714"/>
      <c r="B3607" s="371">
        <v>101.999</v>
      </c>
      <c r="C3607" s="371" t="s">
        <v>2793</v>
      </c>
      <c r="D3607" s="2716">
        <f t="shared" si="409"/>
        <v>1</v>
      </c>
      <c r="E3607" s="2721">
        <v>1</v>
      </c>
      <c r="F3607" s="294"/>
      <c r="G3607" s="603" t="s">
        <v>3892</v>
      </c>
      <c r="H3607" s="377">
        <f>SUMIF($E$3600:$E$3614,$G3607,H$3600:H$3614)</f>
        <v>0</v>
      </c>
      <c r="I3607" s="388"/>
      <c r="K3607" s="291"/>
      <c r="L3607" s="291"/>
      <c r="M3607" s="291"/>
      <c r="N3607" s="291"/>
      <c r="S3607" s="364"/>
      <c r="Z3607" s="609" t="s">
        <v>3873</v>
      </c>
      <c r="AA3607" s="609" t="s">
        <v>5676</v>
      </c>
    </row>
    <row r="3608" spans="1:27" ht="18">
      <c r="A3608" s="2714"/>
      <c r="B3608" s="371">
        <v>102</v>
      </c>
      <c r="C3608" s="371"/>
      <c r="D3608" s="2716">
        <f t="shared" si="409"/>
        <v>1</v>
      </c>
      <c r="E3608" s="2721" t="s">
        <v>41</v>
      </c>
      <c r="F3608" s="294"/>
      <c r="G3608" s="308" t="s">
        <v>3871</v>
      </c>
      <c r="H3608" s="309"/>
      <c r="I3608" s="388"/>
      <c r="K3608" s="291"/>
      <c r="L3608" s="291"/>
      <c r="M3608" s="291"/>
      <c r="N3608" s="291"/>
      <c r="S3608" s="364"/>
      <c r="Z3608" s="609" t="s">
        <v>3873</v>
      </c>
      <c r="AA3608" s="609" t="s">
        <v>5676</v>
      </c>
    </row>
    <row r="3609" spans="1:27" ht="18">
      <c r="A3609" s="2714"/>
      <c r="B3609" s="371">
        <v>102.001</v>
      </c>
      <c r="C3609" s="371" t="s">
        <v>2791</v>
      </c>
      <c r="D3609" s="2716">
        <f t="shared" si="409"/>
        <v>0</v>
      </c>
      <c r="E3609" s="2721" t="s">
        <v>3872</v>
      </c>
      <c r="F3609" s="294"/>
      <c r="G3609" s="319" t="s">
        <v>2792</v>
      </c>
      <c r="H3609" s="309"/>
      <c r="I3609" s="388"/>
      <c r="K3609" s="291"/>
      <c r="L3609" s="291"/>
      <c r="M3609" s="291"/>
      <c r="N3609" s="291"/>
      <c r="S3609" s="364"/>
      <c r="Z3609" s="609" t="s">
        <v>3873</v>
      </c>
      <c r="AA3609" s="609" t="s">
        <v>5676</v>
      </c>
    </row>
    <row r="3610" spans="1:27" ht="18">
      <c r="A3610" s="2714"/>
      <c r="B3610" s="371">
        <v>102.002</v>
      </c>
      <c r="C3610" s="371" t="s">
        <v>2791</v>
      </c>
      <c r="D3610" s="2716">
        <f t="shared" si="409"/>
        <v>0</v>
      </c>
      <c r="E3610" s="2721" t="s">
        <v>3872</v>
      </c>
      <c r="F3610" s="294"/>
      <c r="G3610" s="319" t="s">
        <v>2792</v>
      </c>
      <c r="H3610" s="309"/>
      <c r="I3610" s="388"/>
      <c r="K3610" s="291"/>
      <c r="L3610" s="291"/>
      <c r="M3610" s="291"/>
      <c r="N3610" s="291"/>
      <c r="S3610" s="364"/>
      <c r="Z3610" s="609" t="s">
        <v>3873</v>
      </c>
      <c r="AA3610" s="609" t="s">
        <v>5676</v>
      </c>
    </row>
    <row r="3611" spans="1:27" ht="18">
      <c r="A3611" s="2714"/>
      <c r="B3611" s="371">
        <v>102.003</v>
      </c>
      <c r="C3611" s="371" t="s">
        <v>2791</v>
      </c>
      <c r="D3611" s="2716">
        <f t="shared" si="409"/>
        <v>0</v>
      </c>
      <c r="E3611" s="2721" t="s">
        <v>3872</v>
      </c>
      <c r="F3611" s="294"/>
      <c r="G3611" s="319" t="s">
        <v>2792</v>
      </c>
      <c r="H3611" s="309"/>
      <c r="I3611" s="388"/>
      <c r="K3611" s="291"/>
      <c r="L3611" s="291"/>
      <c r="M3611" s="291"/>
      <c r="N3611" s="291"/>
      <c r="S3611" s="364"/>
      <c r="Z3611" s="609" t="s">
        <v>3873</v>
      </c>
      <c r="AA3611" s="609" t="s">
        <v>5676</v>
      </c>
    </row>
    <row r="3612" spans="1:27" ht="18">
      <c r="A3612" s="2714"/>
      <c r="B3612" s="371">
        <v>102.004</v>
      </c>
      <c r="C3612" s="371" t="s">
        <v>2791</v>
      </c>
      <c r="D3612" s="2716">
        <f t="shared" si="409"/>
        <v>0</v>
      </c>
      <c r="E3612" s="2721" t="s">
        <v>3872</v>
      </c>
      <c r="F3612" s="294"/>
      <c r="G3612" s="319" t="s">
        <v>2792</v>
      </c>
      <c r="H3612" s="309"/>
      <c r="I3612" s="388"/>
      <c r="K3612" s="291"/>
      <c r="L3612" s="291"/>
      <c r="M3612" s="291"/>
      <c r="N3612" s="291"/>
      <c r="S3612" s="364"/>
      <c r="Z3612" s="609" t="s">
        <v>3873</v>
      </c>
      <c r="AA3612" s="609" t="s">
        <v>5676</v>
      </c>
    </row>
    <row r="3613" spans="1:27" ht="18">
      <c r="A3613" s="2714"/>
      <c r="B3613" s="371">
        <v>102.005</v>
      </c>
      <c r="C3613" s="371" t="s">
        <v>2791</v>
      </c>
      <c r="D3613" s="2716">
        <f t="shared" si="409"/>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102.999</v>
      </c>
      <c r="C3614" s="371" t="s">
        <v>2793</v>
      </c>
      <c r="D3614" s="2716">
        <f t="shared" si="409"/>
        <v>1</v>
      </c>
      <c r="E3614" s="2721">
        <v>1</v>
      </c>
      <c r="F3614" s="294"/>
      <c r="G3614" s="549" t="s">
        <v>3872</v>
      </c>
      <c r="H3614" s="377">
        <f>SUMIF($E$3600:$E$3614,$G3614,H$3600:H$3614)</f>
        <v>0</v>
      </c>
      <c r="I3614" s="388"/>
      <c r="K3614" s="291"/>
      <c r="L3614" s="291"/>
      <c r="M3614" s="291"/>
      <c r="N3614" s="291"/>
      <c r="S3614" s="364"/>
      <c r="Z3614" s="609" t="s">
        <v>3873</v>
      </c>
      <c r="AA3614" s="609" t="s">
        <v>5676</v>
      </c>
    </row>
    <row r="3615" spans="1:27" ht="18.75" thickBot="1">
      <c r="A3615" s="2714"/>
      <c r="B3615" s="371"/>
      <c r="C3615" s="371"/>
      <c r="D3615" s="2716">
        <f t="shared" si="409"/>
        <v>1</v>
      </c>
      <c r="E3615" s="2721" t="s">
        <v>2751</v>
      </c>
      <c r="F3615" s="294"/>
      <c r="G3615" s="1529" t="s">
        <v>2752</v>
      </c>
      <c r="H3615" s="2391">
        <f>SUMPRODUCT($E3600:$E3614,H3600:H3614)</f>
        <v>0</v>
      </c>
      <c r="I3615" s="1612"/>
      <c r="K3615" s="291"/>
      <c r="L3615" s="291"/>
      <c r="M3615" s="291"/>
      <c r="N3615" s="291"/>
      <c r="S3615" s="364"/>
      <c r="Z3615" s="609" t="s">
        <v>3873</v>
      </c>
      <c r="AA3615" s="609" t="s">
        <v>5676</v>
      </c>
    </row>
    <row r="3616" spans="1:27" ht="18">
      <c r="A3616" s="2714"/>
      <c r="B3616" s="371"/>
      <c r="C3616" s="371" t="s">
        <v>2755</v>
      </c>
      <c r="D3616" s="371"/>
      <c r="F3616" s="294"/>
      <c r="G3616" s="301"/>
      <c r="H3616" s="315"/>
      <c r="I3616" s="393"/>
      <c r="J3616" s="350"/>
      <c r="K3616" s="291"/>
      <c r="L3616" s="291"/>
      <c r="M3616" s="291"/>
      <c r="N3616" s="291"/>
      <c r="S3616" s="364"/>
      <c r="Z3616" s="609" t="s">
        <v>3873</v>
      </c>
      <c r="AA3616" s="609" t="s">
        <v>5676</v>
      </c>
    </row>
    <row r="3617" spans="1:29" ht="18">
      <c r="A3617" s="2714">
        <v>2211</v>
      </c>
      <c r="B3617" s="371">
        <v>40</v>
      </c>
      <c r="C3617" s="2716" t="str">
        <f>VLOOKUP($A3617,Sheet_Items,2,0)</f>
        <v>应付职工薪酬</v>
      </c>
      <c r="D3617" s="371"/>
      <c r="E3617" s="2716" t="s">
        <v>2739</v>
      </c>
      <c r="F3617" s="294"/>
      <c r="G3617" s="305" t="str">
        <f>B3617&amp;" "&amp;C3617</f>
        <v>40 应付职工薪酬</v>
      </c>
      <c r="H3617" s="306"/>
      <c r="I3617" s="306"/>
      <c r="J3617" s="306" t="s">
        <v>2740</v>
      </c>
      <c r="K3617" s="341">
        <f>VLOOKUP($A3617,Sheet_Trialbal,6,0)</f>
        <v>0</v>
      </c>
      <c r="L3617" s="342"/>
      <c r="M3617" s="306" t="s">
        <v>2741</v>
      </c>
      <c r="N3617" s="341">
        <f>VLOOKUP($A3617,Sheet_Trialbal,10,0)</f>
        <v>2712561.36</v>
      </c>
      <c r="O3617" s="306"/>
      <c r="P3617" s="301"/>
      <c r="S3617" s="364"/>
      <c r="Z3617" s="609" t="s">
        <v>3893</v>
      </c>
      <c r="AA3617" s="609" t="s">
        <v>5678</v>
      </c>
    </row>
    <row r="3618" spans="1:29" ht="18">
      <c r="A3618" s="2714" t="s">
        <v>1500</v>
      </c>
      <c r="B3618" s="371">
        <v>1</v>
      </c>
      <c r="C3618" s="371"/>
      <c r="D3618" s="2716" t="str">
        <f>VLOOKUP($A3618,Sheet_NoteList,2,0)</f>
        <v>应付职工薪酬列示</v>
      </c>
      <c r="E3618" s="2716" t="s">
        <v>2742</v>
      </c>
      <c r="F3618" s="294"/>
      <c r="G3618" s="307" t="str">
        <f>"("&amp;B3618&amp;")"&amp;D3618</f>
        <v>(1)应付职工薪酬列示</v>
      </c>
      <c r="H3618" s="1517" t="str">
        <f>$A3618</f>
        <v>2211a</v>
      </c>
      <c r="I3618" s="343" t="s">
        <v>2743</v>
      </c>
      <c r="J3618" s="301" t="s">
        <v>2744</v>
      </c>
      <c r="K3618" s="2210">
        <f>K3626</f>
        <v>3527659.05</v>
      </c>
      <c r="L3618" s="345">
        <f>IF($I3618="适用",IF(ROUND(K3617-K3618,2)=0,"F/S",ROUND(K3617-K3618,2)),"#N/A")</f>
        <v>-3527659.05</v>
      </c>
      <c r="M3618" s="301" t="s">
        <v>2745</v>
      </c>
      <c r="N3618" s="2210">
        <f>H3626</f>
        <v>2712561.36</v>
      </c>
      <c r="O3618" s="345" t="str">
        <f>IF($I3618="适用",IF(ROUND(N3617-N3618,2)=0,"F/S",ROUND(N3617-N3618,2)),"#N/A")</f>
        <v>F/S</v>
      </c>
      <c r="P3618" s="301"/>
      <c r="Q3618" s="290" t="str">
        <f>IF($I3618="不适用","",IF(ROUND(SUM($H$3621:$K$3626),2)=0,"请输入",""))</f>
        <v/>
      </c>
      <c r="S3618" s="364"/>
      <c r="Z3618" s="609" t="s">
        <v>3893</v>
      </c>
      <c r="AA3618" s="609" t="s">
        <v>5678</v>
      </c>
    </row>
    <row r="3619" spans="1:29" ht="0.75" customHeight="1" thickBot="1">
      <c r="A3619" s="2714"/>
      <c r="B3619" s="371"/>
      <c r="C3619" s="371"/>
      <c r="D3619" s="371"/>
      <c r="E3619" s="586"/>
      <c r="F3619" s="518"/>
      <c r="G3619" s="518" t="s">
        <v>3894</v>
      </c>
      <c r="H3619" s="304" t="s">
        <v>2904</v>
      </c>
      <c r="I3619" s="304" t="s">
        <v>3255</v>
      </c>
      <c r="J3619" s="304" t="s">
        <v>3256</v>
      </c>
      <c r="K3619" s="304" t="s">
        <v>3241</v>
      </c>
      <c r="L3619" s="291"/>
      <c r="M3619" s="291"/>
      <c r="N3619" s="291"/>
      <c r="O3619" s="291"/>
      <c r="S3619" s="364"/>
      <c r="Z3619" s="609" t="s">
        <v>3893</v>
      </c>
      <c r="AA3619" s="609" t="s">
        <v>5678</v>
      </c>
    </row>
    <row r="3620" spans="1:29" ht="18">
      <c r="A3620" s="2714"/>
      <c r="B3620" s="371"/>
      <c r="C3620" s="371"/>
      <c r="D3620" s="371"/>
      <c r="E3620" s="586" t="s">
        <v>2749</v>
      </c>
      <c r="F3620" s="363"/>
      <c r="G3620" s="2362" t="s">
        <v>47</v>
      </c>
      <c r="H3620" s="2475" t="str">
        <f>$V$3</f>
        <v>2018年12月31日</v>
      </c>
      <c r="I3620" s="2368" t="s">
        <v>3027</v>
      </c>
      <c r="J3620" s="2368" t="s">
        <v>3028</v>
      </c>
      <c r="K3620" s="2480" t="str">
        <f>$V$2</f>
        <v>2019年12月31日</v>
      </c>
      <c r="L3620" s="355" t="s">
        <v>5305</v>
      </c>
      <c r="M3620" s="291"/>
      <c r="N3620" s="291"/>
      <c r="O3620" s="291"/>
      <c r="S3620" s="364"/>
      <c r="Z3620" s="609" t="s">
        <v>3893</v>
      </c>
      <c r="AA3620" s="609" t="s">
        <v>5678</v>
      </c>
    </row>
    <row r="3621" spans="1:29" ht="18">
      <c r="A3621" s="2714"/>
      <c r="B3621" s="371">
        <v>101</v>
      </c>
      <c r="C3621" s="371"/>
      <c r="D3621" s="2716">
        <f t="shared" ref="D3621:D3626" si="410">IF(OR(G3621="*",G3621="",G3621=0),0,COUNTIF($G$3621:$G$3626,G3621))</f>
        <v>1</v>
      </c>
      <c r="E3621" s="2721">
        <v>1</v>
      </c>
      <c r="F3621" s="294"/>
      <c r="G3621" s="1474" t="s">
        <v>3895</v>
      </c>
      <c r="H3621" s="2275">
        <v>2284886.84</v>
      </c>
      <c r="I3621" s="2275">
        <v>30774148.710000001</v>
      </c>
      <c r="J3621" s="2275">
        <v>30868252.920000002</v>
      </c>
      <c r="K3621" s="1477">
        <f>H3621+I3621-J3621</f>
        <v>2190782.63</v>
      </c>
      <c r="L3621" s="1533" t="str">
        <f ca="1">HYPERLINK("#'"&amp;$G$1&amp;"'!"&amp;ADDRESS(ROW(Notes!H3651),COLUMN(Notes!H3651),4),"* 请勿删除此行！点击往勾稽单元格，F5+Enter返回")</f>
        <v>* 请勿删除此行！点击往勾稽单元格，F5+Enter返回</v>
      </c>
      <c r="M3621" s="291"/>
      <c r="N3621" s="291"/>
      <c r="O3621" s="291"/>
      <c r="S3621" s="364"/>
      <c r="Z3621" s="609" t="s">
        <v>3893</v>
      </c>
      <c r="AA3621" s="609" t="s">
        <v>5678</v>
      </c>
      <c r="AC3621" s="369" t="s">
        <v>6574</v>
      </c>
    </row>
    <row r="3622" spans="1:29" ht="18">
      <c r="A3622" s="2714"/>
      <c r="B3622" s="371">
        <v>102</v>
      </c>
      <c r="C3622" s="371"/>
      <c r="D3622" s="2716">
        <f t="shared" si="410"/>
        <v>1</v>
      </c>
      <c r="E3622" s="2721">
        <v>1</v>
      </c>
      <c r="F3622" s="294"/>
      <c r="G3622" s="1474" t="s">
        <v>3896</v>
      </c>
      <c r="H3622" s="2275">
        <v>108231.8</v>
      </c>
      <c r="I3622" s="2275">
        <v>3394429.34</v>
      </c>
      <c r="J3622" s="2275">
        <v>3377604.12</v>
      </c>
      <c r="K3622" s="1477">
        <f>H3622+I3622-J3622</f>
        <v>125057.02</v>
      </c>
      <c r="L3622" s="1533" t="str">
        <f ca="1">HYPERLINK("#'"&amp;$G$1&amp;"'!"&amp;ADDRESS(ROW(Notes!H3675),COLUMN(Notes!H3675),4),"* 请勿删除此行！点击往勾稽单元格，F5+Enter返回")</f>
        <v>* 请勿删除此行！点击往勾稽单元格，F5+Enter返回</v>
      </c>
      <c r="M3622" s="291"/>
      <c r="N3622" s="291"/>
      <c r="O3622" s="291"/>
      <c r="S3622" s="364"/>
      <c r="Z3622" s="609" t="s">
        <v>3893</v>
      </c>
      <c r="AA3622" s="609" t="s">
        <v>5678</v>
      </c>
      <c r="AC3622" s="369" t="s">
        <v>6574</v>
      </c>
    </row>
    <row r="3623" spans="1:29" ht="18">
      <c r="A3623" s="2714"/>
      <c r="B3623" s="371">
        <v>103</v>
      </c>
      <c r="C3623" s="371"/>
      <c r="D3623" s="2716">
        <f t="shared" si="410"/>
        <v>1</v>
      </c>
      <c r="E3623" s="2721">
        <v>1</v>
      </c>
      <c r="F3623" s="294"/>
      <c r="G3623" s="1474" t="s">
        <v>3897</v>
      </c>
      <c r="H3623" s="2275">
        <v>319442.71999999997</v>
      </c>
      <c r="I3623" s="2275">
        <v>1866848.01</v>
      </c>
      <c r="J3623" s="2275">
        <v>974471.33</v>
      </c>
      <c r="K3623" s="1477">
        <f>H3623+I3623-J3623</f>
        <v>1211819.3999999999</v>
      </c>
      <c r="L3623" s="291"/>
      <c r="M3623" s="291"/>
      <c r="N3623" s="291"/>
      <c r="O3623" s="291"/>
      <c r="S3623" s="364"/>
      <c r="Z3623" s="609" t="s">
        <v>3893</v>
      </c>
      <c r="AA3623" s="609" t="s">
        <v>5678</v>
      </c>
    </row>
    <row r="3624" spans="1:29" ht="18">
      <c r="A3624" s="2714"/>
      <c r="B3624" s="371">
        <v>104</v>
      </c>
      <c r="C3624" s="371"/>
      <c r="D3624" s="2716">
        <f t="shared" si="410"/>
        <v>1</v>
      </c>
      <c r="E3624" s="2721">
        <v>1</v>
      </c>
      <c r="F3624" s="294"/>
      <c r="G3624" s="1474" t="s">
        <v>3898</v>
      </c>
      <c r="H3624" s="2275"/>
      <c r="I3624" s="2275"/>
      <c r="J3624" s="2275"/>
      <c r="K3624" s="1477">
        <f>H3624+I3624-J3624</f>
        <v>0</v>
      </c>
      <c r="L3624" s="291"/>
      <c r="M3624" s="291"/>
      <c r="N3624" s="291"/>
      <c r="O3624" s="291"/>
      <c r="S3624" s="364"/>
      <c r="Z3624" s="609" t="s">
        <v>3893</v>
      </c>
      <c r="AA3624" s="609" t="s">
        <v>5678</v>
      </c>
    </row>
    <row r="3625" spans="1:29" ht="18">
      <c r="A3625" s="2714"/>
      <c r="B3625" s="371">
        <v>116</v>
      </c>
      <c r="C3625" s="371" t="s">
        <v>2791</v>
      </c>
      <c r="D3625" s="2716">
        <f t="shared" si="410"/>
        <v>0</v>
      </c>
      <c r="E3625" s="2721">
        <v>1</v>
      </c>
      <c r="F3625" s="294"/>
      <c r="G3625" s="2375" t="s">
        <v>2792</v>
      </c>
      <c r="H3625" s="2275"/>
      <c r="I3625" s="2275"/>
      <c r="J3625" s="2275"/>
      <c r="K3625" s="1477">
        <f>H3625+I3625-J3625</f>
        <v>0</v>
      </c>
      <c r="L3625" s="291"/>
      <c r="M3625" s="291"/>
      <c r="N3625" s="291"/>
      <c r="O3625" s="291"/>
      <c r="S3625" s="364"/>
      <c r="Z3625" s="609" t="s">
        <v>3893</v>
      </c>
      <c r="AA3625" s="609" t="s">
        <v>5678</v>
      </c>
    </row>
    <row r="3626" spans="1:29" ht="18.75" thickBot="1">
      <c r="A3626" s="2714"/>
      <c r="B3626" s="371"/>
      <c r="C3626" s="371"/>
      <c r="D3626" s="2716">
        <f t="shared" si="410"/>
        <v>1</v>
      </c>
      <c r="E3626" s="2721" t="s">
        <v>2751</v>
      </c>
      <c r="F3626" s="294"/>
      <c r="G3626" s="374" t="s">
        <v>2752</v>
      </c>
      <c r="H3626" s="1478">
        <f>SUMPRODUCT($E3620:$E3625,H3620:H3625)</f>
        <v>2712561.36</v>
      </c>
      <c r="I3626" s="1478">
        <f>SUMPRODUCT($E3620:$E3625,I3620:I3625)</f>
        <v>36035426.060000002</v>
      </c>
      <c r="J3626" s="1478">
        <f>SUMPRODUCT($E3620:$E3625,J3620:J3625)</f>
        <v>35220328.369999997</v>
      </c>
      <c r="K3626" s="1479">
        <f>SUMPRODUCT($E3620:$E3625,K3620:K3625)</f>
        <v>3527659.05</v>
      </c>
      <c r="L3626" s="291"/>
      <c r="M3626" s="291"/>
      <c r="N3626" s="291"/>
      <c r="O3626" s="291"/>
      <c r="S3626" s="364"/>
      <c r="Z3626" s="609" t="s">
        <v>3893</v>
      </c>
      <c r="AA3626" s="609" t="s">
        <v>5678</v>
      </c>
    </row>
    <row r="3627" spans="1:29" ht="18">
      <c r="A3627" s="2714"/>
      <c r="B3627" s="371"/>
      <c r="C3627" s="371" t="s">
        <v>2755</v>
      </c>
      <c r="D3627" s="371"/>
      <c r="F3627" s="294"/>
      <c r="G3627" s="557"/>
      <c r="H3627" s="315"/>
      <c r="I3627" s="315"/>
      <c r="J3627" s="315"/>
      <c r="K3627" s="315"/>
      <c r="L3627" s="291"/>
      <c r="M3627" s="291"/>
      <c r="N3627" s="291"/>
      <c r="O3627" s="291"/>
      <c r="S3627" s="364"/>
      <c r="Z3627" s="609" t="s">
        <v>3893</v>
      </c>
      <c r="AA3627" s="609" t="s">
        <v>5678</v>
      </c>
    </row>
    <row r="3628" spans="1:29" ht="18">
      <c r="A3628" s="2714" t="s">
        <v>1505</v>
      </c>
      <c r="B3628" s="371">
        <v>2</v>
      </c>
      <c r="C3628" s="371"/>
      <c r="D3628" s="2716" t="str">
        <f>VLOOKUP($A3628,Sheet_NoteList,2,0)</f>
        <v>短期薪酬列示</v>
      </c>
      <c r="E3628" s="2716" t="s">
        <v>2742</v>
      </c>
      <c r="F3628" s="294"/>
      <c r="G3628" s="307" t="str">
        <f>"("&amp;B3628&amp;")"&amp;D3628</f>
        <v>(2)短期薪酬列示</v>
      </c>
      <c r="H3628" s="1517" t="str">
        <f>$A3628</f>
        <v>2211b</v>
      </c>
      <c r="I3628" s="343" t="s">
        <v>2743</v>
      </c>
      <c r="J3628" s="301" t="s">
        <v>2744</v>
      </c>
      <c r="K3628" s="2210">
        <f>K3648</f>
        <v>2190782.63</v>
      </c>
      <c r="L3628" s="345"/>
      <c r="M3628" s="301" t="s">
        <v>2745</v>
      </c>
      <c r="N3628" s="2210">
        <f>H3648</f>
        <v>2284886.84</v>
      </c>
      <c r="O3628" s="345"/>
      <c r="P3628" s="301"/>
      <c r="Q3628" s="290" t="str">
        <f>IF($I3628="不适用","",IF(ROUND(SUM($H$3631:$K$3648),2)=0,"请输入",""))</f>
        <v/>
      </c>
      <c r="S3628" s="364"/>
      <c r="Z3628" s="609" t="s">
        <v>3893</v>
      </c>
      <c r="AA3628" s="609" t="s">
        <v>5678</v>
      </c>
    </row>
    <row r="3629" spans="1:29" ht="0.75" customHeight="1" thickBot="1">
      <c r="A3629" s="2714"/>
      <c r="B3629" s="371"/>
      <c r="C3629" s="371"/>
      <c r="D3629" s="371"/>
      <c r="E3629" s="586"/>
      <c r="F3629" s="518"/>
      <c r="G3629" s="518" t="s">
        <v>3899</v>
      </c>
      <c r="H3629" s="304" t="s">
        <v>2904</v>
      </c>
      <c r="I3629" s="304" t="s">
        <v>3255</v>
      </c>
      <c r="J3629" s="304" t="s">
        <v>3256</v>
      </c>
      <c r="K3629" s="304" t="s">
        <v>3241</v>
      </c>
      <c r="L3629" s="291"/>
      <c r="M3629" s="291"/>
      <c r="N3629" s="291"/>
      <c r="O3629" s="291"/>
      <c r="S3629" s="364"/>
      <c r="Z3629" s="609" t="s">
        <v>3893</v>
      </c>
      <c r="AA3629" s="609" t="s">
        <v>5678</v>
      </c>
    </row>
    <row r="3630" spans="1:29" ht="18">
      <c r="A3630" s="2714"/>
      <c r="B3630" s="371"/>
      <c r="C3630" s="371"/>
      <c r="D3630" s="371"/>
      <c r="E3630" s="586" t="s">
        <v>2749</v>
      </c>
      <c r="F3630" s="363"/>
      <c r="G3630" s="2362" t="s">
        <v>47</v>
      </c>
      <c r="H3630" s="2475" t="str">
        <f>$V$3</f>
        <v>2018年12月31日</v>
      </c>
      <c r="I3630" s="2368" t="s">
        <v>3027</v>
      </c>
      <c r="J3630" s="2368" t="s">
        <v>3028</v>
      </c>
      <c r="K3630" s="2480" t="str">
        <f>$V$2</f>
        <v>2019年12月31日</v>
      </c>
      <c r="L3630" s="355" t="s">
        <v>5305</v>
      </c>
      <c r="M3630" s="291"/>
      <c r="N3630" s="291"/>
      <c r="O3630" s="291"/>
      <c r="S3630" s="364"/>
      <c r="Z3630" s="609" t="s">
        <v>3893</v>
      </c>
      <c r="AA3630" s="609" t="s">
        <v>5678</v>
      </c>
    </row>
    <row r="3631" spans="1:29" ht="18">
      <c r="A3631" s="2714"/>
      <c r="B3631" s="371">
        <v>101</v>
      </c>
      <c r="C3631" s="371"/>
      <c r="D3631" s="2716">
        <f t="shared" ref="D3631:D3648" si="411">IF(OR(G3631="*",G3631="",G3631=0),0,COUNTIF($G$3631:$G$3648,G3631))</f>
        <v>1</v>
      </c>
      <c r="E3631" s="2721">
        <v>1</v>
      </c>
      <c r="F3631" s="340"/>
      <c r="G3631" s="1474" t="s">
        <v>3900</v>
      </c>
      <c r="H3631" s="2275">
        <v>2147794.62</v>
      </c>
      <c r="I3631" s="2275">
        <v>25678938.719999999</v>
      </c>
      <c r="J3631" s="2275">
        <v>25721516.359999999</v>
      </c>
      <c r="K3631" s="1477">
        <f>H3631+I3631-J3631</f>
        <v>2105216.98</v>
      </c>
      <c r="L3631" s="291"/>
      <c r="M3631" s="291"/>
      <c r="N3631" s="291"/>
      <c r="O3631" s="291"/>
      <c r="S3631" s="364"/>
      <c r="Z3631" s="609" t="s">
        <v>3893</v>
      </c>
      <c r="AA3631" s="609" t="s">
        <v>5678</v>
      </c>
    </row>
    <row r="3632" spans="1:29" ht="18">
      <c r="A3632" s="2714"/>
      <c r="B3632" s="371">
        <v>102</v>
      </c>
      <c r="C3632" s="371"/>
      <c r="D3632" s="2716">
        <f t="shared" si="411"/>
        <v>1</v>
      </c>
      <c r="E3632" s="2721">
        <v>1</v>
      </c>
      <c r="F3632" s="340"/>
      <c r="G3632" s="1474" t="s">
        <v>3901</v>
      </c>
      <c r="H3632" s="2275"/>
      <c r="I3632" s="2275">
        <v>713613.84</v>
      </c>
      <c r="J3632" s="2275">
        <v>713613.84</v>
      </c>
      <c r="K3632" s="1477">
        <f t="shared" ref="K3632:K3647" si="412">H3632+I3632-J3632</f>
        <v>0</v>
      </c>
      <c r="L3632" s="291"/>
      <c r="M3632" s="291"/>
      <c r="N3632" s="291"/>
      <c r="O3632" s="291"/>
      <c r="S3632" s="364"/>
      <c r="Z3632" s="609" t="s">
        <v>3893</v>
      </c>
      <c r="AA3632" s="609" t="s">
        <v>5678</v>
      </c>
    </row>
    <row r="3633" spans="1:27" ht="18">
      <c r="A3633" s="2714"/>
      <c r="B3633" s="371">
        <v>103</v>
      </c>
      <c r="C3633" s="371"/>
      <c r="D3633" s="2716">
        <f t="shared" si="411"/>
        <v>1</v>
      </c>
      <c r="E3633" s="2721" t="s">
        <v>41</v>
      </c>
      <c r="F3633" s="340"/>
      <c r="G3633" s="1474" t="s">
        <v>3902</v>
      </c>
      <c r="H3633" s="2275"/>
      <c r="I3633" s="2275"/>
      <c r="J3633" s="2275"/>
      <c r="K3633" s="2296"/>
      <c r="L3633" s="291"/>
      <c r="M3633" s="291"/>
      <c r="N3633" s="291"/>
      <c r="O3633" s="291"/>
      <c r="S3633" s="364"/>
      <c r="Z3633" s="609" t="s">
        <v>3893</v>
      </c>
      <c r="AA3633" s="609" t="s">
        <v>5678</v>
      </c>
    </row>
    <row r="3634" spans="1:27" ht="18">
      <c r="A3634" s="2714"/>
      <c r="B3634" s="371">
        <v>103.001</v>
      </c>
      <c r="C3634" s="371"/>
      <c r="D3634" s="2716">
        <f t="shared" si="411"/>
        <v>1</v>
      </c>
      <c r="E3634" s="2721" t="s">
        <v>3903</v>
      </c>
      <c r="F3634" s="340"/>
      <c r="G3634" s="1474" t="s">
        <v>3905</v>
      </c>
      <c r="H3634" s="2275">
        <v>50104.1</v>
      </c>
      <c r="I3634" s="2275">
        <v>1782950.07</v>
      </c>
      <c r="J3634" s="2275">
        <v>1755207.27</v>
      </c>
      <c r="K3634" s="1477">
        <f t="shared" si="412"/>
        <v>77846.899999999994</v>
      </c>
      <c r="L3634" s="291"/>
      <c r="M3634" s="291"/>
      <c r="N3634" s="291"/>
      <c r="O3634" s="291"/>
      <c r="S3634" s="364"/>
      <c r="Z3634" s="609" t="s">
        <v>3893</v>
      </c>
      <c r="AA3634" s="609" t="s">
        <v>5678</v>
      </c>
    </row>
    <row r="3635" spans="1:27" ht="18">
      <c r="A3635" s="2714"/>
      <c r="B3635" s="371">
        <v>103.002</v>
      </c>
      <c r="C3635" s="371"/>
      <c r="D3635" s="2716">
        <f t="shared" si="411"/>
        <v>1</v>
      </c>
      <c r="E3635" s="2721" t="s">
        <v>3903</v>
      </c>
      <c r="F3635" s="340"/>
      <c r="G3635" s="603" t="s">
        <v>3906</v>
      </c>
      <c r="H3635" s="2275">
        <v>2331.12</v>
      </c>
      <c r="I3635" s="2275">
        <v>42747.040000000001</v>
      </c>
      <c r="J3635" s="2275">
        <v>43587.19</v>
      </c>
      <c r="K3635" s="1477">
        <f t="shared" si="412"/>
        <v>1490.97</v>
      </c>
      <c r="L3635" s="291"/>
      <c r="M3635" s="291"/>
      <c r="N3635" s="291"/>
      <c r="O3635" s="291"/>
      <c r="S3635" s="364"/>
      <c r="Z3635" s="609" t="s">
        <v>3893</v>
      </c>
      <c r="AA3635" s="609" t="s">
        <v>5678</v>
      </c>
    </row>
    <row r="3636" spans="1:27" ht="18">
      <c r="A3636" s="2714"/>
      <c r="B3636" s="371">
        <v>103.003</v>
      </c>
      <c r="C3636" s="371"/>
      <c r="D3636" s="2716">
        <f t="shared" si="411"/>
        <v>1</v>
      </c>
      <c r="E3636" s="2721" t="s">
        <v>3903</v>
      </c>
      <c r="F3636" s="340"/>
      <c r="G3636" s="603" t="s">
        <v>3907</v>
      </c>
      <c r="H3636" s="2275">
        <v>1232</v>
      </c>
      <c r="I3636" s="2275">
        <v>172643.04</v>
      </c>
      <c r="J3636" s="2275">
        <v>167647.26</v>
      </c>
      <c r="K3636" s="1477">
        <f t="shared" si="412"/>
        <v>6227.78</v>
      </c>
      <c r="L3636" s="291"/>
      <c r="M3636" s="291"/>
      <c r="N3636" s="291"/>
      <c r="O3636" s="291"/>
      <c r="S3636" s="364"/>
      <c r="Z3636" s="609" t="s">
        <v>3893</v>
      </c>
      <c r="AA3636" s="609" t="s">
        <v>5678</v>
      </c>
    </row>
    <row r="3637" spans="1:27" ht="18">
      <c r="A3637" s="2714"/>
      <c r="B3637" s="371">
        <v>103.004</v>
      </c>
      <c r="C3637" s="371" t="s">
        <v>2791</v>
      </c>
      <c r="D3637" s="2716">
        <f t="shared" si="411"/>
        <v>0</v>
      </c>
      <c r="E3637" s="2721" t="s">
        <v>3903</v>
      </c>
      <c r="F3637" s="340"/>
      <c r="G3637" s="578" t="s">
        <v>2792</v>
      </c>
      <c r="H3637" s="2275"/>
      <c r="I3637" s="2275"/>
      <c r="J3637" s="2275"/>
      <c r="K3637" s="1477">
        <f t="shared" si="412"/>
        <v>0</v>
      </c>
      <c r="L3637" s="291"/>
      <c r="M3637" s="291"/>
      <c r="N3637" s="291"/>
      <c r="O3637" s="291"/>
      <c r="S3637" s="364"/>
      <c r="Z3637" s="609" t="s">
        <v>3893</v>
      </c>
      <c r="AA3637" s="609" t="s">
        <v>5678</v>
      </c>
    </row>
    <row r="3638" spans="1:27" ht="18">
      <c r="A3638" s="2714"/>
      <c r="B3638" s="371">
        <v>103.005</v>
      </c>
      <c r="C3638" s="371" t="s">
        <v>2791</v>
      </c>
      <c r="D3638" s="2716">
        <f t="shared" si="411"/>
        <v>0</v>
      </c>
      <c r="E3638" s="2721" t="s">
        <v>3903</v>
      </c>
      <c r="F3638" s="340"/>
      <c r="G3638" s="578" t="s">
        <v>2792</v>
      </c>
      <c r="H3638" s="2275"/>
      <c r="I3638" s="2275"/>
      <c r="J3638" s="2275"/>
      <c r="K3638" s="1477">
        <f t="shared" si="412"/>
        <v>0</v>
      </c>
      <c r="L3638" s="291"/>
      <c r="M3638" s="291"/>
      <c r="N3638" s="291"/>
      <c r="O3638" s="291"/>
      <c r="S3638" s="364"/>
      <c r="Z3638" s="609" t="s">
        <v>3893</v>
      </c>
      <c r="AA3638" s="609" t="s">
        <v>5678</v>
      </c>
    </row>
    <row r="3639" spans="1:27" ht="18">
      <c r="A3639" s="2714"/>
      <c r="B3639" s="371">
        <v>103.006</v>
      </c>
      <c r="C3639" s="371" t="s">
        <v>2791</v>
      </c>
      <c r="D3639" s="2716">
        <f t="shared" si="411"/>
        <v>0</v>
      </c>
      <c r="E3639" s="2721" t="s">
        <v>3903</v>
      </c>
      <c r="F3639" s="340"/>
      <c r="G3639" s="578" t="s">
        <v>2792</v>
      </c>
      <c r="H3639" s="2275"/>
      <c r="I3639" s="2275"/>
      <c r="J3639" s="2275"/>
      <c r="K3639" s="1477">
        <f t="shared" si="412"/>
        <v>0</v>
      </c>
      <c r="L3639" s="291"/>
      <c r="M3639" s="291"/>
      <c r="N3639" s="291"/>
      <c r="O3639" s="291"/>
      <c r="S3639" s="364"/>
      <c r="Z3639" s="609" t="s">
        <v>3893</v>
      </c>
      <c r="AA3639" s="609" t="s">
        <v>5678</v>
      </c>
    </row>
    <row r="3640" spans="1:27" ht="18">
      <c r="A3640" s="2714"/>
      <c r="B3640" s="371">
        <v>103.999</v>
      </c>
      <c r="C3640" s="371" t="s">
        <v>2793</v>
      </c>
      <c r="D3640" s="2716">
        <f t="shared" si="411"/>
        <v>1</v>
      </c>
      <c r="E3640" s="2721">
        <v>1</v>
      </c>
      <c r="F3640" s="340"/>
      <c r="G3640" s="1474" t="s">
        <v>3903</v>
      </c>
      <c r="H3640" s="1476">
        <f>SUMIF($E$3630:$E$3647,$G3640,H$3630:H$3647)</f>
        <v>53667.22</v>
      </c>
      <c r="I3640" s="1476">
        <f>SUMIF($E$3630:$E$3647,$G3640,I$3630:I$3647)</f>
        <v>1998340.15</v>
      </c>
      <c r="J3640" s="1476">
        <f>SUMIF($E$3630:$E$3647,$G3640,J$3630:J$3647)</f>
        <v>1966441.72</v>
      </c>
      <c r="K3640" s="1477">
        <f>SUMIF($E$3630:$E$3647,$G3640,K$3630:K$3647)</f>
        <v>85565.65</v>
      </c>
      <c r="L3640" s="291"/>
      <c r="M3640" s="291"/>
      <c r="N3640" s="291"/>
      <c r="O3640" s="291"/>
      <c r="S3640" s="364"/>
      <c r="Z3640" s="609" t="s">
        <v>3893</v>
      </c>
      <c r="AA3640" s="609" t="s">
        <v>5678</v>
      </c>
    </row>
    <row r="3641" spans="1:27" ht="18">
      <c r="A3641" s="2714"/>
      <c r="B3641" s="371">
        <v>104</v>
      </c>
      <c r="C3641" s="371"/>
      <c r="D3641" s="2716">
        <f t="shared" si="411"/>
        <v>1</v>
      </c>
      <c r="E3641" s="2721">
        <v>1</v>
      </c>
      <c r="F3641" s="340"/>
      <c r="G3641" s="1474" t="s">
        <v>3908</v>
      </c>
      <c r="H3641" s="2275">
        <v>83425</v>
      </c>
      <c r="I3641" s="2275">
        <v>2383256</v>
      </c>
      <c r="J3641" s="2275">
        <v>2466681</v>
      </c>
      <c r="K3641" s="1477">
        <f t="shared" si="412"/>
        <v>0</v>
      </c>
      <c r="L3641" s="291"/>
      <c r="M3641" s="291"/>
      <c r="N3641" s="291"/>
      <c r="O3641" s="291"/>
      <c r="S3641" s="364"/>
      <c r="Z3641" s="609" t="s">
        <v>3893</v>
      </c>
      <c r="AA3641" s="609" t="s">
        <v>5678</v>
      </c>
    </row>
    <row r="3642" spans="1:27" ht="18">
      <c r="A3642" s="2714"/>
      <c r="B3642" s="371">
        <v>105</v>
      </c>
      <c r="C3642" s="371"/>
      <c r="D3642" s="2716">
        <f t="shared" si="411"/>
        <v>1</v>
      </c>
      <c r="E3642" s="2721">
        <v>1</v>
      </c>
      <c r="F3642" s="340"/>
      <c r="G3642" s="1474" t="s">
        <v>3909</v>
      </c>
      <c r="H3642" s="2275"/>
      <c r="I3642" s="2275"/>
      <c r="J3642" s="2275"/>
      <c r="K3642" s="1477">
        <f t="shared" si="412"/>
        <v>0</v>
      </c>
      <c r="L3642" s="291"/>
      <c r="M3642" s="291"/>
      <c r="N3642" s="291"/>
      <c r="O3642" s="291"/>
      <c r="S3642" s="364"/>
      <c r="Z3642" s="609" t="s">
        <v>3893</v>
      </c>
      <c r="AA3642" s="609" t="s">
        <v>5678</v>
      </c>
    </row>
    <row r="3643" spans="1:27" ht="18">
      <c r="A3643" s="2714"/>
      <c r="B3643" s="371">
        <v>106</v>
      </c>
      <c r="C3643" s="371"/>
      <c r="D3643" s="2716">
        <f t="shared" si="411"/>
        <v>1</v>
      </c>
      <c r="E3643" s="2721">
        <v>1</v>
      </c>
      <c r="F3643" s="340"/>
      <c r="G3643" s="1474" t="s">
        <v>3910</v>
      </c>
      <c r="H3643" s="2275"/>
      <c r="I3643" s="2275"/>
      <c r="J3643" s="2275"/>
      <c r="K3643" s="1477">
        <f t="shared" si="412"/>
        <v>0</v>
      </c>
      <c r="L3643" s="291"/>
      <c r="M3643" s="291"/>
      <c r="N3643" s="291"/>
      <c r="O3643" s="291"/>
      <c r="S3643" s="364"/>
      <c r="Z3643" s="609" t="s">
        <v>3893</v>
      </c>
      <c r="AA3643" s="609" t="s">
        <v>5678</v>
      </c>
    </row>
    <row r="3644" spans="1:27" ht="18">
      <c r="A3644" s="2714"/>
      <c r="B3644" s="371">
        <v>107</v>
      </c>
      <c r="C3644" s="371"/>
      <c r="D3644" s="2716">
        <f t="shared" si="411"/>
        <v>1</v>
      </c>
      <c r="E3644" s="2721">
        <v>1</v>
      </c>
      <c r="F3644" s="340"/>
      <c r="G3644" s="1474" t="s">
        <v>3911</v>
      </c>
      <c r="H3644" s="2275"/>
      <c r="I3644" s="2275"/>
      <c r="J3644" s="2275"/>
      <c r="K3644" s="1477">
        <f t="shared" si="412"/>
        <v>0</v>
      </c>
      <c r="L3644" s="291"/>
      <c r="M3644" s="291"/>
      <c r="N3644" s="291"/>
      <c r="O3644" s="291"/>
      <c r="S3644" s="364"/>
      <c r="Z3644" s="609" t="s">
        <v>3893</v>
      </c>
      <c r="AA3644" s="609" t="s">
        <v>5678</v>
      </c>
    </row>
    <row r="3645" spans="1:27" ht="18">
      <c r="A3645" s="2714"/>
      <c r="B3645" s="371">
        <v>108</v>
      </c>
      <c r="C3645" s="371" t="s">
        <v>2791</v>
      </c>
      <c r="D3645" s="2716">
        <f t="shared" si="411"/>
        <v>0</v>
      </c>
      <c r="E3645" s="2721">
        <v>1</v>
      </c>
      <c r="F3645" s="340"/>
      <c r="G3645" s="2375" t="s">
        <v>2792</v>
      </c>
      <c r="H3645" s="2275"/>
      <c r="I3645" s="2275"/>
      <c r="J3645" s="2275"/>
      <c r="K3645" s="1477">
        <f t="shared" si="412"/>
        <v>0</v>
      </c>
      <c r="L3645" s="291"/>
      <c r="M3645" s="291"/>
      <c r="N3645" s="291"/>
      <c r="O3645" s="291"/>
      <c r="S3645" s="364"/>
      <c r="Z3645" s="609" t="s">
        <v>3893</v>
      </c>
      <c r="AA3645" s="609" t="s">
        <v>5678</v>
      </c>
    </row>
    <row r="3646" spans="1:27" ht="18">
      <c r="A3646" s="2714"/>
      <c r="B3646" s="371">
        <v>109</v>
      </c>
      <c r="C3646" s="371" t="s">
        <v>2791</v>
      </c>
      <c r="D3646" s="2716">
        <f t="shared" si="411"/>
        <v>0</v>
      </c>
      <c r="E3646" s="2721">
        <v>1</v>
      </c>
      <c r="F3646" s="340"/>
      <c r="G3646" s="2375" t="s">
        <v>2792</v>
      </c>
      <c r="H3646" s="2275"/>
      <c r="I3646" s="2275"/>
      <c r="J3646" s="2275"/>
      <c r="K3646" s="1477">
        <f t="shared" si="412"/>
        <v>0</v>
      </c>
      <c r="L3646" s="291"/>
      <c r="M3646" s="291"/>
      <c r="N3646" s="291"/>
      <c r="O3646" s="291"/>
      <c r="S3646" s="364"/>
      <c r="Z3646" s="609" t="s">
        <v>3893</v>
      </c>
      <c r="AA3646" s="609" t="s">
        <v>5678</v>
      </c>
    </row>
    <row r="3647" spans="1:27" ht="18">
      <c r="A3647" s="2714"/>
      <c r="B3647" s="371">
        <v>110</v>
      </c>
      <c r="C3647" s="371" t="s">
        <v>2791</v>
      </c>
      <c r="D3647" s="2716">
        <f t="shared" si="411"/>
        <v>0</v>
      </c>
      <c r="E3647" s="2721">
        <v>1</v>
      </c>
      <c r="F3647" s="340"/>
      <c r="G3647" s="2375" t="s">
        <v>2792</v>
      </c>
      <c r="H3647" s="2275"/>
      <c r="I3647" s="2275"/>
      <c r="J3647" s="2275"/>
      <c r="K3647" s="1477">
        <f t="shared" si="412"/>
        <v>0</v>
      </c>
      <c r="L3647" s="291"/>
      <c r="M3647" s="291"/>
      <c r="N3647" s="291"/>
      <c r="O3647" s="291"/>
      <c r="S3647" s="364"/>
      <c r="Z3647" s="609" t="s">
        <v>3893</v>
      </c>
      <c r="AA3647" s="609" t="s">
        <v>5678</v>
      </c>
    </row>
    <row r="3648" spans="1:27" ht="18.75" thickBot="1">
      <c r="A3648" s="2714"/>
      <c r="B3648" s="371"/>
      <c r="C3648" s="371"/>
      <c r="D3648" s="2716">
        <f t="shared" si="411"/>
        <v>1</v>
      </c>
      <c r="E3648" s="2721" t="s">
        <v>2751</v>
      </c>
      <c r="F3648" s="340"/>
      <c r="G3648" s="374" t="s">
        <v>2752</v>
      </c>
      <c r="H3648" s="1478">
        <f>SUMPRODUCT($E3630:$E3647,H3630:H3647)</f>
        <v>2284886.84</v>
      </c>
      <c r="I3648" s="1478">
        <f>SUMPRODUCT($E3630:$E3647,I3630:I3647)</f>
        <v>30774148.710000001</v>
      </c>
      <c r="J3648" s="1478">
        <f>SUMPRODUCT($E3630:$E3647,J3630:J3647)</f>
        <v>30868252.920000002</v>
      </c>
      <c r="K3648" s="1479">
        <f>SUMPRODUCT($E3630:$E3647,K3630:K3647)</f>
        <v>2190782.63</v>
      </c>
      <c r="L3648" s="291"/>
      <c r="M3648" s="291"/>
      <c r="N3648" s="291"/>
      <c r="O3648" s="291"/>
      <c r="S3648" s="364"/>
      <c r="Z3648" s="609" t="s">
        <v>3893</v>
      </c>
      <c r="AA3648" s="609" t="s">
        <v>5678</v>
      </c>
    </row>
    <row r="3649" spans="1:27" ht="18.75" thickBot="1">
      <c r="A3649" s="2714"/>
      <c r="B3649" s="371"/>
      <c r="C3649" s="371" t="s">
        <v>2755</v>
      </c>
      <c r="D3649" s="371"/>
      <c r="F3649" s="294"/>
      <c r="G3649" s="557"/>
      <c r="H3649" s="527" t="s">
        <v>3002</v>
      </c>
      <c r="I3649" s="527" t="s">
        <v>3002</v>
      </c>
      <c r="J3649" s="527" t="s">
        <v>3002</v>
      </c>
      <c r="K3649" s="527" t="s">
        <v>3002</v>
      </c>
      <c r="L3649" s="291"/>
      <c r="M3649" s="291"/>
      <c r="N3649" s="291"/>
      <c r="O3649" s="291"/>
      <c r="S3649" s="364"/>
      <c r="Z3649" s="609" t="s">
        <v>3893</v>
      </c>
      <c r="AA3649" s="609" t="s">
        <v>5678</v>
      </c>
    </row>
    <row r="3650" spans="1:27" ht="18.75" thickTop="1">
      <c r="A3650" s="2714"/>
      <c r="B3650" s="371"/>
      <c r="C3650" s="371" t="s">
        <v>2565</v>
      </c>
      <c r="D3650" s="371"/>
      <c r="F3650" s="294"/>
      <c r="G3650" s="1561" t="s">
        <v>5367</v>
      </c>
      <c r="H3650" s="1550" t="str">
        <f>G3618</f>
        <v>(1)应付职工薪酬列示</v>
      </c>
      <c r="I3650" s="1552"/>
      <c r="J3650" s="1552"/>
      <c r="K3650" s="1552"/>
      <c r="L3650" s="1553" t="s">
        <v>5368</v>
      </c>
      <c r="M3650" s="291"/>
      <c r="N3650" s="291"/>
      <c r="O3650" s="291"/>
      <c r="S3650" s="364"/>
      <c r="Z3650" s="609" t="s">
        <v>3893</v>
      </c>
      <c r="AA3650" s="609" t="s">
        <v>5678</v>
      </c>
    </row>
    <row r="3651" spans="1:27" ht="18">
      <c r="A3651" s="2714"/>
      <c r="B3651" s="371"/>
      <c r="C3651" s="371" t="s">
        <v>2565</v>
      </c>
      <c r="D3651" s="371"/>
      <c r="F3651" s="294"/>
      <c r="G3651" s="604" t="str">
        <f>"注释A:"&amp; G3621</f>
        <v>注释A:一、短期薪酬</v>
      </c>
      <c r="H3651" s="2252">
        <f ca="1">HYPERLINK("#'"&amp;$G$1&amp;"'!"&amp;ADDRESS(ROW(Notes!H3621),COLUMN(Notes!H3621),4),H3621)</f>
        <v>2284886.84</v>
      </c>
      <c r="I3651" s="2252">
        <f ca="1">HYPERLINK("#'"&amp;$G$1&amp;"'!"&amp;ADDRESS(ROW(Notes!I3621),COLUMN(Notes!I3621),4),I3621)</f>
        <v>30774148.710000001</v>
      </c>
      <c r="J3651" s="2252">
        <f ca="1">HYPERLINK("#'"&amp;$G$1&amp;"'!"&amp;ADDRESS(ROW(Notes!J3621),COLUMN(Notes!J3621),4),J3621)</f>
        <v>30868252.920000002</v>
      </c>
      <c r="K3651" s="2252">
        <f ca="1">HYPERLINK("#'"&amp;$G$1&amp;"'!"&amp;ADDRESS(ROW(Notes!K3621),COLUMN(Notes!K3621),4),K3621)</f>
        <v>2190782.63</v>
      </c>
      <c r="L3651" s="2632" t="str">
        <f>H3618</f>
        <v>2211a</v>
      </c>
      <c r="M3651" s="291"/>
      <c r="N3651" s="291"/>
      <c r="O3651" s="291"/>
      <c r="S3651" s="364"/>
      <c r="Z3651" s="609" t="s">
        <v>3893</v>
      </c>
      <c r="AA3651" s="609" t="s">
        <v>5678</v>
      </c>
    </row>
    <row r="3652" spans="1:27" ht="18">
      <c r="A3652" s="2714"/>
      <c r="B3652" s="371"/>
      <c r="C3652" s="371" t="s">
        <v>2565</v>
      </c>
      <c r="D3652" s="371"/>
      <c r="F3652" s="294"/>
      <c r="G3652" s="604" t="str">
        <f>"本注释B:"&amp; G3648</f>
        <v>本注释B:合       计</v>
      </c>
      <c r="H3652" s="456">
        <f>H3648</f>
        <v>2284886.84</v>
      </c>
      <c r="I3652" s="456">
        <f t="shared" ref="I3652:K3652" si="413">I3648</f>
        <v>30774148.710000001</v>
      </c>
      <c r="J3652" s="456">
        <f t="shared" si="413"/>
        <v>30868252.920000002</v>
      </c>
      <c r="K3652" s="456">
        <f t="shared" si="413"/>
        <v>2190782.63</v>
      </c>
      <c r="L3652" s="2638" t="s">
        <v>1505</v>
      </c>
      <c r="M3652" s="291"/>
      <c r="N3652" s="291"/>
      <c r="O3652" s="291"/>
      <c r="S3652" s="364"/>
      <c r="Z3652" s="609" t="s">
        <v>3893</v>
      </c>
      <c r="AA3652" s="609" t="s">
        <v>5678</v>
      </c>
    </row>
    <row r="3653" spans="1:27" ht="18.75" thickBot="1">
      <c r="A3653" s="2714"/>
      <c r="B3653" s="371"/>
      <c r="C3653" s="371" t="s">
        <v>2565</v>
      </c>
      <c r="D3653" s="371"/>
      <c r="F3653" s="294"/>
      <c r="G3653" s="1562" t="s">
        <v>2757</v>
      </c>
      <c r="H3653" s="1531">
        <f ca="1">IF(AND(H3651="",H3652=""),"",ROUND(H3651-H3652,2))</f>
        <v>0</v>
      </c>
      <c r="I3653" s="1531">
        <f ca="1">IF(AND(I3651="",I3652=""),"",ROUND(I3651-I3652,2))</f>
        <v>0</v>
      </c>
      <c r="J3653" s="1531">
        <f ca="1">IF(AND(J3651="",J3652=""),"",ROUND(J3651-J3652,2))</f>
        <v>0</v>
      </c>
      <c r="K3653" s="1531">
        <f ca="1">IF(AND(K3651="",K3652=""),"",ROUND(K3651-K3652,2))</f>
        <v>0</v>
      </c>
      <c r="L3653" s="1555"/>
      <c r="M3653" s="291"/>
      <c r="N3653" s="291"/>
      <c r="O3653" s="291"/>
      <c r="S3653" s="364"/>
      <c r="Z3653" s="609" t="s">
        <v>3893</v>
      </c>
      <c r="AA3653" s="609" t="s">
        <v>5678</v>
      </c>
    </row>
    <row r="3654" spans="1:27" ht="18.75" thickTop="1">
      <c r="A3654" s="2714"/>
      <c r="B3654" s="371"/>
      <c r="C3654" s="371" t="s">
        <v>2565</v>
      </c>
      <c r="D3654" s="371"/>
      <c r="F3654" s="294"/>
      <c r="G3654" s="2640"/>
      <c r="H3654" s="459" t="str">
        <f ca="1">IF(OR(H3653=0,H3653=""),"√","？")</f>
        <v>√</v>
      </c>
      <c r="I3654" s="459" t="str">
        <f ca="1">IF(OR(I3653=0,I3653=""),"√","？")</f>
        <v>√</v>
      </c>
      <c r="J3654" s="459" t="str">
        <f ca="1">IF(OR(J3653=0,J3653=""),"√","？")</f>
        <v>√</v>
      </c>
      <c r="K3654" s="459" t="str">
        <f ca="1">IF(OR(K3653=0,K3653=""),"√","？")</f>
        <v>√</v>
      </c>
      <c r="L3654" s="354"/>
      <c r="M3654" s="291"/>
      <c r="N3654" s="291"/>
      <c r="O3654" s="291"/>
      <c r="S3654" s="364"/>
      <c r="Z3654" s="609" t="s">
        <v>3893</v>
      </c>
      <c r="AA3654" s="609" t="s">
        <v>5678</v>
      </c>
    </row>
    <row r="3655" spans="1:27" ht="18">
      <c r="A3655" s="2714"/>
      <c r="B3655" s="371"/>
      <c r="C3655" s="371" t="s">
        <v>2565</v>
      </c>
      <c r="D3655" s="371"/>
      <c r="F3655" s="294"/>
      <c r="G3655" s="460" t="s">
        <v>2759</v>
      </c>
      <c r="H3655" s="461"/>
      <c r="I3655" s="461"/>
      <c r="J3655" s="461"/>
      <c r="K3655" s="605">
        <f ca="1">SUMIF($H$3654:$L$3654,"&lt;&gt;√",$H$3653:$L$3653)</f>
        <v>0</v>
      </c>
      <c r="L3655" s="353" t="str">
        <f ca="1">IF(OR(K3655=0,K3655=""),"√","？")</f>
        <v>√</v>
      </c>
      <c r="M3655" s="291"/>
      <c r="N3655" s="291"/>
      <c r="O3655" s="291"/>
      <c r="S3655" s="364"/>
      <c r="Z3655" s="609" t="s">
        <v>3893</v>
      </c>
      <c r="AA3655" s="609" t="s">
        <v>5678</v>
      </c>
    </row>
    <row r="3656" spans="1:27" ht="18">
      <c r="A3656" s="2714"/>
      <c r="B3656" s="371"/>
      <c r="C3656" s="371" t="s">
        <v>2565</v>
      </c>
      <c r="D3656" s="371"/>
      <c r="F3656" s="294"/>
      <c r="G3656" s="2640"/>
      <c r="H3656" s="461"/>
      <c r="I3656" s="461"/>
      <c r="J3656" s="461"/>
      <c r="K3656" s="461"/>
      <c r="L3656" s="354"/>
      <c r="M3656" s="291"/>
      <c r="N3656" s="291"/>
      <c r="O3656" s="291"/>
      <c r="S3656" s="364"/>
      <c r="Z3656" s="609" t="s">
        <v>3893</v>
      </c>
      <c r="AA3656" s="609" t="s">
        <v>5678</v>
      </c>
    </row>
    <row r="3657" spans="1:27" ht="18">
      <c r="A3657" s="2714" t="s">
        <v>1510</v>
      </c>
      <c r="B3657" s="371">
        <v>3</v>
      </c>
      <c r="C3657" s="371"/>
      <c r="D3657" s="2716" t="str">
        <f>VLOOKUP($A3657,Sheet_NoteList,2,0)</f>
        <v>设定提存计划列示</v>
      </c>
      <c r="E3657" s="2716" t="s">
        <v>2742</v>
      </c>
      <c r="F3657" s="294"/>
      <c r="G3657" s="307" t="str">
        <f>"("&amp;B3657&amp;")"&amp;D3657</f>
        <v>(3)设定提存计划列示</v>
      </c>
      <c r="H3657" s="1517" t="str">
        <f>$A3657</f>
        <v>2211c</v>
      </c>
      <c r="I3657" s="343" t="s">
        <v>2743</v>
      </c>
      <c r="J3657" s="301" t="s">
        <v>2744</v>
      </c>
      <c r="K3657" s="2210">
        <f>K3672</f>
        <v>125057.02</v>
      </c>
      <c r="L3657" s="345"/>
      <c r="M3657" s="301" t="s">
        <v>2745</v>
      </c>
      <c r="N3657" s="2210">
        <f>H3672</f>
        <v>108231.8</v>
      </c>
      <c r="O3657" s="345"/>
      <c r="P3657" s="301"/>
      <c r="Q3657" s="290" t="str">
        <f>IF($I3657="不适用","",IF(ROUND(SUM($H$3660:$K$3672),2)=0,"请输入",""))</f>
        <v/>
      </c>
      <c r="S3657" s="364"/>
      <c r="Z3657" s="609" t="s">
        <v>3893</v>
      </c>
      <c r="AA3657" s="609" t="s">
        <v>5678</v>
      </c>
    </row>
    <row r="3658" spans="1:27" ht="0.75" customHeight="1" thickBot="1">
      <c r="A3658" s="2714"/>
      <c r="B3658" s="371"/>
      <c r="C3658" s="371"/>
      <c r="D3658" s="371"/>
      <c r="E3658" s="586"/>
      <c r="F3658" s="586"/>
      <c r="G3658" s="586" t="s">
        <v>3912</v>
      </c>
      <c r="H3658" s="371" t="s">
        <v>2904</v>
      </c>
      <c r="I3658" s="371" t="s">
        <v>3255</v>
      </c>
      <c r="J3658" s="371" t="s">
        <v>3256</v>
      </c>
      <c r="K3658" s="371" t="s">
        <v>3241</v>
      </c>
      <c r="L3658" s="291"/>
      <c r="M3658" s="291"/>
      <c r="N3658" s="291"/>
      <c r="O3658" s="291"/>
      <c r="S3658" s="364"/>
      <c r="Z3658" s="609" t="s">
        <v>3893</v>
      </c>
      <c r="AA3658" s="609" t="s">
        <v>5678</v>
      </c>
    </row>
    <row r="3659" spans="1:27" ht="18">
      <c r="A3659" s="2714"/>
      <c r="B3659" s="371"/>
      <c r="C3659" s="371"/>
      <c r="D3659" s="371"/>
      <c r="E3659" s="586" t="s">
        <v>2749</v>
      </c>
      <c r="F3659" s="363"/>
      <c r="G3659" s="2567" t="s">
        <v>47</v>
      </c>
      <c r="H3659" s="2532" t="str">
        <f>$V$3</f>
        <v>2018年12月31日</v>
      </c>
      <c r="I3659" s="2564" t="s">
        <v>3027</v>
      </c>
      <c r="J3659" s="2564" t="s">
        <v>3028</v>
      </c>
      <c r="K3659" s="2593" t="str">
        <f>$V$2</f>
        <v>2019年12月31日</v>
      </c>
      <c r="L3659" s="355" t="s">
        <v>5305</v>
      </c>
      <c r="M3659" s="291"/>
      <c r="N3659" s="291"/>
      <c r="O3659" s="291"/>
      <c r="S3659" s="364"/>
      <c r="Z3659" s="609" t="s">
        <v>3893</v>
      </c>
      <c r="AA3659" s="609" t="s">
        <v>5678</v>
      </c>
    </row>
    <row r="3660" spans="1:27" ht="18">
      <c r="A3660" s="2714"/>
      <c r="B3660" s="371">
        <v>101</v>
      </c>
      <c r="C3660" s="371"/>
      <c r="D3660" s="2716">
        <f t="shared" ref="D3660:D3672" si="414">IF(OR(G3660="*",G3660="",G3660=0),0,COUNTIF($G$3660:$G$3672,G3660))</f>
        <v>1</v>
      </c>
      <c r="E3660" s="2721" t="s">
        <v>41</v>
      </c>
      <c r="F3660" s="294"/>
      <c r="G3660" s="1474" t="s">
        <v>3913</v>
      </c>
      <c r="H3660" s="2275"/>
      <c r="I3660" s="2275"/>
      <c r="J3660" s="2275"/>
      <c r="K3660" s="2296"/>
      <c r="L3660" s="291"/>
      <c r="M3660" s="291"/>
      <c r="N3660" s="291"/>
      <c r="O3660" s="291"/>
      <c r="S3660" s="364"/>
      <c r="Z3660" s="609" t="s">
        <v>3893</v>
      </c>
      <c r="AA3660" s="609" t="s">
        <v>5678</v>
      </c>
    </row>
    <row r="3661" spans="1:27" ht="18">
      <c r="A3661" s="2714"/>
      <c r="B3661" s="371">
        <v>101.001</v>
      </c>
      <c r="C3661" s="371"/>
      <c r="D3661" s="2716">
        <f t="shared" si="414"/>
        <v>1</v>
      </c>
      <c r="E3661" s="2721" t="s">
        <v>3914</v>
      </c>
      <c r="F3661" s="294"/>
      <c r="G3661" s="603" t="s">
        <v>3915</v>
      </c>
      <c r="H3661" s="2275">
        <v>105701.26</v>
      </c>
      <c r="I3661" s="2275">
        <v>3245624.81</v>
      </c>
      <c r="J3661" s="2275">
        <v>3232224.15</v>
      </c>
      <c r="K3661" s="1477">
        <f>H3661+I3661-J3661</f>
        <v>119101.92</v>
      </c>
      <c r="L3661" s="291"/>
      <c r="M3661" s="291"/>
      <c r="N3661" s="291"/>
      <c r="O3661" s="291"/>
      <c r="S3661" s="364"/>
      <c r="Z3661" s="609" t="s">
        <v>3893</v>
      </c>
      <c r="AA3661" s="609" t="s">
        <v>5678</v>
      </c>
    </row>
    <row r="3662" spans="1:27" ht="18">
      <c r="A3662" s="2714"/>
      <c r="B3662" s="371">
        <v>101.002</v>
      </c>
      <c r="C3662" s="371"/>
      <c r="D3662" s="2716">
        <f t="shared" si="414"/>
        <v>1</v>
      </c>
      <c r="E3662" s="2721" t="s">
        <v>3914</v>
      </c>
      <c r="F3662" s="294"/>
      <c r="G3662" s="603" t="s">
        <v>3916</v>
      </c>
      <c r="H3662" s="2275">
        <v>2530.54</v>
      </c>
      <c r="I3662" s="2275">
        <v>148804.53</v>
      </c>
      <c r="J3662" s="2275">
        <v>145379.97</v>
      </c>
      <c r="K3662" s="1477">
        <f>H3662+I3662-J3662</f>
        <v>5955.1</v>
      </c>
      <c r="L3662" s="291"/>
      <c r="M3662" s="291"/>
      <c r="N3662" s="291"/>
      <c r="O3662" s="291"/>
      <c r="S3662" s="364"/>
      <c r="Z3662" s="609" t="s">
        <v>3893</v>
      </c>
      <c r="AA3662" s="609" t="s">
        <v>5678</v>
      </c>
    </row>
    <row r="3663" spans="1:27" ht="18">
      <c r="A3663" s="2714"/>
      <c r="B3663" s="371">
        <v>101.003</v>
      </c>
      <c r="C3663" s="371"/>
      <c r="D3663" s="2716">
        <f t="shared" si="414"/>
        <v>1</v>
      </c>
      <c r="E3663" s="2721" t="s">
        <v>3914</v>
      </c>
      <c r="F3663" s="294"/>
      <c r="G3663" s="603" t="s">
        <v>3917</v>
      </c>
      <c r="H3663" s="2275"/>
      <c r="I3663" s="2275"/>
      <c r="J3663" s="2275"/>
      <c r="K3663" s="1477">
        <f>H3663+I3663-J3663</f>
        <v>0</v>
      </c>
      <c r="L3663" s="291"/>
      <c r="M3663" s="291"/>
      <c r="N3663" s="291"/>
      <c r="O3663" s="291"/>
      <c r="S3663" s="364"/>
      <c r="Z3663" s="609" t="s">
        <v>3893</v>
      </c>
      <c r="AA3663" s="609" t="s">
        <v>5678</v>
      </c>
    </row>
    <row r="3664" spans="1:27" ht="18">
      <c r="A3664" s="2714"/>
      <c r="B3664" s="371">
        <v>101.004</v>
      </c>
      <c r="C3664" s="371" t="s">
        <v>2791</v>
      </c>
      <c r="D3664" s="2716">
        <f t="shared" si="414"/>
        <v>0</v>
      </c>
      <c r="E3664" s="2721" t="s">
        <v>3914</v>
      </c>
      <c r="F3664" s="294"/>
      <c r="G3664" s="578" t="s">
        <v>2792</v>
      </c>
      <c r="H3664" s="2275"/>
      <c r="I3664" s="2275"/>
      <c r="J3664" s="2275"/>
      <c r="K3664" s="1477">
        <f>H3664+I3664-J3664</f>
        <v>0</v>
      </c>
      <c r="L3664" s="291"/>
      <c r="M3664" s="291"/>
      <c r="N3664" s="291"/>
      <c r="O3664" s="291"/>
      <c r="S3664" s="364"/>
      <c r="Z3664" s="609" t="s">
        <v>3893</v>
      </c>
      <c r="AA3664" s="609" t="s">
        <v>5678</v>
      </c>
    </row>
    <row r="3665" spans="1:29" ht="18">
      <c r="A3665" s="2714"/>
      <c r="B3665" s="371">
        <v>101.005</v>
      </c>
      <c r="C3665" s="371" t="s">
        <v>2791</v>
      </c>
      <c r="D3665" s="2716">
        <f t="shared" si="414"/>
        <v>0</v>
      </c>
      <c r="E3665" s="2721" t="s">
        <v>3914</v>
      </c>
      <c r="F3665" s="294"/>
      <c r="G3665" s="578" t="s">
        <v>2792</v>
      </c>
      <c r="H3665" s="2275"/>
      <c r="I3665" s="2275"/>
      <c r="J3665" s="2275"/>
      <c r="K3665" s="1477">
        <f>H3665+I3665-J3665</f>
        <v>0</v>
      </c>
      <c r="L3665" s="291"/>
      <c r="M3665" s="291"/>
      <c r="N3665" s="291"/>
      <c r="O3665" s="291"/>
      <c r="S3665" s="364"/>
      <c r="Z3665" s="609" t="s">
        <v>3893</v>
      </c>
      <c r="AA3665" s="609" t="s">
        <v>5678</v>
      </c>
    </row>
    <row r="3666" spans="1:29" ht="18">
      <c r="A3666" s="2714"/>
      <c r="B3666" s="371">
        <v>101.999</v>
      </c>
      <c r="C3666" s="371" t="s">
        <v>2793</v>
      </c>
      <c r="D3666" s="2716">
        <f t="shared" si="414"/>
        <v>1</v>
      </c>
      <c r="E3666" s="2721">
        <v>1</v>
      </c>
      <c r="F3666" s="294"/>
      <c r="G3666" s="1474" t="s">
        <v>3914</v>
      </c>
      <c r="H3666" s="1476">
        <f>SUMIF($E$3659:$E$3671,$G3666,H$3659:H$3671)</f>
        <v>108231.8</v>
      </c>
      <c r="I3666" s="1476">
        <f>SUMIF($E$3659:$E$3671,$G3666,I$3659:I$3671)</f>
        <v>3394429.34</v>
      </c>
      <c r="J3666" s="1476">
        <f>SUMIF($E$3659:$E$3671,$G3666,J$3659:J$3671)</f>
        <v>3377604.12</v>
      </c>
      <c r="K3666" s="1477">
        <f>SUMIF($E$3659:$E$3671,$G3666,K$3659:K$3671)</f>
        <v>125057.02</v>
      </c>
      <c r="L3666" s="1533" t="str">
        <f ca="1">HYPERLINK("#'"&amp;$G$1&amp;"'!"&amp;ADDRESS(ROW(Notes!H3676),COLUMN(Notes!H3676),4),"* 请勿删除此行！点击往勾稽单元格，F5+Enter返回")</f>
        <v>* 请勿删除此行！点击往勾稽单元格，F5+Enter返回</v>
      </c>
      <c r="M3666" s="291"/>
      <c r="N3666" s="291"/>
      <c r="O3666" s="291"/>
      <c r="S3666" s="364"/>
      <c r="Z3666" s="609" t="s">
        <v>3893</v>
      </c>
      <c r="AA3666" s="609" t="s">
        <v>5678</v>
      </c>
      <c r="AC3666" s="369" t="s">
        <v>6574</v>
      </c>
    </row>
    <row r="3667" spans="1:29" ht="18">
      <c r="A3667" s="2714"/>
      <c r="B3667" s="371">
        <v>102</v>
      </c>
      <c r="C3667" s="371" t="s">
        <v>2791</v>
      </c>
      <c r="D3667" s="2716">
        <f t="shared" si="414"/>
        <v>1</v>
      </c>
      <c r="E3667" s="2721">
        <v>1</v>
      </c>
      <c r="F3667" s="294"/>
      <c r="G3667" s="2568" t="s">
        <v>3918</v>
      </c>
      <c r="H3667" s="2275">
        <f>SUM(H3668:H3670)</f>
        <v>0</v>
      </c>
      <c r="I3667" s="2275">
        <f t="shared" ref="I3667:J3667" si="415">SUM(I3668:I3670)</f>
        <v>0</v>
      </c>
      <c r="J3667" s="2275">
        <f t="shared" si="415"/>
        <v>0</v>
      </c>
      <c r="K3667" s="2296">
        <f>SUM(K3668:K3670)</f>
        <v>0</v>
      </c>
      <c r="L3667" s="291"/>
      <c r="M3667" s="291"/>
      <c r="N3667" s="291"/>
      <c r="O3667" s="291"/>
      <c r="S3667" s="364"/>
      <c r="Z3667" s="609" t="s">
        <v>3893</v>
      </c>
      <c r="AA3667" s="609" t="s">
        <v>5678</v>
      </c>
    </row>
    <row r="3668" spans="1:29" ht="18">
      <c r="A3668" s="2714"/>
      <c r="B3668" s="371">
        <v>103</v>
      </c>
      <c r="C3668" s="371" t="s">
        <v>2791</v>
      </c>
      <c r="D3668" s="2716">
        <f t="shared" si="414"/>
        <v>1</v>
      </c>
      <c r="E3668" s="2721">
        <v>0</v>
      </c>
      <c r="F3668" s="294"/>
      <c r="G3668" s="578" t="s">
        <v>3919</v>
      </c>
      <c r="H3668" s="2275"/>
      <c r="I3668" s="2275"/>
      <c r="J3668" s="2275"/>
      <c r="K3668" s="1477">
        <f>H3668+I3668-J3668</f>
        <v>0</v>
      </c>
      <c r="L3668" s="355" t="s">
        <v>6073</v>
      </c>
      <c r="M3668" s="291"/>
      <c r="N3668" s="291"/>
      <c r="O3668" s="291"/>
      <c r="S3668" s="364"/>
      <c r="Z3668" s="609" t="s">
        <v>3893</v>
      </c>
      <c r="AA3668" s="609" t="s">
        <v>5678</v>
      </c>
    </row>
    <row r="3669" spans="1:29" ht="18">
      <c r="A3669" s="2714"/>
      <c r="B3669" s="371">
        <v>104</v>
      </c>
      <c r="C3669" s="371" t="s">
        <v>2791</v>
      </c>
      <c r="D3669" s="2716">
        <f t="shared" si="414"/>
        <v>1</v>
      </c>
      <c r="E3669" s="2721">
        <v>0</v>
      </c>
      <c r="F3669" s="294"/>
      <c r="G3669" s="578" t="s">
        <v>3920</v>
      </c>
      <c r="H3669" s="2275"/>
      <c r="I3669" s="2275"/>
      <c r="J3669" s="2275"/>
      <c r="K3669" s="1477">
        <f>H3669+I3669-J3669</f>
        <v>0</v>
      </c>
      <c r="L3669" s="291"/>
      <c r="M3669" s="291"/>
      <c r="N3669" s="291"/>
      <c r="O3669" s="291"/>
      <c r="S3669" s="364"/>
      <c r="Z3669" s="609" t="s">
        <v>3893</v>
      </c>
      <c r="AA3669" s="609" t="s">
        <v>5678</v>
      </c>
    </row>
    <row r="3670" spans="1:29" ht="18">
      <c r="A3670" s="2714"/>
      <c r="B3670" s="371">
        <v>105</v>
      </c>
      <c r="C3670" s="371" t="s">
        <v>6533</v>
      </c>
      <c r="D3670" s="2716">
        <f t="shared" si="414"/>
        <v>0</v>
      </c>
      <c r="E3670" s="2721">
        <v>0</v>
      </c>
      <c r="F3670" s="294"/>
      <c r="G3670" s="578" t="s">
        <v>2792</v>
      </c>
      <c r="H3670" s="2275"/>
      <c r="I3670" s="2275"/>
      <c r="J3670" s="2275"/>
      <c r="K3670" s="1477">
        <f>H3670+I3670-J3670</f>
        <v>0</v>
      </c>
      <c r="L3670" s="291"/>
      <c r="M3670" s="291"/>
      <c r="N3670" s="291"/>
      <c r="O3670" s="291"/>
      <c r="S3670" s="364"/>
      <c r="Z3670" s="609" t="s">
        <v>3893</v>
      </c>
      <c r="AA3670" s="609" t="s">
        <v>5678</v>
      </c>
    </row>
    <row r="3671" spans="1:29" ht="18">
      <c r="A3671" s="2714"/>
      <c r="B3671" s="371">
        <v>106</v>
      </c>
      <c r="C3671" s="371" t="s">
        <v>2791</v>
      </c>
      <c r="D3671" s="2716">
        <f t="shared" si="414"/>
        <v>0</v>
      </c>
      <c r="E3671" s="2721">
        <v>1</v>
      </c>
      <c r="F3671" s="294"/>
      <c r="G3671" s="2568" t="s">
        <v>2792</v>
      </c>
      <c r="H3671" s="2275"/>
      <c r="I3671" s="2275"/>
      <c r="J3671" s="2275"/>
      <c r="K3671" s="1477">
        <f>H3671+I3671-J3671</f>
        <v>0</v>
      </c>
      <c r="L3671" s="291"/>
      <c r="M3671" s="291"/>
      <c r="N3671" s="291"/>
      <c r="O3671" s="291"/>
      <c r="S3671" s="364"/>
      <c r="Z3671" s="609" t="s">
        <v>3893</v>
      </c>
      <c r="AA3671" s="609" t="s">
        <v>5678</v>
      </c>
    </row>
    <row r="3672" spans="1:29" ht="18.75" thickBot="1">
      <c r="A3672" s="2714"/>
      <c r="B3672" s="371"/>
      <c r="C3672" s="371"/>
      <c r="D3672" s="2716">
        <f t="shared" si="414"/>
        <v>1</v>
      </c>
      <c r="E3672" s="2721" t="s">
        <v>2751</v>
      </c>
      <c r="F3672" s="294"/>
      <c r="G3672" s="374" t="s">
        <v>2752</v>
      </c>
      <c r="H3672" s="1496">
        <f>SUMPRODUCT($E3659:$E3671,H3659:H3671)</f>
        <v>108231.8</v>
      </c>
      <c r="I3672" s="1496">
        <f>SUMPRODUCT($E3659:$E3671,I3659:I3671)</f>
        <v>3394429.34</v>
      </c>
      <c r="J3672" s="1496">
        <f>SUMPRODUCT($E3659:$E3671,J3659:J3671)</f>
        <v>3377604.12</v>
      </c>
      <c r="K3672" s="2594">
        <f>SUMPRODUCT($E3659:$E3671,K3659:K3671)</f>
        <v>125057.02</v>
      </c>
      <c r="L3672" s="291"/>
      <c r="M3672" s="291"/>
      <c r="N3672" s="291"/>
      <c r="O3672" s="291"/>
      <c r="S3672" s="364"/>
      <c r="Z3672" s="609" t="s">
        <v>3893</v>
      </c>
      <c r="AA3672" s="609" t="s">
        <v>5678</v>
      </c>
    </row>
    <row r="3673" spans="1:29" ht="18.75" thickBot="1">
      <c r="A3673" s="2714"/>
      <c r="B3673" s="371"/>
      <c r="C3673" s="371" t="s">
        <v>2755</v>
      </c>
      <c r="D3673" s="371"/>
      <c r="F3673" s="294"/>
      <c r="G3673" s="557"/>
      <c r="H3673" s="527" t="s">
        <v>3002</v>
      </c>
      <c r="I3673" s="527" t="s">
        <v>3002</v>
      </c>
      <c r="J3673" s="527" t="s">
        <v>3002</v>
      </c>
      <c r="K3673" s="527" t="s">
        <v>3002</v>
      </c>
      <c r="L3673" s="291"/>
      <c r="M3673" s="291"/>
      <c r="N3673" s="291"/>
      <c r="O3673" s="291"/>
      <c r="S3673" s="364"/>
      <c r="Z3673" s="609" t="s">
        <v>3893</v>
      </c>
      <c r="AA3673" s="609" t="s">
        <v>5678</v>
      </c>
    </row>
    <row r="3674" spans="1:29" ht="18.75" thickTop="1">
      <c r="A3674" s="2714"/>
      <c r="B3674" s="371"/>
      <c r="C3674" s="371" t="s">
        <v>2565</v>
      </c>
      <c r="D3674" s="371"/>
      <c r="F3674" s="294"/>
      <c r="G3674" s="1561" t="s">
        <v>5367</v>
      </c>
      <c r="H3674" s="1550" t="str">
        <f>G3618</f>
        <v>(1)应付职工薪酬列示</v>
      </c>
      <c r="I3674" s="1552"/>
      <c r="J3674" s="1552"/>
      <c r="K3674" s="1552"/>
      <c r="L3674" s="1553" t="s">
        <v>5368</v>
      </c>
      <c r="M3674" s="291"/>
      <c r="N3674" s="291"/>
      <c r="O3674" s="291"/>
      <c r="S3674" s="364"/>
      <c r="Z3674" s="609" t="s">
        <v>3893</v>
      </c>
      <c r="AA3674" s="609" t="s">
        <v>5678</v>
      </c>
    </row>
    <row r="3675" spans="1:29" ht="24">
      <c r="A3675" s="2714"/>
      <c r="B3675" s="371"/>
      <c r="C3675" s="371" t="s">
        <v>2565</v>
      </c>
      <c r="D3675" s="371"/>
      <c r="F3675" s="294"/>
      <c r="G3675" s="604" t="str">
        <f>"注释A:"&amp; G3622</f>
        <v>注释A:二、离职后福利-设定提存计划</v>
      </c>
      <c r="H3675" s="2252">
        <f ca="1">HYPERLINK("#'"&amp;$G$1&amp;"'!"&amp;ADDRESS(ROW(Notes!H3622),COLUMN(Notes!H3622),4),H3622)</f>
        <v>108231.8</v>
      </c>
      <c r="I3675" s="2252">
        <f ca="1">HYPERLINK("#'"&amp;$G$1&amp;"'!"&amp;ADDRESS(ROW(Notes!I3622),COLUMN(Notes!I3622),4),I3622)</f>
        <v>3394429.34</v>
      </c>
      <c r="J3675" s="2252">
        <f ca="1">HYPERLINK("#'"&amp;$G$1&amp;"'!"&amp;ADDRESS(ROW(Notes!J3622),COLUMN(Notes!J3622),4),J3622)</f>
        <v>3377604.12</v>
      </c>
      <c r="K3675" s="2252">
        <f ca="1">HYPERLINK("#'"&amp;$G$1&amp;"'!"&amp;ADDRESS(ROW(Notes!K3622),COLUMN(Notes!K3622),4),K3622)</f>
        <v>125057.02</v>
      </c>
      <c r="L3675" s="2632" t="str">
        <f>H3618</f>
        <v>2211a</v>
      </c>
      <c r="M3675" s="291"/>
      <c r="N3675" s="291"/>
      <c r="O3675" s="291"/>
      <c r="S3675" s="364"/>
      <c r="Z3675" s="609" t="s">
        <v>3893</v>
      </c>
      <c r="AA3675" s="609" t="s">
        <v>5678</v>
      </c>
    </row>
    <row r="3676" spans="1:29" ht="18">
      <c r="A3676" s="2714"/>
      <c r="B3676" s="371"/>
      <c r="C3676" s="371" t="s">
        <v>2565</v>
      </c>
      <c r="D3676" s="371"/>
      <c r="F3676" s="294"/>
      <c r="G3676" s="604" t="str">
        <f>"本注释B:"&amp; G3666</f>
        <v>本注释B:离职后福利小计</v>
      </c>
      <c r="H3676" s="2252">
        <f ca="1">HYPERLINK("#'"&amp;$G$1&amp;"'!"&amp;ADDRESS(ROW(Notes!H3666),COLUMN(Notes!H3666),4),H3666)</f>
        <v>108231.8</v>
      </c>
      <c r="I3676" s="2252">
        <f ca="1">HYPERLINK("#'"&amp;$G$1&amp;"'!"&amp;ADDRESS(ROW(Notes!I3666),COLUMN(Notes!I3666),4),I3666)</f>
        <v>3394429.34</v>
      </c>
      <c r="J3676" s="2252">
        <f ca="1">HYPERLINK("#'"&amp;$G$1&amp;"'!"&amp;ADDRESS(ROW(Notes!J3666),COLUMN(Notes!J3666),4),J3666)</f>
        <v>3377604.12</v>
      </c>
      <c r="K3676" s="2252">
        <f ca="1">HYPERLINK("#'"&amp;$G$1&amp;"'!"&amp;ADDRESS(ROW(Notes!K3666),COLUMN(Notes!K3666),4),K3666)</f>
        <v>125057.02</v>
      </c>
      <c r="L3676" s="2638" t="s">
        <v>1510</v>
      </c>
      <c r="M3676" s="291"/>
      <c r="N3676" s="291"/>
      <c r="O3676" s="291"/>
      <c r="S3676" s="364"/>
      <c r="Z3676" s="609" t="s">
        <v>3893</v>
      </c>
      <c r="AA3676" s="609" t="s">
        <v>5678</v>
      </c>
    </row>
    <row r="3677" spans="1:29" ht="18.75" thickBot="1">
      <c r="A3677" s="2714"/>
      <c r="B3677" s="371"/>
      <c r="C3677" s="371" t="s">
        <v>2565</v>
      </c>
      <c r="D3677" s="371"/>
      <c r="F3677" s="294"/>
      <c r="G3677" s="1562" t="s">
        <v>2757</v>
      </c>
      <c r="H3677" s="1531">
        <f ca="1">IF(AND(H3675="",H3676=""),"",ROUND(H3675-H3676,2))</f>
        <v>0</v>
      </c>
      <c r="I3677" s="1531">
        <f ca="1">IF(AND(I3675="",I3676=""),"",ROUND(I3675-I3676,2))</f>
        <v>0</v>
      </c>
      <c r="J3677" s="1531">
        <f ca="1">IF(AND(J3675="",J3676=""),"",ROUND(J3675-J3676,2))</f>
        <v>0</v>
      </c>
      <c r="K3677" s="1531">
        <f ca="1">IF(AND(K3675="",K3676=""),"",ROUND(K3675-K3676,2))</f>
        <v>0</v>
      </c>
      <c r="L3677" s="1555"/>
      <c r="M3677" s="291"/>
      <c r="N3677" s="291"/>
      <c r="O3677" s="291"/>
      <c r="S3677" s="364"/>
      <c r="Z3677" s="609" t="s">
        <v>3893</v>
      </c>
      <c r="AA3677" s="609" t="s">
        <v>5678</v>
      </c>
    </row>
    <row r="3678" spans="1:29" ht="18.75" thickTop="1">
      <c r="A3678" s="2714"/>
      <c r="B3678" s="371"/>
      <c r="C3678" s="371" t="s">
        <v>2565</v>
      </c>
      <c r="D3678" s="371"/>
      <c r="F3678" s="294"/>
      <c r="G3678" s="2640"/>
      <c r="H3678" s="459" t="str">
        <f ca="1">IF(OR(H3677=0,H3677=""),"√","？")</f>
        <v>√</v>
      </c>
      <c r="I3678" s="459" t="str">
        <f ca="1">IF(OR(I3677=0,I3677=""),"√","？")</f>
        <v>√</v>
      </c>
      <c r="J3678" s="459" t="str">
        <f ca="1">IF(OR(J3677=0,J3677=""),"√","？")</f>
        <v>√</v>
      </c>
      <c r="K3678" s="459" t="str">
        <f ca="1">IF(OR(K3677=0,K3677=""),"√","？")</f>
        <v>√</v>
      </c>
      <c r="L3678" s="354"/>
      <c r="M3678" s="291"/>
      <c r="N3678" s="291"/>
      <c r="O3678" s="291"/>
      <c r="S3678" s="364"/>
      <c r="Z3678" s="609" t="s">
        <v>3893</v>
      </c>
      <c r="AA3678" s="609" t="s">
        <v>5678</v>
      </c>
    </row>
    <row r="3679" spans="1:29" ht="18">
      <c r="A3679" s="2714"/>
      <c r="B3679" s="371"/>
      <c r="C3679" s="371" t="s">
        <v>2565</v>
      </c>
      <c r="D3679" s="371"/>
      <c r="F3679" s="294"/>
      <c r="G3679" s="460" t="s">
        <v>2759</v>
      </c>
      <c r="H3679" s="461"/>
      <c r="I3679" s="461"/>
      <c r="J3679" s="461"/>
      <c r="K3679" s="605">
        <f ca="1">SUMIF($H$3678:$L$3678,"&lt;&gt;√",$H$3677:$L$3677)</f>
        <v>0</v>
      </c>
      <c r="L3679" s="353" t="str">
        <f ca="1">IF(OR(K3679=0,K3679=""),"√","？")</f>
        <v>√</v>
      </c>
      <c r="M3679" s="291"/>
      <c r="N3679" s="291"/>
      <c r="O3679" s="291"/>
      <c r="S3679" s="364"/>
      <c r="Z3679" s="609" t="s">
        <v>3893</v>
      </c>
      <c r="AA3679" s="609" t="s">
        <v>5678</v>
      </c>
    </row>
    <row r="3680" spans="1:29" ht="18">
      <c r="A3680" s="2714"/>
      <c r="B3680" s="371"/>
      <c r="C3680" s="371" t="s">
        <v>2565</v>
      </c>
      <c r="D3680" s="371"/>
      <c r="F3680" s="294"/>
      <c r="G3680" s="2640"/>
      <c r="H3680" s="461"/>
      <c r="I3680" s="461"/>
      <c r="J3680" s="461"/>
      <c r="K3680" s="461"/>
      <c r="L3680" s="354"/>
      <c r="M3680" s="291"/>
      <c r="N3680" s="291"/>
      <c r="O3680" s="291"/>
      <c r="S3680" s="364"/>
      <c r="Z3680" s="609" t="s">
        <v>3893</v>
      </c>
      <c r="AA3680" s="609" t="s">
        <v>5678</v>
      </c>
    </row>
    <row r="3681" spans="1:27" ht="18">
      <c r="A3681" s="2714" t="s">
        <v>1515</v>
      </c>
      <c r="B3681" s="371">
        <v>4</v>
      </c>
      <c r="C3681" s="371"/>
      <c r="D3681" s="2716" t="str">
        <f>VLOOKUP($A3681,Sheet_NoteList,2,0)</f>
        <v>应付职工薪酬分类列示</v>
      </c>
      <c r="E3681" s="2716" t="s">
        <v>6534</v>
      </c>
      <c r="F3681" s="294"/>
      <c r="G3681" s="372" t="str">
        <f>"("&amp;B3681&amp;")"&amp;D3681</f>
        <v>(4)应付职工薪酬分类列示</v>
      </c>
      <c r="H3681" s="1517" t="str">
        <f>$A3681</f>
        <v>2211d</v>
      </c>
      <c r="I3681" s="343" t="s">
        <v>5977</v>
      </c>
      <c r="J3681" s="301" t="s">
        <v>5979</v>
      </c>
      <c r="K3681" s="2210">
        <f>K3711</f>
        <v>0</v>
      </c>
      <c r="L3681" s="345"/>
      <c r="M3681" s="301" t="s">
        <v>5976</v>
      </c>
      <c r="N3681" s="2210">
        <f>H3711</f>
        <v>0</v>
      </c>
      <c r="O3681" s="345"/>
      <c r="P3681" s="301"/>
      <c r="S3681" s="364"/>
      <c r="Z3681" s="609" t="s">
        <v>3893</v>
      </c>
      <c r="AA3681" s="609" t="s">
        <v>5678</v>
      </c>
    </row>
    <row r="3682" spans="1:27" ht="0.75" customHeight="1" thickBot="1">
      <c r="A3682" s="2714"/>
      <c r="B3682" s="371"/>
      <c r="C3682" s="371"/>
      <c r="D3682" s="371"/>
      <c r="E3682" s="586"/>
      <c r="F3682" s="586"/>
      <c r="G3682" s="586" t="s">
        <v>3921</v>
      </c>
      <c r="H3682" s="371" t="s">
        <v>2904</v>
      </c>
      <c r="I3682" s="371" t="s">
        <v>3255</v>
      </c>
      <c r="J3682" s="371" t="s">
        <v>3256</v>
      </c>
      <c r="K3682" s="371" t="s">
        <v>3241</v>
      </c>
      <c r="L3682" s="291"/>
      <c r="M3682" s="291"/>
      <c r="N3682" s="291"/>
      <c r="O3682" s="291"/>
      <c r="S3682" s="364"/>
      <c r="Z3682" s="609" t="s">
        <v>3893</v>
      </c>
      <c r="AA3682" s="609" t="s">
        <v>5678</v>
      </c>
    </row>
    <row r="3683" spans="1:27" ht="18">
      <c r="A3683" s="2714"/>
      <c r="B3683" s="371"/>
      <c r="C3683" s="371"/>
      <c r="D3683" s="371"/>
      <c r="E3683" s="586" t="s">
        <v>2749</v>
      </c>
      <c r="F3683" s="363"/>
      <c r="G3683" s="2363" t="s">
        <v>47</v>
      </c>
      <c r="H3683" s="2476" t="str">
        <f>$V$3</f>
        <v>2018年12月31日</v>
      </c>
      <c r="I3683" s="2364" t="s">
        <v>3027</v>
      </c>
      <c r="J3683" s="2364" t="s">
        <v>3028</v>
      </c>
      <c r="K3683" s="2477" t="str">
        <f>$V$2</f>
        <v>2019年12月31日</v>
      </c>
      <c r="L3683" s="355" t="s">
        <v>6176</v>
      </c>
      <c r="M3683" s="291"/>
      <c r="N3683" s="291"/>
      <c r="O3683" s="291"/>
      <c r="S3683" s="364"/>
      <c r="Z3683" s="609" t="s">
        <v>3893</v>
      </c>
      <c r="AA3683" s="609" t="s">
        <v>5678</v>
      </c>
    </row>
    <row r="3684" spans="1:27" ht="18">
      <c r="A3684" s="2714"/>
      <c r="B3684" s="371">
        <v>101</v>
      </c>
      <c r="C3684" s="371"/>
      <c r="D3684" s="2716">
        <f t="shared" ref="D3684:D3711" si="416">IF(OR(G3684="*",G3684="",G3684=0),0,COUNTIF($G$3684:$G$3711,G3684))</f>
        <v>1</v>
      </c>
      <c r="E3684" s="2721">
        <v>1</v>
      </c>
      <c r="F3684" s="294"/>
      <c r="G3684" s="1474" t="s">
        <v>3922</v>
      </c>
      <c r="H3684" s="2275"/>
      <c r="I3684" s="2275"/>
      <c r="J3684" s="2275"/>
      <c r="K3684" s="1477">
        <f>H3684+I3684-J3684</f>
        <v>0</v>
      </c>
      <c r="L3684" s="579"/>
      <c r="M3684" s="291"/>
      <c r="N3684" s="291"/>
      <c r="O3684" s="291"/>
      <c r="S3684" s="364"/>
      <c r="Z3684" s="609" t="s">
        <v>3893</v>
      </c>
      <c r="AA3684" s="609" t="s">
        <v>5678</v>
      </c>
    </row>
    <row r="3685" spans="1:27" ht="18">
      <c r="A3685" s="2714"/>
      <c r="B3685" s="371">
        <v>102</v>
      </c>
      <c r="C3685" s="371"/>
      <c r="D3685" s="2716">
        <f t="shared" si="416"/>
        <v>1</v>
      </c>
      <c r="E3685" s="2721">
        <v>1</v>
      </c>
      <c r="F3685" s="294"/>
      <c r="G3685" s="1474" t="s">
        <v>3923</v>
      </c>
      <c r="H3685" s="2275"/>
      <c r="I3685" s="2275"/>
      <c r="J3685" s="2275"/>
      <c r="K3685" s="1477">
        <f>H3685+I3685-J3685</f>
        <v>0</v>
      </c>
      <c r="L3685" s="291"/>
      <c r="M3685" s="291"/>
      <c r="N3685" s="291"/>
      <c r="O3685" s="291"/>
      <c r="S3685" s="364"/>
      <c r="Z3685" s="609" t="s">
        <v>3893</v>
      </c>
      <c r="AA3685" s="609" t="s">
        <v>5678</v>
      </c>
    </row>
    <row r="3686" spans="1:27" ht="18">
      <c r="A3686" s="2714"/>
      <c r="B3686" s="371">
        <v>103</v>
      </c>
      <c r="C3686" s="371"/>
      <c r="D3686" s="2716">
        <f t="shared" si="416"/>
        <v>1</v>
      </c>
      <c r="E3686" s="2721">
        <v>0</v>
      </c>
      <c r="F3686" s="294"/>
      <c r="G3686" s="1474" t="s">
        <v>3924</v>
      </c>
      <c r="H3686" s="2275"/>
      <c r="I3686" s="2275"/>
      <c r="J3686" s="2275"/>
      <c r="K3686" s="1477">
        <f>H3686+I3686-J3686</f>
        <v>0</v>
      </c>
      <c r="L3686" s="291"/>
      <c r="M3686" s="291"/>
      <c r="N3686" s="291"/>
      <c r="O3686" s="291"/>
      <c r="S3686" s="364"/>
      <c r="Z3686" s="609" t="s">
        <v>3893</v>
      </c>
      <c r="AA3686" s="609" t="s">
        <v>5678</v>
      </c>
    </row>
    <row r="3687" spans="1:27" ht="18">
      <c r="A3687" s="2714"/>
      <c r="B3687" s="371">
        <v>104</v>
      </c>
      <c r="C3687" s="371"/>
      <c r="D3687" s="2716">
        <f t="shared" si="416"/>
        <v>1</v>
      </c>
      <c r="E3687" s="2721" t="s">
        <v>41</v>
      </c>
      <c r="F3687" s="294"/>
      <c r="G3687" s="1474" t="s">
        <v>3904</v>
      </c>
      <c r="H3687" s="2275"/>
      <c r="I3687" s="2275"/>
      <c r="J3687" s="2275"/>
      <c r="K3687" s="2296"/>
      <c r="L3687" s="291"/>
      <c r="M3687" s="291"/>
      <c r="N3687" s="291"/>
      <c r="O3687" s="291"/>
      <c r="S3687" s="364"/>
      <c r="Z3687" s="609" t="s">
        <v>3893</v>
      </c>
      <c r="AA3687" s="609" t="s">
        <v>5678</v>
      </c>
    </row>
    <row r="3688" spans="1:27" ht="18">
      <c r="A3688" s="2714"/>
      <c r="B3688" s="371">
        <v>104.001</v>
      </c>
      <c r="C3688" s="371"/>
      <c r="D3688" s="2716">
        <f t="shared" si="416"/>
        <v>1</v>
      </c>
      <c r="E3688" s="2721" t="s">
        <v>3903</v>
      </c>
      <c r="F3688" s="294"/>
      <c r="G3688" s="1474" t="s">
        <v>3925</v>
      </c>
      <c r="H3688" s="2275"/>
      <c r="I3688" s="2275"/>
      <c r="J3688" s="2275"/>
      <c r="K3688" s="1477">
        <f>H3688+I3688-J3688</f>
        <v>0</v>
      </c>
      <c r="L3688" s="291"/>
      <c r="M3688" s="291"/>
      <c r="N3688" s="291"/>
      <c r="O3688" s="291"/>
      <c r="S3688" s="364"/>
      <c r="Z3688" s="609" t="s">
        <v>3893</v>
      </c>
      <c r="AA3688" s="609" t="s">
        <v>5678</v>
      </c>
    </row>
    <row r="3689" spans="1:27" ht="18">
      <c r="A3689" s="2714"/>
      <c r="B3689" s="371">
        <v>104.002</v>
      </c>
      <c r="C3689" s="371"/>
      <c r="D3689" s="2716">
        <f t="shared" si="416"/>
        <v>1</v>
      </c>
      <c r="E3689" s="2721" t="s">
        <v>3903</v>
      </c>
      <c r="F3689" s="294"/>
      <c r="G3689" s="1474" t="s">
        <v>3926</v>
      </c>
      <c r="H3689" s="2275"/>
      <c r="I3689" s="2275"/>
      <c r="J3689" s="2275"/>
      <c r="K3689" s="1477">
        <f>H3689+I3689-J3689</f>
        <v>0</v>
      </c>
      <c r="L3689" s="291"/>
      <c r="M3689" s="291"/>
      <c r="N3689" s="291"/>
      <c r="O3689" s="291"/>
      <c r="S3689" s="364"/>
      <c r="Z3689" s="609" t="s">
        <v>3893</v>
      </c>
      <c r="AA3689" s="609" t="s">
        <v>5678</v>
      </c>
    </row>
    <row r="3690" spans="1:27" ht="18">
      <c r="A3690" s="2714"/>
      <c r="B3690" s="371">
        <v>104.003</v>
      </c>
      <c r="C3690" s="371"/>
      <c r="D3690" s="2716">
        <f t="shared" si="416"/>
        <v>1</v>
      </c>
      <c r="E3690" s="2721" t="s">
        <v>3903</v>
      </c>
      <c r="F3690" s="294"/>
      <c r="G3690" s="1474" t="s">
        <v>3927</v>
      </c>
      <c r="H3690" s="2275"/>
      <c r="I3690" s="2275"/>
      <c r="J3690" s="2275"/>
      <c r="K3690" s="1477">
        <f t="shared" ref="K3690:K3708" si="417">H3690+I3690-J3690</f>
        <v>0</v>
      </c>
      <c r="L3690" s="291"/>
      <c r="M3690" s="291"/>
      <c r="N3690" s="291"/>
      <c r="O3690" s="291"/>
      <c r="S3690" s="364"/>
      <c r="Z3690" s="609" t="s">
        <v>3893</v>
      </c>
      <c r="AA3690" s="609" t="s">
        <v>5678</v>
      </c>
    </row>
    <row r="3691" spans="1:27" ht="24">
      <c r="A3691" s="2714"/>
      <c r="B3691" s="371">
        <v>104.004</v>
      </c>
      <c r="C3691" s="371"/>
      <c r="D3691" s="2716">
        <f t="shared" si="416"/>
        <v>1</v>
      </c>
      <c r="E3691" s="2721" t="s">
        <v>3903</v>
      </c>
      <c r="F3691" s="294"/>
      <c r="G3691" s="1474" t="s">
        <v>3928</v>
      </c>
      <c r="H3691" s="2275"/>
      <c r="I3691" s="2275"/>
      <c r="J3691" s="2275"/>
      <c r="K3691" s="1477">
        <f t="shared" si="417"/>
        <v>0</v>
      </c>
      <c r="L3691" s="291"/>
      <c r="M3691" s="291"/>
      <c r="N3691" s="291"/>
      <c r="O3691" s="291"/>
      <c r="S3691" s="364"/>
      <c r="Z3691" s="609" t="s">
        <v>3893</v>
      </c>
      <c r="AA3691" s="609" t="s">
        <v>5678</v>
      </c>
    </row>
    <row r="3692" spans="1:27" ht="18">
      <c r="A3692" s="2714"/>
      <c r="B3692" s="371">
        <v>104.005</v>
      </c>
      <c r="C3692" s="371"/>
      <c r="D3692" s="2716">
        <f t="shared" si="416"/>
        <v>1</v>
      </c>
      <c r="E3692" s="2721" t="s">
        <v>3903</v>
      </c>
      <c r="F3692" s="294"/>
      <c r="G3692" s="1474" t="s">
        <v>3929</v>
      </c>
      <c r="H3692" s="2275"/>
      <c r="I3692" s="2275"/>
      <c r="J3692" s="2275"/>
      <c r="K3692" s="1477">
        <f t="shared" si="417"/>
        <v>0</v>
      </c>
      <c r="L3692" s="291"/>
      <c r="M3692" s="291"/>
      <c r="N3692" s="291"/>
      <c r="O3692" s="291"/>
      <c r="S3692" s="364"/>
      <c r="Z3692" s="609" t="s">
        <v>3893</v>
      </c>
      <c r="AA3692" s="609" t="s">
        <v>5678</v>
      </c>
    </row>
    <row r="3693" spans="1:27" ht="18">
      <c r="A3693" s="2714"/>
      <c r="B3693" s="371">
        <v>104.006</v>
      </c>
      <c r="C3693" s="371"/>
      <c r="D3693" s="2716">
        <f t="shared" si="416"/>
        <v>1</v>
      </c>
      <c r="E3693" s="2721" t="s">
        <v>3903</v>
      </c>
      <c r="F3693" s="294"/>
      <c r="G3693" s="1474" t="s">
        <v>3930</v>
      </c>
      <c r="H3693" s="2275"/>
      <c r="I3693" s="2275"/>
      <c r="J3693" s="2275"/>
      <c r="K3693" s="1477">
        <f t="shared" si="417"/>
        <v>0</v>
      </c>
      <c r="L3693" s="291"/>
      <c r="M3693" s="291"/>
      <c r="N3693" s="291"/>
      <c r="O3693" s="291"/>
      <c r="S3693" s="364"/>
      <c r="Z3693" s="609" t="s">
        <v>3893</v>
      </c>
      <c r="AA3693" s="609" t="s">
        <v>5678</v>
      </c>
    </row>
    <row r="3694" spans="1:27" ht="18">
      <c r="A3694" s="2714"/>
      <c r="B3694" s="371">
        <v>104.00700000000001</v>
      </c>
      <c r="C3694" s="371"/>
      <c r="D3694" s="2716">
        <f t="shared" si="416"/>
        <v>1</v>
      </c>
      <c r="E3694" s="2721" t="s">
        <v>3903</v>
      </c>
      <c r="F3694" s="294"/>
      <c r="G3694" s="1474" t="s">
        <v>3931</v>
      </c>
      <c r="H3694" s="2275"/>
      <c r="I3694" s="2275"/>
      <c r="J3694" s="2275"/>
      <c r="K3694" s="1477">
        <f t="shared" si="417"/>
        <v>0</v>
      </c>
      <c r="L3694" s="291"/>
      <c r="M3694" s="291"/>
      <c r="N3694" s="291"/>
      <c r="O3694" s="291"/>
      <c r="S3694" s="364"/>
      <c r="Z3694" s="609" t="s">
        <v>3893</v>
      </c>
      <c r="AA3694" s="609" t="s">
        <v>5678</v>
      </c>
    </row>
    <row r="3695" spans="1:27" ht="18">
      <c r="A3695" s="2714"/>
      <c r="B3695" s="371">
        <v>104.008</v>
      </c>
      <c r="C3695" s="371" t="s">
        <v>2791</v>
      </c>
      <c r="D3695" s="2716">
        <f t="shared" si="416"/>
        <v>0</v>
      </c>
      <c r="E3695" s="2721" t="s">
        <v>3903</v>
      </c>
      <c r="F3695" s="294"/>
      <c r="G3695" s="2375" t="s">
        <v>2792</v>
      </c>
      <c r="H3695" s="2275"/>
      <c r="I3695" s="2275"/>
      <c r="J3695" s="2275"/>
      <c r="K3695" s="1477">
        <f t="shared" si="417"/>
        <v>0</v>
      </c>
      <c r="L3695" s="291"/>
      <c r="M3695" s="291"/>
      <c r="N3695" s="291"/>
      <c r="O3695" s="291"/>
      <c r="S3695" s="364"/>
      <c r="Z3695" s="609" t="s">
        <v>3893</v>
      </c>
      <c r="AA3695" s="609" t="s">
        <v>5678</v>
      </c>
    </row>
    <row r="3696" spans="1:27" ht="18">
      <c r="A3696" s="2714"/>
      <c r="B3696" s="371">
        <v>104.009</v>
      </c>
      <c r="C3696" s="371" t="s">
        <v>2791</v>
      </c>
      <c r="D3696" s="2716">
        <f t="shared" si="416"/>
        <v>0</v>
      </c>
      <c r="E3696" s="2721" t="s">
        <v>3903</v>
      </c>
      <c r="F3696" s="294"/>
      <c r="G3696" s="2375" t="s">
        <v>2792</v>
      </c>
      <c r="H3696" s="2275"/>
      <c r="I3696" s="2275"/>
      <c r="J3696" s="2275"/>
      <c r="K3696" s="1477">
        <f t="shared" si="417"/>
        <v>0</v>
      </c>
      <c r="L3696" s="291"/>
      <c r="M3696" s="291"/>
      <c r="N3696" s="291"/>
      <c r="O3696" s="291"/>
      <c r="S3696" s="364"/>
      <c r="Z3696" s="609" t="s">
        <v>3893</v>
      </c>
      <c r="AA3696" s="609" t="s">
        <v>5678</v>
      </c>
    </row>
    <row r="3697" spans="1:27" ht="18">
      <c r="A3697" s="2714"/>
      <c r="B3697" s="371">
        <v>104.999</v>
      </c>
      <c r="C3697" s="371" t="s">
        <v>2793</v>
      </c>
      <c r="D3697" s="2716">
        <f t="shared" si="416"/>
        <v>1</v>
      </c>
      <c r="E3697" s="2721">
        <v>1</v>
      </c>
      <c r="F3697" s="294"/>
      <c r="G3697" s="1474" t="s">
        <v>3903</v>
      </c>
      <c r="H3697" s="1476">
        <f>SUMIF($E$3683:$E$3710,$G3697,H$3683:H$3710)</f>
        <v>0</v>
      </c>
      <c r="I3697" s="1476">
        <f>SUMIF($E$3683:$E$3710,$G3697,I$3683:I$3710)</f>
        <v>0</v>
      </c>
      <c r="J3697" s="1476">
        <f>SUMIF($E$3683:$E$3710,$G3697,J$3683:J$3710)</f>
        <v>0</v>
      </c>
      <c r="K3697" s="1477">
        <f>SUMIF($E$3683:$E$3710,$G3697,K$3683:K$3710)</f>
        <v>0</v>
      </c>
      <c r="L3697" s="291"/>
      <c r="M3697" s="291"/>
      <c r="N3697" s="291"/>
      <c r="O3697" s="291"/>
      <c r="S3697" s="364"/>
      <c r="Z3697" s="609" t="s">
        <v>3893</v>
      </c>
      <c r="AA3697" s="609" t="s">
        <v>5678</v>
      </c>
    </row>
    <row r="3698" spans="1:27" ht="18">
      <c r="A3698" s="2714"/>
      <c r="B3698" s="371">
        <v>105</v>
      </c>
      <c r="C3698" s="371"/>
      <c r="D3698" s="2716">
        <f t="shared" si="416"/>
        <v>1</v>
      </c>
      <c r="E3698" s="2721">
        <v>1</v>
      </c>
      <c r="F3698" s="294"/>
      <c r="G3698" s="1474" t="s">
        <v>3932</v>
      </c>
      <c r="H3698" s="2275"/>
      <c r="I3698" s="2275"/>
      <c r="J3698" s="2275"/>
      <c r="K3698" s="1477">
        <f t="shared" si="417"/>
        <v>0</v>
      </c>
      <c r="L3698" s="291"/>
      <c r="M3698" s="291"/>
      <c r="N3698" s="291"/>
      <c r="O3698" s="291"/>
      <c r="S3698" s="364"/>
      <c r="Z3698" s="609" t="s">
        <v>3893</v>
      </c>
      <c r="AA3698" s="609" t="s">
        <v>5678</v>
      </c>
    </row>
    <row r="3699" spans="1:27" ht="18">
      <c r="A3699" s="2714"/>
      <c r="B3699" s="371">
        <v>106</v>
      </c>
      <c r="C3699" s="371"/>
      <c r="D3699" s="2716">
        <f t="shared" si="416"/>
        <v>1</v>
      </c>
      <c r="E3699" s="2721">
        <v>1</v>
      </c>
      <c r="F3699" s="294"/>
      <c r="G3699" s="1474" t="s">
        <v>3933</v>
      </c>
      <c r="H3699" s="2275"/>
      <c r="I3699" s="2275"/>
      <c r="J3699" s="2275"/>
      <c r="K3699" s="1477">
        <f t="shared" si="417"/>
        <v>0</v>
      </c>
      <c r="L3699" s="291"/>
      <c r="M3699" s="291"/>
      <c r="N3699" s="291"/>
      <c r="O3699" s="291"/>
      <c r="S3699" s="364"/>
      <c r="Z3699" s="609" t="s">
        <v>3893</v>
      </c>
      <c r="AA3699" s="609" t="s">
        <v>5678</v>
      </c>
    </row>
    <row r="3700" spans="1:27" ht="18">
      <c r="A3700" s="2714"/>
      <c r="B3700" s="371">
        <v>107</v>
      </c>
      <c r="C3700" s="371"/>
      <c r="D3700" s="2716">
        <f t="shared" si="416"/>
        <v>1</v>
      </c>
      <c r="E3700" s="2721" t="s">
        <v>41</v>
      </c>
      <c r="F3700" s="294"/>
      <c r="G3700" s="1474" t="s">
        <v>3934</v>
      </c>
      <c r="H3700" s="2275"/>
      <c r="I3700" s="2275"/>
      <c r="J3700" s="2275"/>
      <c r="K3700" s="1477">
        <f t="shared" si="417"/>
        <v>0</v>
      </c>
      <c r="L3700" s="291"/>
      <c r="M3700" s="291"/>
      <c r="N3700" s="291"/>
      <c r="O3700" s="291"/>
      <c r="S3700" s="364"/>
      <c r="Z3700" s="609" t="s">
        <v>3893</v>
      </c>
      <c r="AA3700" s="609" t="s">
        <v>5678</v>
      </c>
    </row>
    <row r="3701" spans="1:27" ht="24">
      <c r="A3701" s="2714"/>
      <c r="B3701" s="371">
        <v>107.001</v>
      </c>
      <c r="C3701" s="371"/>
      <c r="D3701" s="2716">
        <f t="shared" si="416"/>
        <v>1</v>
      </c>
      <c r="E3701" s="2721" t="s">
        <v>3935</v>
      </c>
      <c r="F3701" s="294"/>
      <c r="G3701" s="1474" t="s">
        <v>3936</v>
      </c>
      <c r="H3701" s="2275"/>
      <c r="I3701" s="2275"/>
      <c r="J3701" s="2275"/>
      <c r="K3701" s="1477">
        <f t="shared" si="417"/>
        <v>0</v>
      </c>
      <c r="L3701" s="291"/>
      <c r="M3701" s="291"/>
      <c r="N3701" s="291"/>
      <c r="O3701" s="291"/>
      <c r="S3701" s="364"/>
      <c r="Z3701" s="609" t="s">
        <v>3893</v>
      </c>
      <c r="AA3701" s="609" t="s">
        <v>5678</v>
      </c>
    </row>
    <row r="3702" spans="1:27" ht="18">
      <c r="A3702" s="2714"/>
      <c r="B3702" s="371">
        <v>107.002</v>
      </c>
      <c r="C3702" s="371"/>
      <c r="D3702" s="2716">
        <f t="shared" si="416"/>
        <v>1</v>
      </c>
      <c r="E3702" s="2721" t="s">
        <v>3935</v>
      </c>
      <c r="F3702" s="294"/>
      <c r="G3702" s="1474" t="s">
        <v>3937</v>
      </c>
      <c r="H3702" s="2275"/>
      <c r="I3702" s="2275"/>
      <c r="J3702" s="2275"/>
      <c r="K3702" s="1477">
        <f t="shared" si="417"/>
        <v>0</v>
      </c>
      <c r="L3702" s="291"/>
      <c r="M3702" s="291"/>
      <c r="N3702" s="291"/>
      <c r="O3702" s="291"/>
      <c r="S3702" s="364"/>
      <c r="Z3702" s="609" t="s">
        <v>3893</v>
      </c>
      <c r="AA3702" s="609" t="s">
        <v>5678</v>
      </c>
    </row>
    <row r="3703" spans="1:27" ht="18">
      <c r="A3703" s="2714"/>
      <c r="B3703" s="371">
        <v>107.003</v>
      </c>
      <c r="C3703" s="371" t="s">
        <v>2791</v>
      </c>
      <c r="D3703" s="2716">
        <f t="shared" si="416"/>
        <v>0</v>
      </c>
      <c r="E3703" s="2721" t="s">
        <v>3935</v>
      </c>
      <c r="F3703" s="294"/>
      <c r="G3703" s="2375" t="s">
        <v>2792</v>
      </c>
      <c r="H3703" s="2275"/>
      <c r="I3703" s="2275"/>
      <c r="J3703" s="2275"/>
      <c r="K3703" s="1477">
        <f t="shared" si="417"/>
        <v>0</v>
      </c>
      <c r="L3703" s="291"/>
      <c r="M3703" s="291"/>
      <c r="N3703" s="291"/>
      <c r="O3703" s="291"/>
      <c r="S3703" s="364"/>
      <c r="Z3703" s="609" t="s">
        <v>3893</v>
      </c>
      <c r="AA3703" s="609" t="s">
        <v>5678</v>
      </c>
    </row>
    <row r="3704" spans="1:27" ht="18">
      <c r="A3704" s="2714"/>
      <c r="B3704" s="371">
        <v>107.999</v>
      </c>
      <c r="C3704" s="371" t="s">
        <v>2793</v>
      </c>
      <c r="D3704" s="2716">
        <f t="shared" si="416"/>
        <v>1</v>
      </c>
      <c r="E3704" s="2721">
        <v>1</v>
      </c>
      <c r="F3704" s="294"/>
      <c r="G3704" s="1474" t="s">
        <v>3935</v>
      </c>
      <c r="H3704" s="1476">
        <f>SUMIF($E$3683:$E$3710,$G3704,H$3683:H$3710)</f>
        <v>0</v>
      </c>
      <c r="I3704" s="1476">
        <f>SUMIF($E$3683:$E$3710,$G3704,I$3683:I$3710)</f>
        <v>0</v>
      </c>
      <c r="J3704" s="1476">
        <f>SUMIF($E$3683:$E$3710,$G3704,J$3683:J$3710)</f>
        <v>0</v>
      </c>
      <c r="K3704" s="1477">
        <f>SUMIF($E$3683:$E$3710,$G3704,K$3683:K$3710)</f>
        <v>0</v>
      </c>
      <c r="L3704" s="291"/>
      <c r="M3704" s="291"/>
      <c r="N3704" s="291"/>
      <c r="O3704" s="291"/>
      <c r="S3704" s="364"/>
      <c r="Z3704" s="609" t="s">
        <v>3893</v>
      </c>
      <c r="AA3704" s="609" t="s">
        <v>5678</v>
      </c>
    </row>
    <row r="3705" spans="1:27" ht="18">
      <c r="A3705" s="2714"/>
      <c r="B3705" s="371">
        <v>108</v>
      </c>
      <c r="C3705" s="371"/>
      <c r="D3705" s="2716">
        <f t="shared" si="416"/>
        <v>1</v>
      </c>
      <c r="E3705" s="2721" t="s">
        <v>41</v>
      </c>
      <c r="F3705" s="294"/>
      <c r="G3705" s="1474" t="s">
        <v>932</v>
      </c>
      <c r="H3705" s="2275"/>
      <c r="I3705" s="2275"/>
      <c r="J3705" s="2275"/>
      <c r="K3705" s="1477">
        <f t="shared" si="417"/>
        <v>0</v>
      </c>
      <c r="L3705" s="291"/>
      <c r="M3705" s="291"/>
      <c r="N3705" s="291"/>
      <c r="O3705" s="291"/>
      <c r="S3705" s="364"/>
      <c r="Z3705" s="609" t="s">
        <v>3893</v>
      </c>
      <c r="AA3705" s="609" t="s">
        <v>5678</v>
      </c>
    </row>
    <row r="3706" spans="1:27" ht="18">
      <c r="A3706" s="2714"/>
      <c r="B3706" s="371">
        <v>108.001</v>
      </c>
      <c r="C3706" s="371"/>
      <c r="D3706" s="2716">
        <f t="shared" si="416"/>
        <v>1</v>
      </c>
      <c r="E3706" s="2721" t="s">
        <v>3938</v>
      </c>
      <c r="F3706" s="294"/>
      <c r="G3706" s="1474" t="s">
        <v>3939</v>
      </c>
      <c r="H3706" s="2275"/>
      <c r="I3706" s="2275"/>
      <c r="J3706" s="2275"/>
      <c r="K3706" s="1477">
        <f t="shared" si="417"/>
        <v>0</v>
      </c>
      <c r="L3706" s="291"/>
      <c r="M3706" s="291"/>
      <c r="N3706" s="291"/>
      <c r="O3706" s="291"/>
      <c r="S3706" s="364"/>
      <c r="Z3706" s="609" t="s">
        <v>3893</v>
      </c>
      <c r="AA3706" s="609" t="s">
        <v>5678</v>
      </c>
    </row>
    <row r="3707" spans="1:27" ht="18">
      <c r="A3707" s="2714"/>
      <c r="B3707" s="371">
        <v>108.002</v>
      </c>
      <c r="C3707" s="371" t="s">
        <v>2791</v>
      </c>
      <c r="D3707" s="2716">
        <f t="shared" si="416"/>
        <v>0</v>
      </c>
      <c r="E3707" s="2721" t="s">
        <v>3938</v>
      </c>
      <c r="F3707" s="294"/>
      <c r="G3707" s="2375" t="s">
        <v>2792</v>
      </c>
      <c r="H3707" s="2275"/>
      <c r="I3707" s="2275"/>
      <c r="J3707" s="2275"/>
      <c r="K3707" s="1477">
        <f t="shared" si="417"/>
        <v>0</v>
      </c>
      <c r="L3707" s="291"/>
      <c r="M3707" s="291"/>
      <c r="N3707" s="291"/>
      <c r="O3707" s="291"/>
      <c r="S3707" s="364"/>
      <c r="Z3707" s="609" t="s">
        <v>3893</v>
      </c>
      <c r="AA3707" s="609" t="s">
        <v>5678</v>
      </c>
    </row>
    <row r="3708" spans="1:27" ht="18">
      <c r="A3708" s="2714"/>
      <c r="B3708" s="371">
        <v>108.003</v>
      </c>
      <c r="C3708" s="371" t="s">
        <v>2791</v>
      </c>
      <c r="D3708" s="2716">
        <f t="shared" si="416"/>
        <v>0</v>
      </c>
      <c r="E3708" s="2721" t="s">
        <v>3938</v>
      </c>
      <c r="F3708" s="294"/>
      <c r="G3708" s="2375" t="s">
        <v>2792</v>
      </c>
      <c r="H3708" s="2275"/>
      <c r="I3708" s="2275"/>
      <c r="J3708" s="2275"/>
      <c r="K3708" s="1477">
        <f t="shared" si="417"/>
        <v>0</v>
      </c>
      <c r="L3708" s="291"/>
      <c r="M3708" s="291"/>
      <c r="N3708" s="291"/>
      <c r="O3708" s="291"/>
      <c r="S3708" s="364"/>
      <c r="Z3708" s="609" t="s">
        <v>3893</v>
      </c>
      <c r="AA3708" s="609" t="s">
        <v>5678</v>
      </c>
    </row>
    <row r="3709" spans="1:27" ht="18">
      <c r="A3709" s="2714"/>
      <c r="B3709" s="371">
        <v>108.999</v>
      </c>
      <c r="C3709" s="371" t="s">
        <v>2793</v>
      </c>
      <c r="D3709" s="2716">
        <f t="shared" si="416"/>
        <v>1</v>
      </c>
      <c r="E3709" s="2721">
        <v>1</v>
      </c>
      <c r="F3709" s="294"/>
      <c r="G3709" s="1474" t="s">
        <v>3938</v>
      </c>
      <c r="H3709" s="1476">
        <f>SUMIF($E$3683:$E$3710,$G3709,H$3683:H$3710)</f>
        <v>0</v>
      </c>
      <c r="I3709" s="1476">
        <f>SUMIF($E$3683:$E$3710,$G3709,I$3683:I$3710)</f>
        <v>0</v>
      </c>
      <c r="J3709" s="1476">
        <f>SUMIF($E$3683:$E$3710,$G3709,J$3683:J$3710)</f>
        <v>0</v>
      </c>
      <c r="K3709" s="1477">
        <f>SUMIF($E$3683:$E$3710,$G3709,K$3683:K$3710)</f>
        <v>0</v>
      </c>
      <c r="L3709" s="291"/>
      <c r="M3709" s="291"/>
      <c r="N3709" s="291"/>
      <c r="O3709" s="291"/>
      <c r="S3709" s="364"/>
      <c r="Z3709" s="609" t="s">
        <v>3893</v>
      </c>
      <c r="AA3709" s="609" t="s">
        <v>5678</v>
      </c>
    </row>
    <row r="3710" spans="1:27" ht="18">
      <c r="A3710" s="2714"/>
      <c r="B3710" s="371">
        <v>109</v>
      </c>
      <c r="C3710" s="371" t="s">
        <v>2791</v>
      </c>
      <c r="D3710" s="2716">
        <f t="shared" si="416"/>
        <v>0</v>
      </c>
      <c r="E3710" s="2721">
        <v>1</v>
      </c>
      <c r="F3710" s="294"/>
      <c r="G3710" s="2375" t="s">
        <v>2792</v>
      </c>
      <c r="H3710" s="2275"/>
      <c r="I3710" s="2275"/>
      <c r="J3710" s="2275"/>
      <c r="K3710" s="1477">
        <f>H3710+I3710-J3710</f>
        <v>0</v>
      </c>
      <c r="L3710" s="291"/>
      <c r="M3710" s="291"/>
      <c r="N3710" s="291"/>
      <c r="O3710" s="291"/>
      <c r="S3710" s="364"/>
      <c r="Z3710" s="609" t="s">
        <v>3893</v>
      </c>
      <c r="AA3710" s="609" t="s">
        <v>5678</v>
      </c>
    </row>
    <row r="3711" spans="1:27" ht="18.75" thickBot="1">
      <c r="A3711" s="2714"/>
      <c r="B3711" s="371"/>
      <c r="C3711" s="371"/>
      <c r="D3711" s="2716">
        <f t="shared" si="416"/>
        <v>1</v>
      </c>
      <c r="E3711" s="2721" t="s">
        <v>2751</v>
      </c>
      <c r="F3711" s="294"/>
      <c r="G3711" s="1529" t="s">
        <v>2752</v>
      </c>
      <c r="H3711" s="1527">
        <f>SUMPRODUCT($E3683:$E3710,H3683:H3710)</f>
        <v>0</v>
      </c>
      <c r="I3711" s="1527">
        <f>SUMPRODUCT($E3683:$E3710,I3683:I3710)</f>
        <v>0</v>
      </c>
      <c r="J3711" s="1527">
        <f>SUMPRODUCT($E3683:$E3710,J3683:J3710)</f>
        <v>0</v>
      </c>
      <c r="K3711" s="1528">
        <f>SUMPRODUCT($E3683:$E3710,K3683:K3710)</f>
        <v>0</v>
      </c>
      <c r="L3711" s="291"/>
      <c r="M3711" s="291"/>
      <c r="N3711" s="291"/>
      <c r="O3711" s="291"/>
      <c r="S3711" s="364"/>
      <c r="Z3711" s="609" t="s">
        <v>3893</v>
      </c>
      <c r="AA3711" s="609" t="s">
        <v>5678</v>
      </c>
    </row>
    <row r="3712" spans="1:27" ht="18">
      <c r="A3712" s="2714"/>
      <c r="B3712" s="371"/>
      <c r="C3712" s="371" t="s">
        <v>2755</v>
      </c>
      <c r="D3712" s="371"/>
      <c r="F3712" s="294"/>
      <c r="G3712" s="557"/>
      <c r="H3712" s="315"/>
      <c r="I3712" s="315"/>
      <c r="J3712" s="315"/>
      <c r="K3712" s="315"/>
      <c r="L3712" s="291"/>
      <c r="M3712" s="291"/>
      <c r="N3712" s="291"/>
      <c r="O3712" s="291"/>
      <c r="S3712" s="364"/>
      <c r="Z3712" s="609" t="s">
        <v>3893</v>
      </c>
      <c r="AA3712" s="609" t="s">
        <v>5678</v>
      </c>
    </row>
    <row r="3713" spans="1:27" ht="18">
      <c r="A3713" s="2714" t="s">
        <v>1520</v>
      </c>
      <c r="B3713" s="371">
        <v>5</v>
      </c>
      <c r="C3713" s="371"/>
      <c r="D3713" s="2716" t="str">
        <f>VLOOKUP($A3713,Sheet_NoteList,2,0)</f>
        <v>应付职工薪酬补充资料</v>
      </c>
      <c r="E3713" s="2716" t="s">
        <v>6532</v>
      </c>
      <c r="F3713" s="294"/>
      <c r="G3713" s="307" t="str">
        <f>"("&amp;B3713&amp;")"&amp;D3713</f>
        <v>(5)应付职工薪酬补充资料</v>
      </c>
      <c r="H3713" s="1517" t="str">
        <f>$A3713</f>
        <v>2211x</v>
      </c>
      <c r="I3713" s="343" t="s">
        <v>5977</v>
      </c>
      <c r="J3713" s="301" t="s">
        <v>5975</v>
      </c>
      <c r="K3713" s="2210">
        <f>K3734</f>
        <v>0</v>
      </c>
      <c r="L3713" s="345"/>
      <c r="M3713" s="301" t="s">
        <v>5978</v>
      </c>
      <c r="N3713" s="2210">
        <f>H3734</f>
        <v>0</v>
      </c>
      <c r="O3713" s="345"/>
      <c r="P3713" s="301"/>
      <c r="S3713" s="364"/>
      <c r="Z3713" s="609" t="s">
        <v>3893</v>
      </c>
      <c r="AA3713" s="609" t="s">
        <v>5678</v>
      </c>
    </row>
    <row r="3714" spans="1:27" ht="0.75" customHeight="1" thickBot="1">
      <c r="A3714" s="2714"/>
      <c r="B3714" s="371"/>
      <c r="C3714" s="371"/>
      <c r="D3714" s="371"/>
      <c r="F3714" s="371"/>
      <c r="G3714" s="371" t="s">
        <v>3940</v>
      </c>
      <c r="H3714" s="371" t="s">
        <v>3620</v>
      </c>
      <c r="I3714" s="371" t="s">
        <v>2821</v>
      </c>
      <c r="J3714" s="291"/>
      <c r="K3714" s="291"/>
      <c r="L3714" s="291"/>
      <c r="M3714" s="291"/>
      <c r="N3714" s="291"/>
      <c r="O3714" s="291"/>
      <c r="S3714" s="364"/>
      <c r="Z3714" s="609" t="s">
        <v>3893</v>
      </c>
      <c r="AA3714" s="609" t="s">
        <v>5678</v>
      </c>
    </row>
    <row r="3715" spans="1:27" ht="18">
      <c r="A3715" s="2714"/>
      <c r="B3715" s="371"/>
      <c r="C3715" s="371"/>
      <c r="D3715" s="371"/>
      <c r="E3715" s="2716" t="s">
        <v>2749</v>
      </c>
      <c r="F3715" s="294"/>
      <c r="G3715" s="2386" t="s">
        <v>47</v>
      </c>
      <c r="H3715" s="2387" t="s">
        <v>2887</v>
      </c>
      <c r="I3715" s="2394" t="s">
        <v>2508</v>
      </c>
      <c r="J3715" s="355" t="s">
        <v>6176</v>
      </c>
      <c r="K3715" s="291"/>
      <c r="L3715" s="291"/>
      <c r="M3715" s="291"/>
      <c r="N3715" s="291"/>
      <c r="O3715" s="291"/>
      <c r="S3715" s="364"/>
      <c r="Z3715" s="609" t="s">
        <v>3893</v>
      </c>
      <c r="AA3715" s="609" t="s">
        <v>5678</v>
      </c>
    </row>
    <row r="3716" spans="1:27" ht="24">
      <c r="A3716" s="2714"/>
      <c r="B3716" s="371">
        <v>101</v>
      </c>
      <c r="C3716" s="371"/>
      <c r="D3716" s="2716">
        <f t="shared" ref="D3716:D3724" si="418">IF(OR(G3716="*",G3716="",G3716=0),0,COUNTIF($G$3716:$G$3724,G3716))</f>
        <v>1</v>
      </c>
      <c r="E3716" s="2721" t="s">
        <v>41</v>
      </c>
      <c r="F3716" s="294"/>
      <c r="G3716" s="308" t="s">
        <v>3941</v>
      </c>
      <c r="H3716" s="320"/>
      <c r="I3716" s="436"/>
      <c r="J3716" s="579"/>
      <c r="K3716" s="291"/>
      <c r="L3716" s="291"/>
      <c r="M3716" s="291"/>
      <c r="N3716" s="291"/>
      <c r="O3716" s="291"/>
      <c r="S3716" s="364"/>
      <c r="Z3716" s="609" t="s">
        <v>3893</v>
      </c>
      <c r="AA3716" s="609" t="s">
        <v>5678</v>
      </c>
    </row>
    <row r="3717" spans="1:27" ht="18">
      <c r="A3717" s="2714"/>
      <c r="B3717" s="371">
        <v>102</v>
      </c>
      <c r="C3717" s="371"/>
      <c r="D3717" s="2716">
        <f t="shared" si="418"/>
        <v>1</v>
      </c>
      <c r="E3717" s="2721">
        <v>-1</v>
      </c>
      <c r="F3717" s="294"/>
      <c r="G3717" s="308" t="s">
        <v>3942</v>
      </c>
      <c r="H3717" s="309"/>
      <c r="I3717" s="388"/>
      <c r="J3717" s="291"/>
      <c r="K3717" s="291"/>
      <c r="L3717" s="291"/>
      <c r="M3717" s="291"/>
      <c r="N3717" s="291"/>
      <c r="O3717" s="291"/>
      <c r="S3717" s="364"/>
      <c r="Z3717" s="609" t="s">
        <v>3893</v>
      </c>
      <c r="AA3717" s="609" t="s">
        <v>5678</v>
      </c>
    </row>
    <row r="3718" spans="1:27" ht="18">
      <c r="A3718" s="2714"/>
      <c r="B3718" s="371">
        <v>103</v>
      </c>
      <c r="C3718" s="371" t="s">
        <v>2791</v>
      </c>
      <c r="D3718" s="2716">
        <f t="shared" si="418"/>
        <v>1</v>
      </c>
      <c r="E3718" s="2721">
        <v>1</v>
      </c>
      <c r="F3718" s="294"/>
      <c r="G3718" s="578" t="s">
        <v>685</v>
      </c>
      <c r="H3718" s="309"/>
      <c r="I3718" s="388"/>
      <c r="J3718" s="291"/>
      <c r="K3718" s="291"/>
      <c r="L3718" s="291"/>
      <c r="M3718" s="291"/>
      <c r="N3718" s="291"/>
      <c r="O3718" s="291"/>
      <c r="S3718" s="364"/>
      <c r="Z3718" s="609" t="s">
        <v>3893</v>
      </c>
      <c r="AA3718" s="609" t="s">
        <v>5678</v>
      </c>
    </row>
    <row r="3719" spans="1:27" ht="18">
      <c r="A3719" s="2714"/>
      <c r="B3719" s="371">
        <v>104</v>
      </c>
      <c r="C3719" s="371" t="s">
        <v>2791</v>
      </c>
      <c r="D3719" s="2716">
        <f t="shared" si="418"/>
        <v>1</v>
      </c>
      <c r="E3719" s="2721">
        <v>1</v>
      </c>
      <c r="F3719" s="294"/>
      <c r="G3719" s="578" t="s">
        <v>680</v>
      </c>
      <c r="H3719" s="309"/>
      <c r="I3719" s="388"/>
      <c r="J3719" s="291"/>
      <c r="K3719" s="291"/>
      <c r="L3719" s="291"/>
      <c r="M3719" s="291"/>
      <c r="N3719" s="291"/>
      <c r="O3719" s="291"/>
      <c r="S3719" s="364"/>
      <c r="Z3719" s="609" t="s">
        <v>3893</v>
      </c>
      <c r="AA3719" s="609" t="s">
        <v>5678</v>
      </c>
    </row>
    <row r="3720" spans="1:27" ht="18">
      <c r="A3720" s="2714"/>
      <c r="B3720" s="371">
        <v>105</v>
      </c>
      <c r="C3720" s="371" t="s">
        <v>2791</v>
      </c>
      <c r="D3720" s="2716">
        <f t="shared" si="418"/>
        <v>1</v>
      </c>
      <c r="E3720" s="2721">
        <v>1</v>
      </c>
      <c r="F3720" s="294"/>
      <c r="G3720" s="578" t="s">
        <v>362</v>
      </c>
      <c r="H3720" s="309"/>
      <c r="I3720" s="388"/>
      <c r="J3720" s="291"/>
      <c r="K3720" s="291"/>
      <c r="L3720" s="291"/>
      <c r="M3720" s="291"/>
      <c r="N3720" s="291"/>
      <c r="O3720" s="291"/>
      <c r="S3720" s="364"/>
      <c r="Z3720" s="609" t="s">
        <v>3893</v>
      </c>
      <c r="AA3720" s="609" t="s">
        <v>5678</v>
      </c>
    </row>
    <row r="3721" spans="1:27" ht="18">
      <c r="A3721" s="2714"/>
      <c r="B3721" s="371">
        <v>106</v>
      </c>
      <c r="C3721" s="371" t="s">
        <v>2791</v>
      </c>
      <c r="D3721" s="2716">
        <f t="shared" si="418"/>
        <v>1</v>
      </c>
      <c r="E3721" s="2721">
        <v>1</v>
      </c>
      <c r="F3721" s="294"/>
      <c r="G3721" s="578" t="s">
        <v>369</v>
      </c>
      <c r="H3721" s="309"/>
      <c r="I3721" s="388"/>
      <c r="J3721" s="291"/>
      <c r="K3721" s="291"/>
      <c r="L3721" s="291"/>
      <c r="M3721" s="291"/>
      <c r="N3721" s="291"/>
      <c r="O3721" s="291"/>
      <c r="S3721" s="364"/>
      <c r="Z3721" s="609" t="s">
        <v>3893</v>
      </c>
      <c r="AA3721" s="609" t="s">
        <v>5678</v>
      </c>
    </row>
    <row r="3722" spans="1:27" ht="18">
      <c r="A3722" s="2714"/>
      <c r="B3722" s="371">
        <v>107</v>
      </c>
      <c r="C3722" s="371" t="s">
        <v>2791</v>
      </c>
      <c r="D3722" s="2716">
        <f t="shared" si="418"/>
        <v>1</v>
      </c>
      <c r="E3722" s="2721">
        <v>1</v>
      </c>
      <c r="F3722" s="294"/>
      <c r="G3722" s="578" t="s">
        <v>344</v>
      </c>
      <c r="H3722" s="320"/>
      <c r="I3722" s="436"/>
      <c r="J3722" s="291"/>
      <c r="K3722" s="291"/>
      <c r="L3722" s="291"/>
      <c r="M3722" s="291"/>
      <c r="N3722" s="291"/>
      <c r="O3722" s="291"/>
      <c r="S3722" s="364"/>
      <c r="Z3722" s="609" t="s">
        <v>3893</v>
      </c>
      <c r="AA3722" s="609" t="s">
        <v>5678</v>
      </c>
    </row>
    <row r="3723" spans="1:27" ht="18">
      <c r="A3723" s="2714"/>
      <c r="B3723" s="371">
        <v>108</v>
      </c>
      <c r="C3723" s="371" t="s">
        <v>2791</v>
      </c>
      <c r="D3723" s="2716">
        <f t="shared" si="418"/>
        <v>0</v>
      </c>
      <c r="E3723" s="2721">
        <v>1</v>
      </c>
      <c r="F3723" s="294"/>
      <c r="G3723" s="578" t="s">
        <v>2792</v>
      </c>
      <c r="H3723" s="320"/>
      <c r="I3723" s="436"/>
      <c r="J3723" s="291"/>
      <c r="K3723" s="291"/>
      <c r="L3723" s="291"/>
      <c r="M3723" s="291"/>
      <c r="N3723" s="291"/>
      <c r="O3723" s="291"/>
      <c r="S3723" s="364"/>
      <c r="Z3723" s="609" t="s">
        <v>3893</v>
      </c>
      <c r="AA3723" s="609" t="s">
        <v>5678</v>
      </c>
    </row>
    <row r="3724" spans="1:27" ht="18.75" thickBot="1">
      <c r="A3724" s="2714"/>
      <c r="B3724" s="371"/>
      <c r="C3724" s="371"/>
      <c r="D3724" s="2716">
        <f t="shared" si="418"/>
        <v>1</v>
      </c>
      <c r="E3724" s="2721" t="s">
        <v>2751</v>
      </c>
      <c r="F3724" s="294"/>
      <c r="G3724" s="1529" t="s">
        <v>2752</v>
      </c>
      <c r="H3724" s="2391">
        <f>SUMPRODUCT($E3715:$E3723,H3715:H3723)</f>
        <v>0</v>
      </c>
      <c r="I3724" s="2392"/>
      <c r="J3724" s="291"/>
      <c r="K3724" s="291"/>
      <c r="L3724" s="291"/>
      <c r="M3724" s="291"/>
      <c r="N3724" s="291"/>
      <c r="O3724" s="291"/>
      <c r="S3724" s="364"/>
      <c r="Z3724" s="609" t="s">
        <v>3893</v>
      </c>
      <c r="AA3724" s="609" t="s">
        <v>5678</v>
      </c>
    </row>
    <row r="3725" spans="1:27" ht="18">
      <c r="A3725" s="2714"/>
      <c r="B3725" s="371"/>
      <c r="C3725" s="371" t="s">
        <v>2755</v>
      </c>
      <c r="D3725" s="371"/>
      <c r="F3725" s="294"/>
      <c r="G3725" s="557"/>
      <c r="H3725" s="315"/>
      <c r="I3725" s="393"/>
      <c r="J3725" s="291"/>
      <c r="K3725" s="291"/>
      <c r="L3725" s="291"/>
      <c r="M3725" s="291"/>
      <c r="N3725" s="291"/>
      <c r="O3725" s="291"/>
      <c r="S3725" s="364"/>
      <c r="Z3725" s="609" t="s">
        <v>3893</v>
      </c>
      <c r="AA3725" s="609" t="s">
        <v>5678</v>
      </c>
    </row>
    <row r="3726" spans="1:27" ht="18">
      <c r="A3726" s="2714">
        <v>2221</v>
      </c>
      <c r="B3726" s="371">
        <v>41</v>
      </c>
      <c r="C3726" s="2716" t="str">
        <f>VLOOKUP($A3726,Sheet_Items,2,0)</f>
        <v>应交税费</v>
      </c>
      <c r="D3726" s="371"/>
      <c r="E3726" s="2716" t="s">
        <v>2739</v>
      </c>
      <c r="F3726" s="294"/>
      <c r="G3726" s="305" t="str">
        <f>B3726&amp;" "&amp;C3726</f>
        <v>41 应交税费</v>
      </c>
      <c r="H3726" s="306"/>
      <c r="I3726" s="306"/>
      <c r="J3726" s="306" t="s">
        <v>2740</v>
      </c>
      <c r="K3726" s="341">
        <f>VLOOKUP($A3726,Sheet_Trialbal,6,0)</f>
        <v>0</v>
      </c>
      <c r="L3726" s="342"/>
      <c r="M3726" s="306" t="s">
        <v>2741</v>
      </c>
      <c r="N3726" s="341">
        <f>VLOOKUP($A3726,Sheet_Trialbal,10,0)</f>
        <v>44562.07</v>
      </c>
      <c r="O3726" s="306"/>
      <c r="P3726" s="301"/>
      <c r="S3726" s="364"/>
      <c r="Z3726" s="609" t="s">
        <v>3943</v>
      </c>
      <c r="AA3726" s="609" t="s">
        <v>5679</v>
      </c>
    </row>
    <row r="3727" spans="1:27" ht="18">
      <c r="A3727" s="2714" t="s">
        <v>1528</v>
      </c>
      <c r="B3727" s="371">
        <v>1</v>
      </c>
      <c r="C3727" s="371"/>
      <c r="D3727" s="2716" t="str">
        <f>VLOOKUP($A3727,Sheet_NoteList,2,0)</f>
        <v>应交税费本期增减变动</v>
      </c>
      <c r="E3727" s="2716" t="s">
        <v>6531</v>
      </c>
      <c r="F3727" s="294"/>
      <c r="G3727" s="307" t="str">
        <f>"("&amp;B3727&amp;")"&amp;D3727</f>
        <v>(1)应交税费本期增减变动</v>
      </c>
      <c r="H3727" s="1517" t="str">
        <f>$A3727</f>
        <v>2221a</v>
      </c>
      <c r="I3727" s="343" t="s">
        <v>5519</v>
      </c>
      <c r="J3727" s="301" t="s">
        <v>5517</v>
      </c>
      <c r="K3727" s="2210">
        <f>H3744</f>
        <v>0</v>
      </c>
      <c r="L3727" s="345" t="str">
        <f>IF($I3727="适用",IF(ROUND(K3726-K3727,2)=0,"F/S",ROUND(K3726-K3727,2)),"#N/A")</f>
        <v>F/S</v>
      </c>
      <c r="M3727" s="301" t="s">
        <v>5518</v>
      </c>
      <c r="N3727" s="2210">
        <f>I3744</f>
        <v>0</v>
      </c>
      <c r="O3727" s="345">
        <f>IF($I3727="适用",IF(ROUND(N3726-N3727,2)=0,"F/S",ROUND(N3726-N3727,2)),"#N/A")</f>
        <v>44562.07</v>
      </c>
      <c r="P3727" s="301"/>
      <c r="Q3727" s="290" t="str">
        <f>IF($I3727="不适用","",IF(ROUND(SUM($H$3730:$K$3744),2)=0,"请输入",""))</f>
        <v>请输入</v>
      </c>
      <c r="S3727" s="364"/>
      <c r="Z3727" s="609" t="s">
        <v>3943</v>
      </c>
      <c r="AA3727" s="609" t="s">
        <v>5679</v>
      </c>
    </row>
    <row r="3728" spans="1:27" ht="0.75" customHeight="1" thickBot="1">
      <c r="A3728" s="2714"/>
      <c r="B3728" s="371"/>
      <c r="C3728" s="371"/>
      <c r="D3728" s="371"/>
      <c r="F3728" s="293"/>
      <c r="G3728" s="368" t="s">
        <v>3950</v>
      </c>
      <c r="H3728" s="368" t="s">
        <v>2747</v>
      </c>
      <c r="I3728" s="368" t="s">
        <v>2748</v>
      </c>
      <c r="J3728" s="368" t="s">
        <v>3250</v>
      </c>
      <c r="K3728" s="368" t="s">
        <v>3251</v>
      </c>
      <c r="L3728" s="472"/>
      <c r="M3728" s="472"/>
      <c r="N3728" s="442"/>
      <c r="O3728" s="442"/>
      <c r="P3728" s="442"/>
      <c r="Q3728" s="442"/>
      <c r="R3728" s="443"/>
      <c r="S3728" s="364"/>
      <c r="Z3728" s="609" t="s">
        <v>3943</v>
      </c>
      <c r="AA3728" s="609" t="s">
        <v>5679</v>
      </c>
    </row>
    <row r="3729" spans="1:29" ht="18">
      <c r="A3729" s="2714"/>
      <c r="B3729" s="371"/>
      <c r="C3729" s="371"/>
      <c r="D3729" s="371"/>
      <c r="E3729" s="2716" t="s">
        <v>2749</v>
      </c>
      <c r="F3729" s="294"/>
      <c r="G3729" s="514" t="s">
        <v>3951</v>
      </c>
      <c r="H3729" s="1454" t="str">
        <f>$V$2</f>
        <v>2019年12月31日</v>
      </c>
      <c r="I3729" s="1455" t="str">
        <f>$V$3</f>
        <v>2018年12月31日</v>
      </c>
      <c r="J3729" s="1606" t="s">
        <v>5538</v>
      </c>
      <c r="K3729" s="1605" t="s">
        <v>5539</v>
      </c>
      <c r="L3729" s="355" t="s">
        <v>5306</v>
      </c>
      <c r="M3729" s="472"/>
      <c r="N3729" s="442"/>
      <c r="O3729" s="442"/>
      <c r="P3729" s="442"/>
      <c r="Q3729" s="442"/>
      <c r="R3729" s="443"/>
      <c r="S3729" s="364"/>
      <c r="Z3729" s="609" t="s">
        <v>3943</v>
      </c>
      <c r="AA3729" s="609" t="s">
        <v>5679</v>
      </c>
    </row>
    <row r="3730" spans="1:29" ht="18">
      <c r="A3730" s="2714"/>
      <c r="B3730" s="371">
        <v>101</v>
      </c>
      <c r="C3730" s="371"/>
      <c r="D3730" s="2716">
        <f t="shared" ref="D3730:D3744" si="419">IF(OR(G3730="*",G3730="",G3730=0),0,COUNTIF($G$3730:$G$3744,G3730))</f>
        <v>1</v>
      </c>
      <c r="E3730" s="2721">
        <v>1</v>
      </c>
      <c r="F3730" s="294"/>
      <c r="G3730" s="380" t="s">
        <v>3944</v>
      </c>
      <c r="H3730" s="383"/>
      <c r="I3730" s="383"/>
      <c r="J3730" s="383"/>
      <c r="K3730" s="401"/>
      <c r="L3730" s="473" t="s">
        <v>5540</v>
      </c>
      <c r="M3730" s="472"/>
      <c r="N3730" s="442"/>
      <c r="O3730" s="442"/>
      <c r="P3730" s="442"/>
      <c r="Q3730" s="442"/>
      <c r="R3730" s="443"/>
      <c r="S3730" s="364"/>
      <c r="Z3730" s="609" t="s">
        <v>3943</v>
      </c>
      <c r="AA3730" s="609" t="s">
        <v>5679</v>
      </c>
    </row>
    <row r="3731" spans="1:29" ht="18">
      <c r="A3731" s="2714"/>
      <c r="B3731" s="371">
        <v>102</v>
      </c>
      <c r="C3731" s="371"/>
      <c r="D3731" s="2716">
        <f t="shared" si="419"/>
        <v>1</v>
      </c>
      <c r="E3731" s="2721">
        <v>1</v>
      </c>
      <c r="F3731" s="294"/>
      <c r="G3731" s="380" t="s">
        <v>3945</v>
      </c>
      <c r="H3731" s="383"/>
      <c r="I3731" s="383"/>
      <c r="J3731" s="383"/>
      <c r="K3731" s="401"/>
      <c r="L3731" s="1589" t="str">
        <f ca="1">HYPERLINK("#'"&amp;$G$1&amp;"'!"&amp;ADDRESS(ROW(Notes!K4636),COLUMN(Notes!K4636),4),"* 请勿删除此行！点击往勾稽单元格，F5+Enter返回")</f>
        <v>* 请勿删除此行！点击往勾稽单元格，F5+Enter返回</v>
      </c>
      <c r="M3731" s="472"/>
      <c r="N3731" s="442"/>
      <c r="O3731" s="442"/>
      <c r="P3731" s="442"/>
      <c r="Q3731" s="442"/>
      <c r="R3731" s="443"/>
      <c r="S3731" s="364"/>
      <c r="Z3731" s="609" t="s">
        <v>3943</v>
      </c>
      <c r="AA3731" s="609" t="s">
        <v>5679</v>
      </c>
      <c r="AC3731" s="369" t="s">
        <v>2794</v>
      </c>
    </row>
    <row r="3732" spans="1:29" ht="18">
      <c r="A3732" s="2714"/>
      <c r="B3732" s="371">
        <v>103</v>
      </c>
      <c r="C3732" s="371"/>
      <c r="D3732" s="2716">
        <f t="shared" si="419"/>
        <v>1</v>
      </c>
      <c r="E3732" s="2721">
        <v>1</v>
      </c>
      <c r="F3732" s="294"/>
      <c r="G3732" s="380" t="s">
        <v>3946</v>
      </c>
      <c r="H3732" s="383"/>
      <c r="I3732" s="383"/>
      <c r="J3732" s="383"/>
      <c r="K3732" s="401"/>
      <c r="L3732" s="1589" t="str">
        <f ca="1">HYPERLINK("#'"&amp;$G$1&amp;"'!"&amp;ADDRESS(ROW(Notes!K4960),COLUMN(Notes!K4960),4),"* 请勿删除此行！点击往勾稽单元格，F5+Enter返回")</f>
        <v>* 请勿删除此行！点击往勾稽单元格，F5+Enter返回</v>
      </c>
      <c r="M3732" s="472"/>
      <c r="N3732" s="442"/>
      <c r="O3732" s="442"/>
      <c r="P3732" s="442"/>
      <c r="Q3732" s="442"/>
      <c r="R3732" s="443"/>
      <c r="S3732" s="364"/>
      <c r="Z3732" s="609" t="s">
        <v>3943</v>
      </c>
      <c r="AA3732" s="609" t="s">
        <v>5679</v>
      </c>
      <c r="AC3732" s="369" t="s">
        <v>2794</v>
      </c>
    </row>
    <row r="3733" spans="1:29" ht="18">
      <c r="A3733" s="2714"/>
      <c r="B3733" s="371">
        <v>104</v>
      </c>
      <c r="C3733" s="371"/>
      <c r="D3733" s="2716">
        <f t="shared" si="419"/>
        <v>1</v>
      </c>
      <c r="E3733" s="2721">
        <v>1</v>
      </c>
      <c r="F3733" s="294"/>
      <c r="G3733" s="380" t="s">
        <v>3947</v>
      </c>
      <c r="H3733" s="383"/>
      <c r="I3733" s="383"/>
      <c r="J3733" s="383"/>
      <c r="K3733" s="401"/>
      <c r="L3733" s="472"/>
      <c r="M3733" s="472"/>
      <c r="N3733" s="442"/>
      <c r="O3733" s="442"/>
      <c r="P3733" s="442"/>
      <c r="Q3733" s="442"/>
      <c r="R3733" s="443"/>
      <c r="S3733" s="364"/>
      <c r="Z3733" s="609" t="s">
        <v>3943</v>
      </c>
      <c r="AA3733" s="609" t="s">
        <v>5679</v>
      </c>
    </row>
    <row r="3734" spans="1:29" ht="18">
      <c r="A3734" s="2714"/>
      <c r="B3734" s="371">
        <v>105</v>
      </c>
      <c r="C3734" s="371"/>
      <c r="D3734" s="2716">
        <f t="shared" si="419"/>
        <v>1</v>
      </c>
      <c r="E3734" s="2721">
        <v>1</v>
      </c>
      <c r="F3734" s="294"/>
      <c r="G3734" s="380" t="s">
        <v>3948</v>
      </c>
      <c r="H3734" s="383"/>
      <c r="I3734" s="383"/>
      <c r="J3734" s="383"/>
      <c r="K3734" s="401"/>
      <c r="L3734" s="1589" t="str">
        <f ca="1">HYPERLINK("#'"&amp;$G$1&amp;"'!"&amp;ADDRESS(ROW(Notes!K4637),COLUMN(Notes!K4637),4),"* 请勿删除此行！点击往勾稽单元格，F5+Enter返回")</f>
        <v>* 请勿删除此行！点击往勾稽单元格，F5+Enter返回</v>
      </c>
      <c r="M3734" s="472"/>
      <c r="N3734" s="442"/>
      <c r="O3734" s="442"/>
      <c r="P3734" s="442"/>
      <c r="Q3734" s="442"/>
      <c r="R3734" s="443"/>
      <c r="S3734" s="364"/>
      <c r="Z3734" s="609" t="s">
        <v>3943</v>
      </c>
      <c r="AA3734" s="609" t="s">
        <v>5679</v>
      </c>
      <c r="AC3734" s="369" t="s">
        <v>2794</v>
      </c>
    </row>
    <row r="3735" spans="1:29" ht="18">
      <c r="A3735" s="2714"/>
      <c r="B3735" s="371">
        <v>106</v>
      </c>
      <c r="C3735" s="371"/>
      <c r="D3735" s="2716">
        <f t="shared" si="419"/>
        <v>1</v>
      </c>
      <c r="E3735" s="2721">
        <v>1</v>
      </c>
      <c r="F3735" s="294"/>
      <c r="G3735" s="380" t="s">
        <v>3949</v>
      </c>
      <c r="H3735" s="383"/>
      <c r="I3735" s="383"/>
      <c r="J3735" s="383"/>
      <c r="K3735" s="401"/>
      <c r="L3735" s="1589" t="str">
        <f ca="1">HYPERLINK("#'"&amp;$G$1&amp;"'!"&amp;ADDRESS(ROW(Notes!K4638),COLUMN(Notes!K4638),4),"*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107</v>
      </c>
      <c r="C3736" s="371"/>
      <c r="D3736" s="2716">
        <f t="shared" si="419"/>
        <v>1</v>
      </c>
      <c r="E3736" s="2721">
        <v>1</v>
      </c>
      <c r="F3736" s="294"/>
      <c r="G3736" s="380" t="s">
        <v>5644</v>
      </c>
      <c r="H3736" s="383"/>
      <c r="I3736" s="383"/>
      <c r="J3736" s="383"/>
      <c r="K3736" s="401"/>
      <c r="L3736" s="1589" t="str">
        <f ca="1">HYPERLINK("#'"&amp;$G$1&amp;"'!"&amp;ADDRESS(ROW(Notes!K4639),COLUMN(Notes!K4639),4),"*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108</v>
      </c>
      <c r="C3737" s="371"/>
      <c r="D3737" s="2716">
        <f t="shared" si="419"/>
        <v>1</v>
      </c>
      <c r="E3737" s="2721">
        <v>1</v>
      </c>
      <c r="F3737" s="294"/>
      <c r="G3737" s="380" t="s">
        <v>4251</v>
      </c>
      <c r="H3737" s="383"/>
      <c r="I3737" s="383"/>
      <c r="J3737" s="383"/>
      <c r="K3737" s="401"/>
      <c r="L3737" s="1589" t="str">
        <f ca="1">HYPERLINK("#'"&amp;$G$1&amp;"'!"&amp;ADDRESS(ROW(Notes!K4640),COLUMN(Notes!K4640),4),"* 请勿删除此行！点击往勾稽单元格，F5+Enter返回")</f>
        <v>* 请勿删除此行！点击往勾稽单元格，F5+Enter返回</v>
      </c>
      <c r="M3737" s="472"/>
      <c r="N3737" s="442"/>
      <c r="O3737" s="442"/>
      <c r="P3737" s="442"/>
      <c r="Q3737" s="442"/>
      <c r="R3737" s="443"/>
      <c r="S3737" s="364"/>
      <c r="Z3737" s="609" t="s">
        <v>3943</v>
      </c>
      <c r="AA3737" s="609" t="s">
        <v>5679</v>
      </c>
      <c r="AC3737" s="369" t="s">
        <v>2794</v>
      </c>
    </row>
    <row r="3738" spans="1:29" ht="18">
      <c r="A3738" s="2714"/>
      <c r="B3738" s="371">
        <v>109</v>
      </c>
      <c r="C3738" s="371"/>
      <c r="D3738" s="2716">
        <f t="shared" si="419"/>
        <v>1</v>
      </c>
      <c r="E3738" s="2721">
        <v>1</v>
      </c>
      <c r="F3738" s="294"/>
      <c r="G3738" s="380" t="s">
        <v>5647</v>
      </c>
      <c r="H3738" s="383"/>
      <c r="I3738" s="383"/>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110</v>
      </c>
      <c r="C3739" s="371"/>
      <c r="D3739" s="2716">
        <f t="shared" si="419"/>
        <v>1</v>
      </c>
      <c r="E3739" s="2721">
        <v>1</v>
      </c>
      <c r="F3739" s="294"/>
      <c r="G3739" s="380" t="s">
        <v>5646</v>
      </c>
      <c r="H3739" s="383"/>
      <c r="I3739" s="383"/>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111</v>
      </c>
      <c r="C3740" s="371"/>
      <c r="D3740" s="2716">
        <f t="shared" si="419"/>
        <v>1</v>
      </c>
      <c r="E3740" s="2721">
        <v>1</v>
      </c>
      <c r="F3740" s="294"/>
      <c r="G3740" s="380" t="s">
        <v>5645</v>
      </c>
      <c r="H3740" s="383"/>
      <c r="I3740" s="383"/>
      <c r="J3740" s="383"/>
      <c r="K3740" s="401"/>
      <c r="L3740" s="472"/>
      <c r="M3740" s="472"/>
      <c r="N3740" s="442"/>
      <c r="O3740" s="442"/>
      <c r="P3740" s="442"/>
      <c r="Q3740" s="442"/>
      <c r="R3740" s="443"/>
      <c r="S3740" s="364"/>
      <c r="Z3740" s="609" t="s">
        <v>3943</v>
      </c>
      <c r="AA3740" s="609" t="s">
        <v>5679</v>
      </c>
    </row>
    <row r="3741" spans="1:29" ht="18">
      <c r="A3741" s="2714"/>
      <c r="B3741" s="371">
        <v>112</v>
      </c>
      <c r="C3741" s="371" t="s">
        <v>2791</v>
      </c>
      <c r="D3741" s="2716">
        <f t="shared" si="419"/>
        <v>0</v>
      </c>
      <c r="E3741" s="2721">
        <v>1</v>
      </c>
      <c r="F3741" s="294"/>
      <c r="G3741" s="409" t="s">
        <v>2792</v>
      </c>
      <c r="H3741" s="383"/>
      <c r="I3741" s="383"/>
      <c r="J3741" s="383"/>
      <c r="K3741" s="401"/>
      <c r="L3741" s="472"/>
      <c r="M3741" s="472"/>
      <c r="N3741" s="442"/>
      <c r="O3741" s="442"/>
      <c r="P3741" s="442"/>
      <c r="Q3741" s="442"/>
      <c r="R3741" s="443"/>
      <c r="S3741" s="364"/>
      <c r="Z3741" s="609" t="s">
        <v>3943</v>
      </c>
      <c r="AA3741" s="609" t="s">
        <v>5679</v>
      </c>
    </row>
    <row r="3742" spans="1:29" ht="18">
      <c r="A3742" s="2714"/>
      <c r="B3742" s="371">
        <v>113</v>
      </c>
      <c r="C3742" s="371" t="s">
        <v>2791</v>
      </c>
      <c r="D3742" s="2716">
        <f t="shared" si="419"/>
        <v>0</v>
      </c>
      <c r="E3742" s="2721">
        <v>1</v>
      </c>
      <c r="F3742" s="294"/>
      <c r="G3742" s="409" t="s">
        <v>2792</v>
      </c>
      <c r="H3742" s="383"/>
      <c r="I3742" s="383"/>
      <c r="J3742" s="383"/>
      <c r="K3742" s="401"/>
      <c r="L3742" s="472"/>
      <c r="M3742" s="472"/>
      <c r="N3742" s="442"/>
      <c r="O3742" s="442"/>
      <c r="P3742" s="442"/>
      <c r="Q3742" s="442"/>
      <c r="R3742" s="443"/>
      <c r="S3742" s="364"/>
      <c r="Z3742" s="609" t="s">
        <v>3943</v>
      </c>
      <c r="AA3742" s="609" t="s">
        <v>5679</v>
      </c>
    </row>
    <row r="3743" spans="1:29" ht="18">
      <c r="A3743" s="2714"/>
      <c r="B3743" s="371">
        <v>114</v>
      </c>
      <c r="C3743" s="371" t="s">
        <v>2791</v>
      </c>
      <c r="D3743" s="2716">
        <f t="shared" si="419"/>
        <v>1</v>
      </c>
      <c r="E3743" s="2721">
        <v>1</v>
      </c>
      <c r="F3743" s="294"/>
      <c r="G3743" s="380" t="s">
        <v>3952</v>
      </c>
      <c r="H3743" s="383"/>
      <c r="I3743" s="383"/>
      <c r="J3743" s="383"/>
      <c r="K3743" s="401"/>
      <c r="L3743" s="472"/>
      <c r="M3743" s="472"/>
      <c r="N3743" s="442"/>
      <c r="O3743" s="442"/>
      <c r="P3743" s="442"/>
      <c r="Q3743" s="442"/>
      <c r="R3743" s="443"/>
      <c r="S3743" s="364"/>
      <c r="Z3743" s="609" t="s">
        <v>3943</v>
      </c>
      <c r="AA3743" s="609" t="s">
        <v>5679</v>
      </c>
    </row>
    <row r="3744" spans="1:29" ht="18.75" thickBot="1">
      <c r="A3744" s="2714"/>
      <c r="B3744" s="371"/>
      <c r="C3744" s="371"/>
      <c r="D3744" s="2716">
        <f t="shared" si="419"/>
        <v>1</v>
      </c>
      <c r="E3744" s="2721" t="s">
        <v>2751</v>
      </c>
      <c r="F3744" s="294"/>
      <c r="G3744" s="403" t="s">
        <v>2752</v>
      </c>
      <c r="H3744" s="1498">
        <f>SUMPRODUCT($E3729:$E3743,H3729:H3743)</f>
        <v>0</v>
      </c>
      <c r="I3744" s="1498">
        <f>SUMPRODUCT($E3729:$E3743,I3729:I3743)</f>
        <v>0</v>
      </c>
      <c r="J3744" s="1498">
        <f>SUMPRODUCT($E3729:$E3743,J3729:J3743)</f>
        <v>0</v>
      </c>
      <c r="K3744" s="1499">
        <f>SUMPRODUCT($E3729:$E3743,K3729:K3743)</f>
        <v>0</v>
      </c>
      <c r="L3744" s="472"/>
      <c r="M3744" s="472"/>
      <c r="N3744" s="442"/>
      <c r="O3744" s="442"/>
      <c r="P3744" s="442"/>
      <c r="Q3744" s="442"/>
      <c r="R3744" s="443"/>
      <c r="S3744" s="364"/>
      <c r="Z3744" s="609" t="s">
        <v>3943</v>
      </c>
      <c r="AA3744" s="609" t="s">
        <v>5679</v>
      </c>
    </row>
    <row r="3745" spans="1:27" ht="18">
      <c r="A3745" s="2714"/>
      <c r="B3745" s="371"/>
      <c r="C3745" s="371" t="s">
        <v>2755</v>
      </c>
      <c r="D3745" s="371"/>
      <c r="F3745" s="294"/>
      <c r="G3745" s="301"/>
      <c r="H3745" s="315"/>
      <c r="I3745" s="315"/>
      <c r="J3745" s="425"/>
      <c r="K3745" s="425"/>
      <c r="L3745" s="472"/>
      <c r="M3745" s="472"/>
      <c r="N3745" s="442"/>
      <c r="O3745" s="442"/>
      <c r="P3745" s="442"/>
      <c r="Q3745" s="442"/>
      <c r="R3745" s="443"/>
      <c r="S3745" s="364"/>
      <c r="Z3745" s="609" t="s">
        <v>3943</v>
      </c>
      <c r="AA3745" s="609" t="s">
        <v>5679</v>
      </c>
    </row>
    <row r="3746" spans="1:27" ht="18">
      <c r="A3746" s="2714" t="s">
        <v>1533</v>
      </c>
      <c r="B3746" s="371">
        <v>2</v>
      </c>
      <c r="C3746" s="371"/>
      <c r="D3746" s="2716" t="str">
        <f>VLOOKUP($A3746,Sheet_NoteList,2,0)</f>
        <v>应交税费补充资料</v>
      </c>
      <c r="E3746" s="2716" t="s">
        <v>6532</v>
      </c>
      <c r="F3746" s="294"/>
      <c r="G3746" s="307" t="str">
        <f>"("&amp;B3746&amp;")"&amp;D3746</f>
        <v>(2)应交税费补充资料</v>
      </c>
      <c r="H3746" s="1517" t="str">
        <f>$A3746</f>
        <v>2221x</v>
      </c>
      <c r="I3746" s="343" t="s">
        <v>5965</v>
      </c>
      <c r="J3746" s="301" t="s">
        <v>5963</v>
      </c>
      <c r="K3746" s="2210">
        <f>K3757</f>
        <v>0</v>
      </c>
      <c r="L3746" s="345"/>
      <c r="M3746" s="301" t="s">
        <v>5964</v>
      </c>
      <c r="N3746" s="2210">
        <f>H3757</f>
        <v>0</v>
      </c>
      <c r="O3746" s="345"/>
      <c r="P3746" s="301"/>
      <c r="S3746" s="364"/>
      <c r="Z3746" s="609" t="s">
        <v>3943</v>
      </c>
      <c r="AA3746" s="609" t="s">
        <v>5679</v>
      </c>
    </row>
    <row r="3747" spans="1:27" ht="0.75" customHeight="1" thickBot="1">
      <c r="A3747" s="2714"/>
      <c r="B3747" s="371"/>
      <c r="C3747" s="371"/>
      <c r="D3747" s="371"/>
      <c r="F3747" s="371"/>
      <c r="G3747" s="371" t="s">
        <v>3953</v>
      </c>
      <c r="H3747" s="371" t="s">
        <v>2904</v>
      </c>
      <c r="I3747" s="371" t="s">
        <v>3255</v>
      </c>
      <c r="J3747" s="371" t="s">
        <v>3256</v>
      </c>
      <c r="K3747" s="371" t="s">
        <v>3241</v>
      </c>
      <c r="M3747" s="291"/>
      <c r="S3747" s="364"/>
      <c r="Z3747" s="609" t="s">
        <v>3943</v>
      </c>
      <c r="AA3747" s="609" t="s">
        <v>5679</v>
      </c>
    </row>
    <row r="3748" spans="1:27" ht="18">
      <c r="A3748" s="2714"/>
      <c r="B3748" s="371"/>
      <c r="C3748" s="371"/>
      <c r="D3748" s="371"/>
      <c r="E3748" s="2716" t="s">
        <v>2749</v>
      </c>
      <c r="F3748" s="294"/>
      <c r="G3748" s="2393" t="s">
        <v>3951</v>
      </c>
      <c r="H3748" s="2398" t="s">
        <v>2776</v>
      </c>
      <c r="I3748" s="2387" t="s">
        <v>3712</v>
      </c>
      <c r="J3748" s="2387" t="s">
        <v>3713</v>
      </c>
      <c r="K3748" s="2388" t="s">
        <v>2775</v>
      </c>
      <c r="L3748" s="355" t="s">
        <v>6176</v>
      </c>
      <c r="M3748" s="291"/>
      <c r="S3748" s="364"/>
      <c r="Z3748" s="609" t="s">
        <v>3943</v>
      </c>
      <c r="AA3748" s="609" t="s">
        <v>5679</v>
      </c>
    </row>
    <row r="3749" spans="1:27" ht="18">
      <c r="A3749" s="2714"/>
      <c r="B3749" s="371">
        <v>101</v>
      </c>
      <c r="C3749" s="371"/>
      <c r="D3749" s="2716">
        <f t="shared" ref="D3749:D3757" si="420">IF(OR(G3749="*",G3749="",G3749=0),0,COUNTIF($G$3749:$G$3757,G3749))</f>
        <v>1</v>
      </c>
      <c r="E3749" s="2721" t="s">
        <v>41</v>
      </c>
      <c r="F3749" s="294"/>
      <c r="G3749" s="308" t="s">
        <v>3954</v>
      </c>
      <c r="H3749" s="309"/>
      <c r="I3749" s="309"/>
      <c r="J3749" s="309"/>
      <c r="K3749" s="346"/>
      <c r="L3749" s="579"/>
      <c r="M3749" s="291"/>
      <c r="S3749" s="364"/>
      <c r="Z3749" s="609" t="s">
        <v>3943</v>
      </c>
      <c r="AA3749" s="609" t="s">
        <v>5679</v>
      </c>
    </row>
    <row r="3750" spans="1:27" ht="18">
      <c r="A3750" s="2714"/>
      <c r="B3750" s="371">
        <v>102</v>
      </c>
      <c r="C3750" s="371" t="s">
        <v>2791</v>
      </c>
      <c r="D3750" s="2716">
        <f t="shared" si="420"/>
        <v>1</v>
      </c>
      <c r="E3750" s="2721">
        <v>1</v>
      </c>
      <c r="F3750" s="294"/>
      <c r="G3750" s="578" t="s">
        <v>3955</v>
      </c>
      <c r="H3750" s="309"/>
      <c r="I3750" s="309"/>
      <c r="J3750" s="309"/>
      <c r="K3750" s="346"/>
      <c r="M3750" s="291"/>
      <c r="S3750" s="364"/>
      <c r="Z3750" s="609" t="s">
        <v>3943</v>
      </c>
      <c r="AA3750" s="609" t="s">
        <v>5679</v>
      </c>
    </row>
    <row r="3751" spans="1:27" ht="18">
      <c r="A3751" s="2714"/>
      <c r="B3751" s="371">
        <v>103</v>
      </c>
      <c r="C3751" s="371" t="s">
        <v>2791</v>
      </c>
      <c r="D3751" s="2716">
        <f t="shared" si="420"/>
        <v>1</v>
      </c>
      <c r="E3751" s="2721">
        <v>1</v>
      </c>
      <c r="F3751" s="294"/>
      <c r="G3751" s="578" t="s">
        <v>3956</v>
      </c>
      <c r="H3751" s="309"/>
      <c r="I3751" s="309"/>
      <c r="J3751" s="309"/>
      <c r="K3751" s="346"/>
      <c r="M3751" s="291"/>
      <c r="S3751" s="364"/>
      <c r="Z3751" s="609" t="s">
        <v>3943</v>
      </c>
      <c r="AA3751" s="609" t="s">
        <v>5679</v>
      </c>
    </row>
    <row r="3752" spans="1:27" ht="18">
      <c r="A3752" s="2714"/>
      <c r="B3752" s="371">
        <v>104</v>
      </c>
      <c r="C3752" s="371" t="s">
        <v>2791</v>
      </c>
      <c r="D3752" s="2716">
        <f t="shared" si="420"/>
        <v>1</v>
      </c>
      <c r="E3752" s="2721">
        <v>1</v>
      </c>
      <c r="F3752" s="294"/>
      <c r="G3752" s="578" t="s">
        <v>3957</v>
      </c>
      <c r="H3752" s="309"/>
      <c r="I3752" s="309"/>
      <c r="J3752" s="309"/>
      <c r="K3752" s="346"/>
      <c r="M3752" s="291"/>
      <c r="S3752" s="364"/>
      <c r="Z3752" s="609" t="s">
        <v>3943</v>
      </c>
      <c r="AA3752" s="609" t="s">
        <v>5679</v>
      </c>
    </row>
    <row r="3753" spans="1:27" ht="18">
      <c r="A3753" s="2714"/>
      <c r="B3753" s="371">
        <v>105</v>
      </c>
      <c r="C3753" s="371" t="s">
        <v>2791</v>
      </c>
      <c r="D3753" s="2716">
        <f t="shared" si="420"/>
        <v>1</v>
      </c>
      <c r="E3753" s="2721">
        <v>1</v>
      </c>
      <c r="F3753" s="294"/>
      <c r="G3753" s="578" t="s">
        <v>3958</v>
      </c>
      <c r="H3753" s="309"/>
      <c r="I3753" s="309"/>
      <c r="J3753" s="309"/>
      <c r="K3753" s="346"/>
      <c r="M3753" s="291"/>
      <c r="S3753" s="364"/>
      <c r="Z3753" s="609" t="s">
        <v>3943</v>
      </c>
      <c r="AA3753" s="609" t="s">
        <v>5679</v>
      </c>
    </row>
    <row r="3754" spans="1:27" ht="18">
      <c r="A3754" s="2714"/>
      <c r="B3754" s="371">
        <v>106</v>
      </c>
      <c r="C3754" s="371" t="s">
        <v>2791</v>
      </c>
      <c r="D3754" s="2716">
        <f t="shared" si="420"/>
        <v>0</v>
      </c>
      <c r="E3754" s="2721">
        <v>1</v>
      </c>
      <c r="F3754" s="294"/>
      <c r="G3754" s="319" t="s">
        <v>2792</v>
      </c>
      <c r="H3754" s="309"/>
      <c r="I3754" s="309"/>
      <c r="J3754" s="309"/>
      <c r="K3754" s="346"/>
      <c r="M3754" s="291"/>
      <c r="S3754" s="364"/>
      <c r="Z3754" s="609" t="s">
        <v>3943</v>
      </c>
      <c r="AA3754" s="609" t="s">
        <v>5679</v>
      </c>
    </row>
    <row r="3755" spans="1:27" ht="18">
      <c r="A3755" s="2714"/>
      <c r="B3755" s="371">
        <v>107</v>
      </c>
      <c r="C3755" s="371" t="s">
        <v>2791</v>
      </c>
      <c r="D3755" s="2716">
        <f t="shared" si="420"/>
        <v>0</v>
      </c>
      <c r="E3755" s="2721">
        <v>1</v>
      </c>
      <c r="F3755" s="294"/>
      <c r="G3755" s="319" t="s">
        <v>2792</v>
      </c>
      <c r="H3755" s="309"/>
      <c r="I3755" s="309"/>
      <c r="J3755" s="309"/>
      <c r="K3755" s="346"/>
      <c r="M3755" s="291"/>
      <c r="S3755" s="364"/>
      <c r="Z3755" s="609" t="s">
        <v>3943</v>
      </c>
      <c r="AA3755" s="609" t="s">
        <v>5679</v>
      </c>
    </row>
    <row r="3756" spans="1:27" ht="18">
      <c r="A3756" s="2714"/>
      <c r="B3756" s="371">
        <v>108</v>
      </c>
      <c r="C3756" s="371" t="s">
        <v>2791</v>
      </c>
      <c r="D3756" s="2716">
        <f t="shared" si="420"/>
        <v>0</v>
      </c>
      <c r="E3756" s="2721">
        <v>1</v>
      </c>
      <c r="F3756" s="294"/>
      <c r="G3756" s="319" t="s">
        <v>2792</v>
      </c>
      <c r="H3756" s="309"/>
      <c r="I3756" s="309"/>
      <c r="J3756" s="309"/>
      <c r="K3756" s="346"/>
      <c r="M3756" s="291"/>
      <c r="S3756" s="364"/>
      <c r="Z3756" s="609" t="s">
        <v>3943</v>
      </c>
      <c r="AA3756" s="609" t="s">
        <v>5679</v>
      </c>
    </row>
    <row r="3757" spans="1:27" ht="18.75" thickBot="1">
      <c r="A3757" s="2714"/>
      <c r="B3757" s="371"/>
      <c r="C3757" s="371"/>
      <c r="D3757" s="2716">
        <f t="shared" si="420"/>
        <v>1</v>
      </c>
      <c r="E3757" s="2721" t="s">
        <v>2751</v>
      </c>
      <c r="F3757" s="294"/>
      <c r="G3757" s="1529" t="s">
        <v>2752</v>
      </c>
      <c r="H3757" s="2391">
        <f>SUMPRODUCT($E3748:$E3756,H3748:H3756)</f>
        <v>0</v>
      </c>
      <c r="I3757" s="2391">
        <f>SUMPRODUCT($E3748:$E3756,I3748:I3756)</f>
        <v>0</v>
      </c>
      <c r="J3757" s="2391">
        <f>SUMPRODUCT($E3748:$E3756,J3748:J3756)</f>
        <v>0</v>
      </c>
      <c r="K3757" s="2399">
        <f>SUMPRODUCT($E3748:$E3756,K3748:K3756)</f>
        <v>0</v>
      </c>
      <c r="M3757" s="291"/>
      <c r="S3757" s="364"/>
      <c r="Z3757" s="609" t="s">
        <v>3943</v>
      </c>
      <c r="AA3757" s="609" t="s">
        <v>5679</v>
      </c>
    </row>
    <row r="3758" spans="1:27" ht="18">
      <c r="A3758" s="2714"/>
      <c r="B3758" s="371"/>
      <c r="C3758" s="371" t="s">
        <v>2755</v>
      </c>
      <c r="D3758" s="371"/>
      <c r="F3758" s="294"/>
      <c r="G3758" s="301"/>
      <c r="H3758" s="315"/>
      <c r="I3758" s="315"/>
      <c r="J3758" s="315"/>
      <c r="K3758" s="315"/>
      <c r="L3758" s="291"/>
      <c r="M3758" s="291"/>
      <c r="S3758" s="364"/>
      <c r="Z3758" s="609" t="s">
        <v>3943</v>
      </c>
      <c r="AA3758" s="609" t="s">
        <v>5679</v>
      </c>
    </row>
    <row r="3759" spans="1:27" ht="24">
      <c r="A3759" s="2715">
        <v>2246</v>
      </c>
      <c r="B3759" s="371">
        <v>42</v>
      </c>
      <c r="C3759" s="2716" t="str">
        <f>VLOOKUP($A3759,Sheet_Items,2,0)</f>
        <v>其他应付款（报表项目）</v>
      </c>
      <c r="D3759" s="371"/>
      <c r="E3759" s="2716" t="s">
        <v>2739</v>
      </c>
      <c r="F3759" s="371"/>
      <c r="G3759" s="305" t="str">
        <f>B3759&amp;" "&amp;C3759</f>
        <v>42 其他应付款（报表项目）</v>
      </c>
      <c r="H3759" s="306"/>
      <c r="I3759" s="306"/>
      <c r="J3759" s="306" t="s">
        <v>2740</v>
      </c>
      <c r="K3759" s="341">
        <f>VLOOKUP($A3759,Sheet_Trialbal,6,0)</f>
        <v>0</v>
      </c>
      <c r="L3759" s="342"/>
      <c r="M3759" s="306" t="s">
        <v>2741</v>
      </c>
      <c r="N3759" s="341">
        <f>VLOOKUP($A3759,Sheet_Trialbal,10,0)</f>
        <v>396457994.25</v>
      </c>
      <c r="O3759" s="342"/>
      <c r="P3759" s="301"/>
      <c r="S3759" s="364"/>
      <c r="Z3759" s="609" t="s">
        <v>3959</v>
      </c>
      <c r="AA3759" s="609" t="s">
        <v>19</v>
      </c>
    </row>
    <row r="3760" spans="1:27" ht="18">
      <c r="A3760" s="2714" t="s">
        <v>1594</v>
      </c>
      <c r="B3760" s="371">
        <v>1</v>
      </c>
      <c r="C3760" s="371"/>
      <c r="D3760" s="2716" t="str">
        <f>VLOOKUP($A3760,Sheet_NoteList,2,0)</f>
        <v>其他应付款分类列示</v>
      </c>
      <c r="E3760" s="2716" t="s">
        <v>2742</v>
      </c>
      <c r="F3760" s="371"/>
      <c r="G3760" s="372" t="str">
        <f>"("&amp;B3760&amp;")"&amp;D3760</f>
        <v>(1)其他应付款分类列示</v>
      </c>
      <c r="H3760" s="1517" t="str">
        <f>$A3760</f>
        <v>2246a</v>
      </c>
      <c r="I3760" s="343" t="s">
        <v>2743</v>
      </c>
      <c r="J3760" s="301" t="s">
        <v>2744</v>
      </c>
      <c r="K3760" s="2210">
        <f>H3767</f>
        <v>0</v>
      </c>
      <c r="L3760" s="349"/>
      <c r="M3760" s="301" t="s">
        <v>2745</v>
      </c>
      <c r="N3760" s="2210">
        <f>I3767</f>
        <v>0</v>
      </c>
      <c r="O3760" s="349"/>
      <c r="P3760" s="301"/>
      <c r="S3760" s="364"/>
      <c r="Z3760" s="609" t="s">
        <v>3959</v>
      </c>
      <c r="AA3760" s="609" t="s">
        <v>19</v>
      </c>
    </row>
    <row r="3761" spans="1:27" ht="0.75" customHeight="1" thickBot="1">
      <c r="A3761" s="2714"/>
      <c r="B3761" s="371"/>
      <c r="C3761" s="371"/>
      <c r="D3761" s="2716"/>
      <c r="F3761" s="371"/>
      <c r="G3761" s="405" t="s">
        <v>3960</v>
      </c>
      <c r="H3761" s="371" t="s">
        <v>2747</v>
      </c>
      <c r="I3761" s="371" t="s">
        <v>2748</v>
      </c>
      <c r="J3761" s="301"/>
      <c r="K3761" s="391"/>
      <c r="L3761" s="349"/>
      <c r="M3761" s="301"/>
      <c r="N3761" s="391"/>
      <c r="O3761" s="349"/>
      <c r="P3761" s="301"/>
      <c r="S3761" s="364"/>
      <c r="Z3761" s="609" t="s">
        <v>3959</v>
      </c>
      <c r="AA3761" s="609" t="s">
        <v>19</v>
      </c>
    </row>
    <row r="3762" spans="1:27" ht="18.75" thickTop="1">
      <c r="A3762" s="2714"/>
      <c r="B3762" s="371"/>
      <c r="C3762" s="371"/>
      <c r="D3762" s="2716"/>
      <c r="E3762" s="2716" t="s">
        <v>2749</v>
      </c>
      <c r="F3762" s="371"/>
      <c r="G3762" s="373" t="s">
        <v>47</v>
      </c>
      <c r="H3762" s="1454" t="str">
        <f>$V$2</f>
        <v>2019年12月31日</v>
      </c>
      <c r="I3762" s="1455" t="str">
        <f>$V$3</f>
        <v>2018年12月31日</v>
      </c>
      <c r="J3762" s="355" t="s">
        <v>5307</v>
      </c>
      <c r="K3762" s="1584" t="str">
        <f>""&amp;"&gt;本期:"&amp;""</f>
        <v>&gt;本期:</v>
      </c>
      <c r="L3762" s="1584" t="str">
        <f>""&amp;"&gt;上期:"&amp;""</f>
        <v>&gt;上期:</v>
      </c>
      <c r="M3762" s="2658" t="str">
        <f>""&amp;"NoteID"&amp;""</f>
        <v>NoteID</v>
      </c>
      <c r="N3762" s="391"/>
      <c r="O3762" s="349"/>
      <c r="P3762" s="301"/>
      <c r="S3762" s="364"/>
      <c r="Z3762" s="609" t="s">
        <v>3959</v>
      </c>
      <c r="AA3762" s="609" t="s">
        <v>19</v>
      </c>
    </row>
    <row r="3763" spans="1:27" ht="18">
      <c r="A3763" s="2714"/>
      <c r="B3763" s="371">
        <v>101</v>
      </c>
      <c r="C3763" s="371"/>
      <c r="D3763" s="2716">
        <f t="shared" ref="D3763:D3767" si="421">IF(OR(G3763="*",G3763="",G3763=0),0,COUNTIF($G$3763:$G$3767,G3763))</f>
        <v>1</v>
      </c>
      <c r="E3763" s="2721">
        <v>1</v>
      </c>
      <c r="F3763" s="371"/>
      <c r="G3763" s="308" t="s">
        <v>499</v>
      </c>
      <c r="H3763" s="309"/>
      <c r="I3763" s="394"/>
      <c r="J3763" s="301"/>
      <c r="K3763" s="2252">
        <f ca="1">HYPERLINK("#'"&amp;$G$1&amp;"'!"&amp;ADDRESS(ROW(Notes!H3788),COLUMN(Notes!H3788),4),H3788-H3763)</f>
        <v>0</v>
      </c>
      <c r="L3763" s="2252">
        <f ca="1">HYPERLINK("#'"&amp;$G$1&amp;"'!"&amp;ADDRESS(ROW(Notes!I3788),COLUMN(Notes!I3788),4),I3788-I3763)</f>
        <v>0</v>
      </c>
      <c r="M3763" s="2665" t="str">
        <f>H3770</f>
        <v>2231a</v>
      </c>
      <c r="N3763" s="391"/>
      <c r="O3763" s="349"/>
      <c r="P3763" s="301"/>
      <c r="S3763" s="364"/>
      <c r="Z3763" s="609" t="s">
        <v>3959</v>
      </c>
      <c r="AA3763" s="609" t="s">
        <v>19</v>
      </c>
    </row>
    <row r="3764" spans="1:27" ht="18">
      <c r="A3764" s="2714"/>
      <c r="B3764" s="371">
        <v>102</v>
      </c>
      <c r="C3764" s="371"/>
      <c r="D3764" s="2716">
        <f t="shared" si="421"/>
        <v>1</v>
      </c>
      <c r="E3764" s="2721">
        <v>1</v>
      </c>
      <c r="F3764" s="371"/>
      <c r="G3764" s="308" t="s">
        <v>507</v>
      </c>
      <c r="H3764" s="309"/>
      <c r="I3764" s="394"/>
      <c r="J3764" s="301"/>
      <c r="K3764" s="2252">
        <f ca="1">HYPERLINK("#'"&amp;$G$1&amp;"'!"&amp;ADDRESS(ROW(Notes!H3816),COLUMN(Notes!H3816),4),H3816-H3764)</f>
        <v>0</v>
      </c>
      <c r="L3764" s="2252">
        <f ca="1">HYPERLINK("#'"&amp;$G$1&amp;"'!"&amp;ADDRESS(ROW(Notes!I3816),COLUMN(Notes!I3816),4),I3816-I3764)</f>
        <v>0</v>
      </c>
      <c r="M3764" s="2665" t="str">
        <f>H3801</f>
        <v>2232a</v>
      </c>
      <c r="N3764" s="391"/>
      <c r="O3764" s="349"/>
      <c r="P3764" s="301"/>
      <c r="S3764" s="364"/>
      <c r="Z3764" s="609" t="s">
        <v>3959</v>
      </c>
      <c r="AA3764" s="609" t="s">
        <v>19</v>
      </c>
    </row>
    <row r="3765" spans="1:27" ht="18">
      <c r="A3765" s="2714"/>
      <c r="B3765" s="371">
        <v>103</v>
      </c>
      <c r="C3765" s="371"/>
      <c r="D3765" s="2716">
        <f t="shared" si="421"/>
        <v>1</v>
      </c>
      <c r="E3765" s="2721">
        <v>1</v>
      </c>
      <c r="F3765" s="371"/>
      <c r="G3765" s="308" t="s">
        <v>513</v>
      </c>
      <c r="H3765" s="309"/>
      <c r="I3765" s="394"/>
      <c r="J3765" s="301"/>
      <c r="K3765" s="2252">
        <f ca="1">HYPERLINK("#'"&amp;$G$1&amp;"'!"&amp;ADDRESS(ROW(Notes!H3837),COLUMN(Notes!H3837),4),H3837-H3765)</f>
        <v>0</v>
      </c>
      <c r="L3765" s="2252">
        <f ca="1">HYPERLINK("#'"&amp;$G$1&amp;"'!"&amp;ADDRESS(ROW(Notes!I3837),COLUMN(Notes!I3837),4),I3837-I3765)</f>
        <v>0</v>
      </c>
      <c r="M3765" s="2665" t="str">
        <f>H3829</f>
        <v>2241e</v>
      </c>
      <c r="N3765" s="391"/>
      <c r="O3765" s="349"/>
      <c r="P3765" s="301"/>
      <c r="S3765" s="364"/>
      <c r="Z3765" s="609" t="s">
        <v>3959</v>
      </c>
      <c r="AA3765" s="609" t="s">
        <v>19</v>
      </c>
    </row>
    <row r="3766" spans="1:27" ht="18">
      <c r="A3766" s="2714"/>
      <c r="B3766" s="371">
        <v>104</v>
      </c>
      <c r="C3766" s="371" t="s">
        <v>2791</v>
      </c>
      <c r="D3766" s="2716">
        <f t="shared" si="421"/>
        <v>0</v>
      </c>
      <c r="E3766" s="2721">
        <v>1</v>
      </c>
      <c r="F3766" s="371"/>
      <c r="G3766" s="2568" t="s">
        <v>2792</v>
      </c>
      <c r="H3766" s="309"/>
      <c r="I3766" s="394"/>
      <c r="J3766" s="301"/>
      <c r="K3766" s="456"/>
      <c r="L3766" s="456"/>
      <c r="M3766" s="2666"/>
      <c r="N3766" s="391"/>
      <c r="O3766" s="349"/>
      <c r="P3766" s="301"/>
      <c r="S3766" s="364"/>
      <c r="Z3766" s="609" t="s">
        <v>3959</v>
      </c>
      <c r="AA3766" s="609" t="s">
        <v>19</v>
      </c>
    </row>
    <row r="3767" spans="1:27" ht="18.75" thickBot="1">
      <c r="A3767" s="2714"/>
      <c r="B3767" s="371"/>
      <c r="C3767" s="371"/>
      <c r="D3767" s="2716">
        <f t="shared" si="421"/>
        <v>1</v>
      </c>
      <c r="E3767" s="2721" t="s">
        <v>2751</v>
      </c>
      <c r="F3767" s="371"/>
      <c r="G3767" s="374" t="s">
        <v>2752</v>
      </c>
      <c r="H3767" s="1478">
        <f>SUMPRODUCT($E3762:$E3766,H3762:H3766)</f>
        <v>0</v>
      </c>
      <c r="I3767" s="1479">
        <f>SUMPRODUCT($E3762:$E3766,I3762:I3766)</f>
        <v>0</v>
      </c>
      <c r="J3767" s="301"/>
      <c r="K3767" s="1531">
        <f t="shared" ref="K3767:L3767" ca="1" si="422">SUM(K3763:K3766)</f>
        <v>0</v>
      </c>
      <c r="L3767" s="1531">
        <f t="shared" ca="1" si="422"/>
        <v>0</v>
      </c>
      <c r="M3767" s="2667"/>
      <c r="N3767" s="391"/>
      <c r="O3767" s="349"/>
      <c r="P3767" s="301"/>
      <c r="S3767" s="364"/>
      <c r="Z3767" s="609" t="s">
        <v>3959</v>
      </c>
      <c r="AA3767" s="609" t="s">
        <v>19</v>
      </c>
    </row>
    <row r="3768" spans="1:27" ht="18">
      <c r="A3768" s="2714"/>
      <c r="B3768" s="371"/>
      <c r="C3768" s="371" t="s">
        <v>2755</v>
      </c>
      <c r="D3768" s="2716"/>
      <c r="F3768" s="371"/>
      <c r="G3768" s="376"/>
      <c r="H3768" s="315"/>
      <c r="I3768" s="396"/>
      <c r="J3768" s="301"/>
      <c r="K3768" s="1539" t="s">
        <v>5495</v>
      </c>
      <c r="L3768" s="317"/>
      <c r="M3768" s="354"/>
      <c r="N3768" s="391"/>
      <c r="O3768" s="349"/>
      <c r="P3768" s="301"/>
      <c r="S3768" s="364"/>
      <c r="Z3768" s="609" t="s">
        <v>3959</v>
      </c>
      <c r="AA3768" s="609" t="s">
        <v>19</v>
      </c>
    </row>
    <row r="3769" spans="1:27" ht="18">
      <c r="A3769" s="2714">
        <v>2231</v>
      </c>
      <c r="B3769" s="371">
        <v>42.1</v>
      </c>
      <c r="C3769" s="2716" t="str">
        <f>VLOOKUP($A3769,Sheet_Items,2,0)</f>
        <v>应付利息</v>
      </c>
      <c r="D3769" s="371"/>
      <c r="E3769" s="2716" t="s">
        <v>2739</v>
      </c>
      <c r="F3769" s="294"/>
      <c r="G3769" s="305" t="str">
        <f>B3769&amp;" "&amp;C3769</f>
        <v>42.1 应付利息</v>
      </c>
      <c r="H3769" s="306"/>
      <c r="I3769" s="306"/>
      <c r="J3769" s="306" t="s">
        <v>2740</v>
      </c>
      <c r="K3769" s="341">
        <f>VLOOKUP($A3769,Sheet_Trialbal,6,0)</f>
        <v>0</v>
      </c>
      <c r="L3769" s="342"/>
      <c r="M3769" s="306" t="s">
        <v>2741</v>
      </c>
      <c r="N3769" s="341">
        <f>VLOOKUP($A3769,Sheet_Trialbal,10,0)</f>
        <v>0</v>
      </c>
      <c r="O3769" s="306"/>
      <c r="P3769" s="301"/>
      <c r="S3769" s="364"/>
      <c r="Z3769" s="609" t="s">
        <v>3961</v>
      </c>
      <c r="AA3769" s="609" t="s">
        <v>5680</v>
      </c>
    </row>
    <row r="3770" spans="1:27" ht="18">
      <c r="A3770" s="2714" t="s">
        <v>1538</v>
      </c>
      <c r="B3770" s="371">
        <v>1</v>
      </c>
      <c r="C3770" s="371"/>
      <c r="D3770" s="2716" t="str">
        <f>VLOOKUP($A3770,Sheet_NoteList,2,0)</f>
        <v>应付利息明细项目</v>
      </c>
      <c r="E3770" s="2716" t="s">
        <v>2742</v>
      </c>
      <c r="F3770" s="294"/>
      <c r="G3770" s="307" t="str">
        <f>"("&amp;B3770&amp;")"&amp;D3770</f>
        <v>(1)应付利息明细项目</v>
      </c>
      <c r="H3770" s="1517" t="str">
        <f>$A3770</f>
        <v>2231a</v>
      </c>
      <c r="I3770" s="343" t="s">
        <v>2743</v>
      </c>
      <c r="J3770" s="301" t="s">
        <v>2744</v>
      </c>
      <c r="K3770" s="2210">
        <f>H3788</f>
        <v>0</v>
      </c>
      <c r="L3770" s="345" t="str">
        <f>IF($I3770="适用",IF(ROUND(K3769-K3770,2)=0,"F/S",ROUND(K3769-K3770,2)),"#N/A")</f>
        <v>F/S</v>
      </c>
      <c r="M3770" s="301" t="s">
        <v>2745</v>
      </c>
      <c r="N3770" s="2210">
        <f>I3788</f>
        <v>0</v>
      </c>
      <c r="O3770" s="345" t="str">
        <f>IF($I3770="适用",IF(ROUND(N3769-N3770,2)=0,"F/S",ROUND(N3769-N3770,2)),"#N/A")</f>
        <v>F/S</v>
      </c>
      <c r="P3770" s="301"/>
      <c r="Q3770" s="290" t="str">
        <f>IF($I3770="不适用","",IF(ROUND(SUM($H$3773:$I$3788),2)=0,"请输入",""))</f>
        <v>请输入</v>
      </c>
      <c r="S3770" s="364"/>
      <c r="Z3770" s="609" t="s">
        <v>3961</v>
      </c>
      <c r="AA3770" s="609" t="s">
        <v>5680</v>
      </c>
    </row>
    <row r="3771" spans="1:27" ht="0.75" customHeight="1" thickBot="1">
      <c r="A3771" s="2714"/>
      <c r="B3771" s="371"/>
      <c r="C3771" s="371"/>
      <c r="D3771" s="371"/>
      <c r="F3771" s="371"/>
      <c r="G3771" s="371" t="s">
        <v>3962</v>
      </c>
      <c r="H3771" s="371" t="s">
        <v>2747</v>
      </c>
      <c r="I3771" s="371" t="s">
        <v>2748</v>
      </c>
      <c r="J3771" s="291"/>
      <c r="K3771" s="291"/>
      <c r="L3771" s="291"/>
      <c r="M3771" s="291"/>
      <c r="S3771" s="364"/>
      <c r="Z3771" s="609" t="s">
        <v>3961</v>
      </c>
      <c r="AA3771" s="609" t="s">
        <v>5680</v>
      </c>
    </row>
    <row r="3772" spans="1:27" ht="18">
      <c r="A3772" s="2714"/>
      <c r="B3772" s="371"/>
      <c r="C3772" s="371"/>
      <c r="D3772" s="371"/>
      <c r="E3772" s="2716" t="s">
        <v>2749</v>
      </c>
      <c r="F3772" s="294"/>
      <c r="G3772" s="1490" t="s">
        <v>47</v>
      </c>
      <c r="H3772" s="1454" t="str">
        <f>$V$2</f>
        <v>2019年12月31日</v>
      </c>
      <c r="I3772" s="1455" t="str">
        <f>$V$3</f>
        <v>2018年12月31日</v>
      </c>
      <c r="J3772" s="355" t="s">
        <v>5307</v>
      </c>
      <c r="K3772" s="291"/>
      <c r="L3772" s="291"/>
      <c r="M3772" s="291"/>
      <c r="S3772" s="364"/>
      <c r="Z3772" s="609" t="s">
        <v>3961</v>
      </c>
      <c r="AA3772" s="609" t="s">
        <v>5680</v>
      </c>
    </row>
    <row r="3773" spans="1:27" ht="24">
      <c r="A3773" s="2714"/>
      <c r="B3773" s="371">
        <v>101</v>
      </c>
      <c r="C3773" s="371"/>
      <c r="D3773" s="2716">
        <f t="shared" ref="D3773:D3788" si="423">IF(OR(G3773="*",G3773="",G3773=0),0,COUNTIF($G$3773:$G$3788,G3773))</f>
        <v>1</v>
      </c>
      <c r="E3773" s="2721">
        <v>1</v>
      </c>
      <c r="F3773" s="294"/>
      <c r="G3773" s="308" t="s">
        <v>3963</v>
      </c>
      <c r="H3773" s="309"/>
      <c r="I3773" s="346"/>
      <c r="J3773" s="291"/>
      <c r="K3773" s="291"/>
      <c r="L3773" s="291"/>
      <c r="M3773" s="291"/>
      <c r="S3773" s="364"/>
      <c r="Z3773" s="609" t="s">
        <v>3961</v>
      </c>
      <c r="AA3773" s="609" t="s">
        <v>5680</v>
      </c>
    </row>
    <row r="3774" spans="1:27" ht="18">
      <c r="A3774" s="2714"/>
      <c r="B3774" s="371">
        <v>102</v>
      </c>
      <c r="C3774" s="371"/>
      <c r="D3774" s="2716">
        <f t="shared" si="423"/>
        <v>1</v>
      </c>
      <c r="E3774" s="2721">
        <v>1</v>
      </c>
      <c r="F3774" s="294"/>
      <c r="G3774" s="308" t="s">
        <v>3964</v>
      </c>
      <c r="H3774" s="309"/>
      <c r="I3774" s="346"/>
      <c r="J3774" s="291"/>
      <c r="K3774" s="291"/>
      <c r="L3774" s="291"/>
      <c r="M3774" s="291"/>
      <c r="S3774" s="364"/>
      <c r="Z3774" s="609" t="s">
        <v>3961</v>
      </c>
      <c r="AA3774" s="609" t="s">
        <v>5680</v>
      </c>
    </row>
    <row r="3775" spans="1:27" ht="18">
      <c r="A3775" s="2714"/>
      <c r="B3775" s="371">
        <v>103</v>
      </c>
      <c r="C3775" s="371"/>
      <c r="D3775" s="2716">
        <f t="shared" si="423"/>
        <v>1</v>
      </c>
      <c r="E3775" s="2721">
        <v>1</v>
      </c>
      <c r="F3775" s="294"/>
      <c r="G3775" s="308" t="s">
        <v>3965</v>
      </c>
      <c r="H3775" s="309"/>
      <c r="I3775" s="346"/>
      <c r="J3775" s="291"/>
      <c r="K3775" s="291"/>
      <c r="L3775" s="291"/>
      <c r="M3775" s="291"/>
      <c r="S3775" s="364"/>
      <c r="Z3775" s="609" t="s">
        <v>3961</v>
      </c>
      <c r="AA3775" s="609" t="s">
        <v>5680</v>
      </c>
    </row>
    <row r="3776" spans="1:27" ht="18">
      <c r="A3776" s="2714"/>
      <c r="B3776" s="371">
        <v>104</v>
      </c>
      <c r="C3776" s="371"/>
      <c r="D3776" s="2716">
        <f t="shared" si="423"/>
        <v>1</v>
      </c>
      <c r="E3776" s="2721" t="s">
        <v>6535</v>
      </c>
      <c r="F3776" s="294"/>
      <c r="G3776" s="308" t="s">
        <v>5219</v>
      </c>
      <c r="H3776" s="309"/>
      <c r="I3776" s="346"/>
      <c r="J3776" s="291"/>
      <c r="K3776" s="291"/>
      <c r="L3776" s="291"/>
      <c r="M3776" s="291"/>
      <c r="S3776" s="364"/>
      <c r="Z3776" s="609" t="s">
        <v>3961</v>
      </c>
      <c r="AA3776" s="609" t="s">
        <v>5680</v>
      </c>
    </row>
    <row r="3777" spans="1:29" ht="18">
      <c r="A3777" s="2714"/>
      <c r="B3777" s="371">
        <v>104.001</v>
      </c>
      <c r="C3777" s="371" t="s">
        <v>2791</v>
      </c>
      <c r="D3777" s="2716">
        <f t="shared" si="423"/>
        <v>1</v>
      </c>
      <c r="E3777" s="2721" t="s">
        <v>5220</v>
      </c>
      <c r="F3777" s="294"/>
      <c r="G3777" s="1489" t="s">
        <v>5225</v>
      </c>
      <c r="H3777" s="309"/>
      <c r="I3777" s="346"/>
      <c r="J3777" s="355" t="s">
        <v>6073</v>
      </c>
      <c r="K3777" s="291"/>
      <c r="L3777" s="291"/>
      <c r="M3777" s="291"/>
      <c r="S3777" s="364"/>
      <c r="Z3777" s="609" t="s">
        <v>3961</v>
      </c>
      <c r="AA3777" s="609" t="s">
        <v>5680</v>
      </c>
    </row>
    <row r="3778" spans="1:29" ht="18">
      <c r="A3778" s="2714"/>
      <c r="B3778" s="371">
        <v>104.002</v>
      </c>
      <c r="C3778" s="371" t="s">
        <v>2791</v>
      </c>
      <c r="D3778" s="2716">
        <f t="shared" si="423"/>
        <v>0</v>
      </c>
      <c r="E3778" s="2721" t="s">
        <v>5220</v>
      </c>
      <c r="F3778" s="294"/>
      <c r="G3778" s="1489" t="s">
        <v>5235</v>
      </c>
      <c r="H3778" s="309"/>
      <c r="I3778" s="346"/>
      <c r="J3778" s="291"/>
      <c r="K3778" s="291"/>
      <c r="L3778" s="291"/>
      <c r="M3778" s="291"/>
      <c r="S3778" s="364"/>
      <c r="Z3778" s="609" t="s">
        <v>3961</v>
      </c>
      <c r="AA3778" s="609" t="s">
        <v>5680</v>
      </c>
    </row>
    <row r="3779" spans="1:29" ht="18">
      <c r="A3779" s="2714"/>
      <c r="B3779" s="371">
        <v>104.003</v>
      </c>
      <c r="C3779" s="371" t="s">
        <v>2791</v>
      </c>
      <c r="D3779" s="2716">
        <f t="shared" si="423"/>
        <v>0</v>
      </c>
      <c r="E3779" s="2721" t="s">
        <v>5220</v>
      </c>
      <c r="F3779" s="294"/>
      <c r="G3779" s="1489" t="s">
        <v>2792</v>
      </c>
      <c r="H3779" s="309"/>
      <c r="I3779" s="346"/>
      <c r="J3779" s="291"/>
      <c r="K3779" s="291"/>
      <c r="L3779" s="291"/>
      <c r="M3779" s="291"/>
      <c r="S3779" s="364"/>
      <c r="Z3779" s="609" t="s">
        <v>3961</v>
      </c>
      <c r="AA3779" s="609" t="s">
        <v>5680</v>
      </c>
    </row>
    <row r="3780" spans="1:29" ht="24">
      <c r="A3780" s="2714"/>
      <c r="B3780" s="371">
        <v>104.999</v>
      </c>
      <c r="C3780" s="371" t="s">
        <v>2793</v>
      </c>
      <c r="D3780" s="2716">
        <f t="shared" si="423"/>
        <v>1</v>
      </c>
      <c r="E3780" s="2721">
        <v>1</v>
      </c>
      <c r="F3780" s="294"/>
      <c r="G3780" s="308" t="s">
        <v>5221</v>
      </c>
      <c r="H3780" s="1476">
        <f>SUMIF($E$3772:$E$3787,$G3780,H$3772:H$3787)</f>
        <v>0</v>
      </c>
      <c r="I3780" s="1477">
        <f>SUMIF($E$3772:$E$3787,$G3780,I$3772:I$3787)</f>
        <v>0</v>
      </c>
      <c r="J3780" s="291"/>
      <c r="K3780" s="291"/>
      <c r="L3780" s="291"/>
      <c r="M3780" s="291"/>
      <c r="S3780" s="364"/>
      <c r="Z3780" s="609" t="s">
        <v>3961</v>
      </c>
      <c r="AA3780" s="609" t="s">
        <v>5680</v>
      </c>
    </row>
    <row r="3781" spans="1:29" ht="18">
      <c r="A3781" s="2714"/>
      <c r="B3781" s="371">
        <v>105</v>
      </c>
      <c r="C3781" s="371"/>
      <c r="D3781" s="2716">
        <f t="shared" si="423"/>
        <v>1</v>
      </c>
      <c r="E3781" s="2721" t="s">
        <v>41</v>
      </c>
      <c r="F3781" s="294"/>
      <c r="G3781" s="308" t="s">
        <v>5222</v>
      </c>
      <c r="H3781" s="309"/>
      <c r="I3781" s="346"/>
      <c r="J3781" s="291"/>
      <c r="K3781" s="291"/>
      <c r="L3781" s="291"/>
      <c r="M3781" s="291"/>
      <c r="S3781" s="364"/>
      <c r="Z3781" s="609" t="s">
        <v>3961</v>
      </c>
      <c r="AA3781" s="609" t="s">
        <v>5680</v>
      </c>
    </row>
    <row r="3782" spans="1:29" ht="18">
      <c r="A3782" s="2714"/>
      <c r="B3782" s="371">
        <v>105.001</v>
      </c>
      <c r="C3782" s="371" t="s">
        <v>2791</v>
      </c>
      <c r="D3782" s="2716">
        <f t="shared" si="423"/>
        <v>1</v>
      </c>
      <c r="E3782" s="2721" t="s">
        <v>5223</v>
      </c>
      <c r="F3782" s="294"/>
      <c r="G3782" s="1489" t="s">
        <v>5236</v>
      </c>
      <c r="H3782" s="309"/>
      <c r="I3782" s="346"/>
      <c r="J3782" s="355" t="s">
        <v>6073</v>
      </c>
      <c r="K3782" s="291"/>
      <c r="L3782" s="291"/>
      <c r="M3782" s="291"/>
      <c r="S3782" s="364"/>
      <c r="Z3782" s="609" t="s">
        <v>3961</v>
      </c>
      <c r="AA3782" s="609" t="s">
        <v>5680</v>
      </c>
    </row>
    <row r="3783" spans="1:29" ht="18">
      <c r="A3783" s="2714"/>
      <c r="B3783" s="371">
        <v>105.002</v>
      </c>
      <c r="C3783" s="371" t="s">
        <v>2791</v>
      </c>
      <c r="D3783" s="2716">
        <f t="shared" si="423"/>
        <v>0</v>
      </c>
      <c r="E3783" s="2721" t="s">
        <v>5223</v>
      </c>
      <c r="F3783" s="294"/>
      <c r="G3783" s="1489" t="s">
        <v>5226</v>
      </c>
      <c r="H3783" s="309"/>
      <c r="I3783" s="346"/>
      <c r="J3783" s="291"/>
      <c r="K3783" s="291"/>
      <c r="L3783" s="291"/>
      <c r="M3783" s="291"/>
      <c r="S3783" s="364"/>
      <c r="Z3783" s="609" t="s">
        <v>3961</v>
      </c>
      <c r="AA3783" s="609" t="s">
        <v>5680</v>
      </c>
    </row>
    <row r="3784" spans="1:29" ht="18">
      <c r="A3784" s="2714"/>
      <c r="B3784" s="371">
        <v>105.003</v>
      </c>
      <c r="C3784" s="371" t="s">
        <v>6533</v>
      </c>
      <c r="D3784" s="2716">
        <f t="shared" si="423"/>
        <v>0</v>
      </c>
      <c r="E3784" s="2721" t="s">
        <v>5223</v>
      </c>
      <c r="F3784" s="294"/>
      <c r="G3784" s="1489" t="s">
        <v>2792</v>
      </c>
      <c r="H3784" s="309"/>
      <c r="I3784" s="346"/>
      <c r="J3784" s="291"/>
      <c r="K3784" s="291"/>
      <c r="L3784" s="291"/>
      <c r="M3784" s="291"/>
      <c r="S3784" s="364"/>
      <c r="Z3784" s="609" t="s">
        <v>3961</v>
      </c>
      <c r="AA3784" s="609" t="s">
        <v>5680</v>
      </c>
    </row>
    <row r="3785" spans="1:29" ht="24">
      <c r="A3785" s="2714"/>
      <c r="B3785" s="371">
        <v>105.999</v>
      </c>
      <c r="C3785" s="371" t="s">
        <v>6563</v>
      </c>
      <c r="D3785" s="2716">
        <f t="shared" si="423"/>
        <v>1</v>
      </c>
      <c r="E3785" s="2721">
        <v>1</v>
      </c>
      <c r="F3785" s="294"/>
      <c r="G3785" s="308" t="s">
        <v>5224</v>
      </c>
      <c r="H3785" s="1476">
        <f>SUMIF($E$3772:$E$3787,$G3785,H$3772:H$3787)</f>
        <v>0</v>
      </c>
      <c r="I3785" s="1477">
        <f>SUMIF($E$3772:$E$3787,$G3785,I$3772:I$3787)</f>
        <v>0</v>
      </c>
      <c r="J3785" s="291"/>
      <c r="K3785" s="291"/>
      <c r="L3785" s="291"/>
      <c r="M3785" s="291"/>
      <c r="S3785" s="364"/>
      <c r="Z3785" s="609" t="s">
        <v>3961</v>
      </c>
      <c r="AA3785" s="609" t="s">
        <v>5680</v>
      </c>
    </row>
    <row r="3786" spans="1:29" ht="18">
      <c r="A3786" s="2714"/>
      <c r="B3786" s="371">
        <v>106</v>
      </c>
      <c r="C3786" s="371" t="s">
        <v>2791</v>
      </c>
      <c r="D3786" s="2716">
        <f t="shared" si="423"/>
        <v>0</v>
      </c>
      <c r="E3786" s="2721">
        <v>1</v>
      </c>
      <c r="F3786" s="294"/>
      <c r="G3786" s="1489" t="s">
        <v>2792</v>
      </c>
      <c r="H3786" s="309"/>
      <c r="I3786" s="346"/>
      <c r="J3786" s="291"/>
      <c r="K3786" s="291"/>
      <c r="L3786" s="291"/>
      <c r="M3786" s="291"/>
      <c r="S3786" s="364"/>
      <c r="Z3786" s="609" t="s">
        <v>3961</v>
      </c>
      <c r="AA3786" s="609" t="s">
        <v>5680</v>
      </c>
    </row>
    <row r="3787" spans="1:29" ht="18">
      <c r="A3787" s="2714"/>
      <c r="B3787" s="371">
        <v>107</v>
      </c>
      <c r="C3787" s="371" t="s">
        <v>2791</v>
      </c>
      <c r="D3787" s="2716">
        <f t="shared" si="423"/>
        <v>0</v>
      </c>
      <c r="E3787" s="2721">
        <v>1</v>
      </c>
      <c r="F3787" s="294"/>
      <c r="G3787" s="1489" t="s">
        <v>2792</v>
      </c>
      <c r="H3787" s="309"/>
      <c r="I3787" s="346"/>
      <c r="J3787" s="291"/>
      <c r="K3787" s="291"/>
      <c r="L3787" s="291"/>
      <c r="M3787" s="291"/>
      <c r="S3787" s="364"/>
      <c r="Z3787" s="609" t="s">
        <v>3961</v>
      </c>
      <c r="AA3787" s="609" t="s">
        <v>5680</v>
      </c>
    </row>
    <row r="3788" spans="1:29" ht="18.75" thickBot="1">
      <c r="A3788" s="2714"/>
      <c r="B3788" s="371"/>
      <c r="C3788" s="371"/>
      <c r="D3788" s="2716">
        <f t="shared" si="423"/>
        <v>1</v>
      </c>
      <c r="E3788" s="2721" t="s">
        <v>2751</v>
      </c>
      <c r="F3788" s="294"/>
      <c r="G3788" s="374" t="s">
        <v>2752</v>
      </c>
      <c r="H3788" s="1478">
        <f>SUMPRODUCT($E3772:$E3787,H3772:H3787)</f>
        <v>0</v>
      </c>
      <c r="I3788" s="1479">
        <f>SUMPRODUCT($E3772:$E3787,I3772:I3787)</f>
        <v>0</v>
      </c>
      <c r="J3788" s="1533" t="str">
        <f ca="1">HYPERLINK("#'"&amp;$G$1&amp;"'!"&amp;ADDRESS(ROW(Notes!K3763),COLUMN(Notes!K3763),4),"* 请勿删除此行！点击往勾稽单元格，F5+Enter返回")</f>
        <v>* 请勿删除此行！点击往勾稽单元格，F5+Enter返回</v>
      </c>
      <c r="K3788" s="291"/>
      <c r="L3788" s="291"/>
      <c r="M3788" s="291"/>
      <c r="S3788" s="364"/>
      <c r="Z3788" s="609" t="s">
        <v>3961</v>
      </c>
      <c r="AA3788" s="609" t="s">
        <v>5680</v>
      </c>
      <c r="AC3788" s="369" t="s">
        <v>6574</v>
      </c>
    </row>
    <row r="3789" spans="1:29" ht="18">
      <c r="A3789" s="2714"/>
      <c r="B3789" s="371"/>
      <c r="C3789" s="371" t="s">
        <v>2755</v>
      </c>
      <c r="D3789" s="371"/>
      <c r="F3789" s="294"/>
      <c r="G3789" s="301"/>
      <c r="H3789" s="315"/>
      <c r="I3789" s="315"/>
      <c r="J3789" s="291"/>
      <c r="K3789" s="291"/>
      <c r="L3789" s="291"/>
      <c r="M3789" s="291"/>
      <c r="S3789" s="364"/>
      <c r="Z3789" s="609" t="s">
        <v>3961</v>
      </c>
      <c r="AA3789" s="609" t="s">
        <v>5680</v>
      </c>
    </row>
    <row r="3790" spans="1:29" ht="24">
      <c r="A3790" s="2714" t="s">
        <v>1543</v>
      </c>
      <c r="B3790" s="371">
        <v>2</v>
      </c>
      <c r="C3790" s="371"/>
      <c r="D3790" s="2716" t="str">
        <f>VLOOKUP($A3790,Sheet_NoteList,2,0)</f>
        <v>期末重要的已逾期未支付的利息情况</v>
      </c>
      <c r="E3790" s="2716" t="s">
        <v>2742</v>
      </c>
      <c r="F3790" s="294"/>
      <c r="G3790" s="372" t="str">
        <f>"("&amp;B3790&amp;")"&amp;D3790</f>
        <v>(2)期末重要的已逾期未支付的利息情况</v>
      </c>
      <c r="H3790" s="1517" t="str">
        <f>$A3790</f>
        <v>2231b</v>
      </c>
      <c r="I3790" s="343" t="s">
        <v>2743</v>
      </c>
      <c r="J3790" s="301"/>
      <c r="K3790" s="391"/>
      <c r="L3790" s="345"/>
      <c r="M3790" s="301"/>
      <c r="N3790" s="391"/>
      <c r="O3790" s="345"/>
      <c r="P3790" s="301"/>
      <c r="Q3790" s="290" t="str">
        <f>IF($I3790="不适用","",IF(ROUND(SUM($H$3793:$I$3798),2)=0,"请输入",""))</f>
        <v>请输入</v>
      </c>
      <c r="S3790" s="364"/>
      <c r="Z3790" s="609" t="s">
        <v>3961</v>
      </c>
      <c r="AA3790" s="609" t="s">
        <v>5680</v>
      </c>
    </row>
    <row r="3791" spans="1:29" ht="0.75" customHeight="1" thickBot="1">
      <c r="A3791" s="2714"/>
      <c r="B3791" s="371"/>
      <c r="C3791" s="371"/>
      <c r="D3791" s="371"/>
      <c r="E3791" s="586"/>
      <c r="F3791" s="518"/>
      <c r="G3791" s="518" t="s">
        <v>3966</v>
      </c>
      <c r="H3791" s="304" t="s">
        <v>2747</v>
      </c>
      <c r="I3791" s="304" t="s">
        <v>3967</v>
      </c>
      <c r="J3791" s="291"/>
      <c r="K3791" s="291"/>
      <c r="L3791" s="291"/>
      <c r="M3791" s="291"/>
      <c r="S3791" s="364"/>
      <c r="Z3791" s="609" t="s">
        <v>3961</v>
      </c>
      <c r="AA3791" s="609" t="s">
        <v>5680</v>
      </c>
    </row>
    <row r="3792" spans="1:29" ht="24">
      <c r="A3792" s="2714"/>
      <c r="B3792" s="371"/>
      <c r="C3792" s="371"/>
      <c r="D3792" s="371"/>
      <c r="E3792" s="586" t="s">
        <v>2749</v>
      </c>
      <c r="F3792" s="363"/>
      <c r="G3792" s="2362" t="s">
        <v>1545</v>
      </c>
      <c r="H3792" s="2368" t="s">
        <v>3968</v>
      </c>
      <c r="I3792" s="2373" t="s">
        <v>3130</v>
      </c>
      <c r="J3792" s="355" t="s">
        <v>5307</v>
      </c>
      <c r="K3792" s="291"/>
      <c r="L3792" s="291"/>
      <c r="M3792" s="291"/>
      <c r="S3792" s="364"/>
      <c r="Z3792" s="609" t="s">
        <v>3961</v>
      </c>
      <c r="AA3792" s="609" t="s">
        <v>5680</v>
      </c>
    </row>
    <row r="3793" spans="1:27" ht="18">
      <c r="A3793" s="2714"/>
      <c r="B3793" s="371">
        <v>101</v>
      </c>
      <c r="C3793" s="371" t="s">
        <v>2791</v>
      </c>
      <c r="D3793" s="2716">
        <f t="shared" ref="D3793:D3798" si="424">IF(OR(G3793="*",G3793="",G3793=0),0,COUNTIF($G$3793:$G$3798,G3793))</f>
        <v>0</v>
      </c>
      <c r="E3793" s="2721">
        <v>1</v>
      </c>
      <c r="F3793" s="294"/>
      <c r="G3793" s="2375" t="s">
        <v>2792</v>
      </c>
      <c r="H3793" s="2275"/>
      <c r="I3793" s="2276"/>
      <c r="J3793" s="291"/>
      <c r="K3793" s="291"/>
      <c r="L3793" s="291"/>
      <c r="M3793" s="291"/>
      <c r="S3793" s="364"/>
      <c r="Z3793" s="609" t="s">
        <v>3961</v>
      </c>
      <c r="AA3793" s="609" t="s">
        <v>5680</v>
      </c>
    </row>
    <row r="3794" spans="1:27" ht="18">
      <c r="A3794" s="2714"/>
      <c r="B3794" s="371">
        <v>102</v>
      </c>
      <c r="C3794" s="371" t="s">
        <v>2791</v>
      </c>
      <c r="D3794" s="2716">
        <f t="shared" si="424"/>
        <v>0</v>
      </c>
      <c r="E3794" s="2721">
        <v>1</v>
      </c>
      <c r="F3794" s="294"/>
      <c r="G3794" s="2375" t="s">
        <v>2792</v>
      </c>
      <c r="H3794" s="2275"/>
      <c r="I3794" s="2276"/>
      <c r="J3794" s="291"/>
      <c r="K3794" s="291"/>
      <c r="L3794" s="291"/>
      <c r="M3794" s="291"/>
      <c r="S3794" s="364"/>
      <c r="Z3794" s="609" t="s">
        <v>3961</v>
      </c>
      <c r="AA3794" s="609" t="s">
        <v>5680</v>
      </c>
    </row>
    <row r="3795" spans="1:27" ht="18">
      <c r="A3795" s="2714"/>
      <c r="B3795" s="371">
        <v>103</v>
      </c>
      <c r="C3795" s="371" t="s">
        <v>2791</v>
      </c>
      <c r="D3795" s="2716">
        <f t="shared" si="424"/>
        <v>0</v>
      </c>
      <c r="E3795" s="2721">
        <v>1</v>
      </c>
      <c r="F3795" s="294"/>
      <c r="G3795" s="2375" t="s">
        <v>2792</v>
      </c>
      <c r="H3795" s="2275"/>
      <c r="I3795" s="2276"/>
      <c r="J3795" s="291"/>
      <c r="K3795" s="291"/>
      <c r="L3795" s="291"/>
      <c r="M3795" s="291"/>
      <c r="S3795" s="364"/>
      <c r="Z3795" s="609" t="s">
        <v>3961</v>
      </c>
      <c r="AA3795" s="609" t="s">
        <v>5680</v>
      </c>
    </row>
    <row r="3796" spans="1:27" ht="18">
      <c r="A3796" s="2714"/>
      <c r="B3796" s="371">
        <v>104</v>
      </c>
      <c r="C3796" s="371" t="s">
        <v>2791</v>
      </c>
      <c r="D3796" s="2716">
        <f t="shared" si="424"/>
        <v>0</v>
      </c>
      <c r="E3796" s="2721">
        <v>1</v>
      </c>
      <c r="F3796" s="294"/>
      <c r="G3796" s="2375" t="s">
        <v>2792</v>
      </c>
      <c r="H3796" s="2275"/>
      <c r="I3796" s="2276"/>
      <c r="J3796" s="291"/>
      <c r="K3796" s="291"/>
      <c r="L3796" s="291"/>
      <c r="M3796" s="291"/>
      <c r="S3796" s="364"/>
      <c r="Z3796" s="609" t="s">
        <v>3961</v>
      </c>
      <c r="AA3796" s="609" t="s">
        <v>5680</v>
      </c>
    </row>
    <row r="3797" spans="1:27" ht="18">
      <c r="A3797" s="2714"/>
      <c r="B3797" s="371">
        <v>105</v>
      </c>
      <c r="C3797" s="371" t="s">
        <v>2791</v>
      </c>
      <c r="D3797" s="2716">
        <f t="shared" si="424"/>
        <v>0</v>
      </c>
      <c r="E3797" s="2721">
        <v>1</v>
      </c>
      <c r="F3797" s="294"/>
      <c r="G3797" s="2375" t="s">
        <v>2792</v>
      </c>
      <c r="H3797" s="2275"/>
      <c r="I3797" s="2276"/>
      <c r="J3797" s="291"/>
      <c r="K3797" s="291"/>
      <c r="L3797" s="291"/>
      <c r="M3797" s="291"/>
      <c r="S3797" s="364"/>
      <c r="Z3797" s="609" t="s">
        <v>3961</v>
      </c>
      <c r="AA3797" s="609" t="s">
        <v>5680</v>
      </c>
    </row>
    <row r="3798" spans="1:27" ht="18.75" thickBot="1">
      <c r="A3798" s="2714"/>
      <c r="B3798" s="371"/>
      <c r="C3798" s="371"/>
      <c r="D3798" s="2716">
        <f t="shared" si="424"/>
        <v>1</v>
      </c>
      <c r="E3798" s="2721" t="s">
        <v>2751</v>
      </c>
      <c r="F3798" s="294"/>
      <c r="G3798" s="374" t="s">
        <v>2752</v>
      </c>
      <c r="H3798" s="1478">
        <f>SUMPRODUCT($E3792:$E3797,H3792:H3797)</f>
        <v>0</v>
      </c>
      <c r="I3798" s="2260"/>
      <c r="J3798" s="291"/>
      <c r="K3798" s="291"/>
      <c r="L3798" s="291"/>
      <c r="M3798" s="291"/>
      <c r="S3798" s="364"/>
      <c r="Z3798" s="609" t="s">
        <v>3961</v>
      </c>
      <c r="AA3798" s="609" t="s">
        <v>5680</v>
      </c>
    </row>
    <row r="3799" spans="1:27" ht="18">
      <c r="A3799" s="2714"/>
      <c r="B3799" s="371"/>
      <c r="C3799" s="371" t="s">
        <v>2755</v>
      </c>
      <c r="D3799" s="371"/>
      <c r="F3799" s="294"/>
      <c r="G3799" s="301"/>
      <c r="H3799" s="315"/>
      <c r="I3799" s="393"/>
      <c r="J3799" s="291"/>
      <c r="K3799" s="291"/>
      <c r="L3799" s="291"/>
      <c r="M3799" s="291"/>
      <c r="S3799" s="364"/>
      <c r="Z3799" s="609" t="s">
        <v>3961</v>
      </c>
      <c r="AA3799" s="609" t="s">
        <v>5680</v>
      </c>
    </row>
    <row r="3800" spans="1:27" ht="18">
      <c r="A3800" s="2714">
        <v>2232</v>
      </c>
      <c r="B3800" s="371">
        <v>42.2</v>
      </c>
      <c r="C3800" s="2716" t="str">
        <f>VLOOKUP($A3800,Sheet_Items,2,0)</f>
        <v>应付股利</v>
      </c>
      <c r="D3800" s="371"/>
      <c r="E3800" s="2716" t="s">
        <v>2739</v>
      </c>
      <c r="F3800" s="294"/>
      <c r="G3800" s="305" t="str">
        <f>B3800&amp;" "&amp;C3800</f>
        <v>42.2 应付股利</v>
      </c>
      <c r="H3800" s="306"/>
      <c r="I3800" s="306"/>
      <c r="J3800" s="306" t="s">
        <v>2740</v>
      </c>
      <c r="K3800" s="341">
        <f>VLOOKUP($A3800,Sheet_Trialbal,6,0)</f>
        <v>0</v>
      </c>
      <c r="L3800" s="342"/>
      <c r="M3800" s="306" t="s">
        <v>2741</v>
      </c>
      <c r="N3800" s="341">
        <f>VLOOKUP($A3800,Sheet_Trialbal,10,0)</f>
        <v>0</v>
      </c>
      <c r="O3800" s="306"/>
      <c r="P3800" s="301"/>
      <c r="S3800" s="364"/>
      <c r="Z3800" s="609" t="s">
        <v>3969</v>
      </c>
      <c r="AA3800" s="609" t="s">
        <v>5681</v>
      </c>
    </row>
    <row r="3801" spans="1:27" ht="18">
      <c r="A3801" s="2714" t="s">
        <v>1549</v>
      </c>
      <c r="B3801" s="371">
        <v>1</v>
      </c>
      <c r="C3801" s="371"/>
      <c r="D3801" s="2716" t="str">
        <f>VLOOKUP($A3801,Sheet_NoteList,2,0)</f>
        <v>应付股利明细项目</v>
      </c>
      <c r="E3801" s="2716" t="s">
        <v>2742</v>
      </c>
      <c r="F3801" s="294"/>
      <c r="G3801" s="307" t="str">
        <f>"("&amp;B3801&amp;")"&amp;D3801</f>
        <v>(1)应付股利明细项目</v>
      </c>
      <c r="H3801" s="1517" t="str">
        <f>$A3801</f>
        <v>2232a</v>
      </c>
      <c r="I3801" s="343" t="s">
        <v>2743</v>
      </c>
      <c r="J3801" s="301" t="s">
        <v>2744</v>
      </c>
      <c r="K3801" s="2210">
        <f>H3816</f>
        <v>0</v>
      </c>
      <c r="L3801" s="345" t="str">
        <f>IF($I3801="适用",IF(ROUND(K3800-K3801,2)=0,"F/S",ROUND(K3800-K3801,2)),"#N/A")</f>
        <v>F/S</v>
      </c>
      <c r="M3801" s="301" t="s">
        <v>2745</v>
      </c>
      <c r="N3801" s="2210">
        <f>I3816</f>
        <v>0</v>
      </c>
      <c r="O3801" s="345" t="str">
        <f>IF($I3801="适用",IF(ROUND(N3800-N3801,2)=0,"F/S",ROUND(N3800-N3801,2)),"#N/A")</f>
        <v>F/S</v>
      </c>
      <c r="P3801" s="301"/>
      <c r="Q3801" s="290" t="str">
        <f>IF($I3801="不适用","",IF(ROUND(SUM($H$3804:$I$3816),2)=0,"请输入",""))</f>
        <v>请输入</v>
      </c>
      <c r="S3801" s="364"/>
      <c r="Z3801" s="609" t="s">
        <v>3969</v>
      </c>
      <c r="AA3801" s="609" t="s">
        <v>5681</v>
      </c>
    </row>
    <row r="3802" spans="1:27" ht="0.75" customHeight="1" thickBot="1">
      <c r="A3802" s="2714"/>
      <c r="B3802" s="371"/>
      <c r="C3802" s="371"/>
      <c r="D3802" s="371"/>
      <c r="F3802" s="304"/>
      <c r="G3802" s="304" t="s">
        <v>3970</v>
      </c>
      <c r="H3802" s="304" t="s">
        <v>2747</v>
      </c>
      <c r="I3802" s="304" t="s">
        <v>2748</v>
      </c>
      <c r="J3802" s="291"/>
      <c r="K3802" s="291"/>
      <c r="L3802" s="291"/>
      <c r="M3802" s="291"/>
      <c r="N3802" s="291"/>
      <c r="S3802" s="364"/>
      <c r="Z3802" s="609" t="s">
        <v>3969</v>
      </c>
      <c r="AA3802" s="609" t="s">
        <v>5681</v>
      </c>
    </row>
    <row r="3803" spans="1:27" ht="18">
      <c r="A3803" s="2714"/>
      <c r="B3803" s="371"/>
      <c r="C3803" s="371"/>
      <c r="D3803" s="371"/>
      <c r="E3803" s="2716" t="s">
        <v>2749</v>
      </c>
      <c r="F3803" s="294"/>
      <c r="G3803" s="1516" t="s">
        <v>5358</v>
      </c>
      <c r="H3803" s="1454" t="str">
        <f>$V$2</f>
        <v>2019年12月31日</v>
      </c>
      <c r="I3803" s="1455" t="str">
        <f>$V$3</f>
        <v>2018年12月31日</v>
      </c>
      <c r="J3803" s="355" t="s">
        <v>5307</v>
      </c>
      <c r="K3803" s="291"/>
      <c r="L3803" s="291"/>
      <c r="M3803" s="291"/>
      <c r="N3803" s="291"/>
      <c r="S3803" s="364"/>
      <c r="Z3803" s="609" t="s">
        <v>3969</v>
      </c>
      <c r="AA3803" s="609" t="s">
        <v>5681</v>
      </c>
    </row>
    <row r="3804" spans="1:27" ht="18">
      <c r="A3804" s="2714"/>
      <c r="B3804" s="371">
        <v>101</v>
      </c>
      <c r="C3804" s="371"/>
      <c r="D3804" s="2716">
        <f t="shared" ref="D3804:D3816" si="425">IF(OR(G3804="*",G3804="",G3804=0),0,COUNTIF($G$3804:$G$3816,G3804))</f>
        <v>1</v>
      </c>
      <c r="E3804" s="2721">
        <v>1</v>
      </c>
      <c r="F3804" s="294"/>
      <c r="G3804" s="308" t="s">
        <v>3971</v>
      </c>
      <c r="H3804" s="309"/>
      <c r="I3804" s="346"/>
      <c r="J3804" s="291"/>
      <c r="K3804" s="291"/>
      <c r="L3804" s="291"/>
      <c r="M3804" s="291"/>
      <c r="N3804" s="291"/>
      <c r="S3804" s="364"/>
      <c r="Z3804" s="609" t="s">
        <v>3969</v>
      </c>
      <c r="AA3804" s="609" t="s">
        <v>5681</v>
      </c>
    </row>
    <row r="3805" spans="1:27" ht="18">
      <c r="A3805" s="2714"/>
      <c r="B3805" s="371">
        <v>102</v>
      </c>
      <c r="C3805" s="371"/>
      <c r="D3805" s="2716">
        <f t="shared" si="425"/>
        <v>1</v>
      </c>
      <c r="E3805" s="2721" t="s">
        <v>41</v>
      </c>
      <c r="F3805" s="294"/>
      <c r="G3805" s="308" t="s">
        <v>5227</v>
      </c>
      <c r="H3805" s="309"/>
      <c r="I3805" s="346"/>
      <c r="J3805" s="291"/>
      <c r="K3805" s="291"/>
      <c r="L3805" s="291"/>
      <c r="M3805" s="291"/>
      <c r="N3805" s="291"/>
      <c r="S3805" s="364"/>
      <c r="Z3805" s="609" t="s">
        <v>3969</v>
      </c>
      <c r="AA3805" s="609" t="s">
        <v>5681</v>
      </c>
    </row>
    <row r="3806" spans="1:27" ht="18">
      <c r="A3806" s="2714"/>
      <c r="B3806" s="371">
        <v>102.001</v>
      </c>
      <c r="C3806" s="371" t="s">
        <v>2791</v>
      </c>
      <c r="D3806" s="2716">
        <f t="shared" si="425"/>
        <v>1</v>
      </c>
      <c r="E3806" s="2721" t="s">
        <v>5229</v>
      </c>
      <c r="F3806" s="294"/>
      <c r="G3806" s="1489" t="s">
        <v>5228</v>
      </c>
      <c r="H3806" s="309"/>
      <c r="I3806" s="346"/>
      <c r="J3806" s="291"/>
      <c r="K3806" s="291"/>
      <c r="L3806" s="291"/>
      <c r="M3806" s="291"/>
      <c r="N3806" s="291"/>
      <c r="S3806" s="364"/>
      <c r="Z3806" s="609" t="s">
        <v>3969</v>
      </c>
      <c r="AA3806" s="609" t="s">
        <v>5681</v>
      </c>
    </row>
    <row r="3807" spans="1:27" ht="18">
      <c r="A3807" s="2714"/>
      <c r="B3807" s="371">
        <v>102.002</v>
      </c>
      <c r="C3807" s="371" t="s">
        <v>2791</v>
      </c>
      <c r="D3807" s="2716">
        <f t="shared" si="425"/>
        <v>0</v>
      </c>
      <c r="E3807" s="2721" t="s">
        <v>5229</v>
      </c>
      <c r="F3807" s="294"/>
      <c r="G3807" s="1489" t="s">
        <v>5226</v>
      </c>
      <c r="H3807" s="309"/>
      <c r="I3807" s="346"/>
      <c r="J3807" s="291"/>
      <c r="K3807" s="291"/>
      <c r="L3807" s="291"/>
      <c r="M3807" s="291"/>
      <c r="N3807" s="291"/>
      <c r="S3807" s="364"/>
      <c r="Z3807" s="609" t="s">
        <v>3969</v>
      </c>
      <c r="AA3807" s="609" t="s">
        <v>5681</v>
      </c>
    </row>
    <row r="3808" spans="1:27" ht="18">
      <c r="A3808" s="2714"/>
      <c r="B3808" s="371">
        <v>102.003</v>
      </c>
      <c r="C3808" s="371" t="s">
        <v>2791</v>
      </c>
      <c r="D3808" s="2716">
        <f t="shared" si="425"/>
        <v>0</v>
      </c>
      <c r="E3808" s="2721" t="s">
        <v>5229</v>
      </c>
      <c r="F3808" s="294"/>
      <c r="G3808" s="1489" t="s">
        <v>2792</v>
      </c>
      <c r="H3808" s="309"/>
      <c r="I3808" s="346"/>
      <c r="J3808" s="291"/>
      <c r="K3808" s="291"/>
      <c r="L3808" s="291"/>
      <c r="M3808" s="291"/>
      <c r="N3808" s="291"/>
      <c r="S3808" s="364"/>
      <c r="Z3808" s="609" t="s">
        <v>3969</v>
      </c>
      <c r="AA3808" s="609" t="s">
        <v>5681</v>
      </c>
    </row>
    <row r="3809" spans="1:29" ht="24">
      <c r="A3809" s="2714"/>
      <c r="B3809" s="371">
        <v>102.999</v>
      </c>
      <c r="C3809" s="371" t="s">
        <v>2793</v>
      </c>
      <c r="D3809" s="2716">
        <f t="shared" si="425"/>
        <v>1</v>
      </c>
      <c r="E3809" s="2721">
        <v>1</v>
      </c>
      <c r="F3809" s="294"/>
      <c r="G3809" s="308" t="s">
        <v>5230</v>
      </c>
      <c r="H3809" s="1476">
        <f>SUMIF($E$3803:$E$3815,$G3809,H$3803:H$3815)</f>
        <v>0</v>
      </c>
      <c r="I3809" s="1477">
        <f>SUMIF($E$3803:$E$3815,$G3809,I$3803:I$3815)</f>
        <v>0</v>
      </c>
      <c r="J3809" s="291"/>
      <c r="K3809" s="291"/>
      <c r="L3809" s="291"/>
      <c r="M3809" s="291"/>
      <c r="N3809" s="291"/>
      <c r="S3809" s="364"/>
      <c r="Z3809" s="609" t="s">
        <v>3969</v>
      </c>
      <c r="AA3809" s="609" t="s">
        <v>5681</v>
      </c>
    </row>
    <row r="3810" spans="1:29" ht="18">
      <c r="A3810" s="2714"/>
      <c r="B3810" s="371">
        <v>103</v>
      </c>
      <c r="C3810" s="371"/>
      <c r="D3810" s="2716">
        <f t="shared" si="425"/>
        <v>1</v>
      </c>
      <c r="E3810" s="2721" t="s">
        <v>41</v>
      </c>
      <c r="F3810" s="294"/>
      <c r="G3810" s="308" t="s">
        <v>5231</v>
      </c>
      <c r="H3810" s="309"/>
      <c r="I3810" s="346"/>
      <c r="J3810" s="291"/>
      <c r="K3810" s="291"/>
      <c r="L3810" s="291"/>
      <c r="M3810" s="291"/>
      <c r="N3810" s="291"/>
      <c r="S3810" s="364"/>
      <c r="Z3810" s="609" t="s">
        <v>3969</v>
      </c>
      <c r="AA3810" s="609" t="s">
        <v>5681</v>
      </c>
    </row>
    <row r="3811" spans="1:29" ht="18">
      <c r="A3811" s="2714"/>
      <c r="B3811" s="371">
        <v>103.001</v>
      </c>
      <c r="C3811" s="371" t="s">
        <v>2791</v>
      </c>
      <c r="D3811" s="2716">
        <f t="shared" si="425"/>
        <v>1</v>
      </c>
      <c r="E3811" s="2721" t="s">
        <v>5233</v>
      </c>
      <c r="F3811" s="294"/>
      <c r="G3811" s="1489" t="s">
        <v>5232</v>
      </c>
      <c r="H3811" s="309"/>
      <c r="I3811" s="346"/>
      <c r="J3811" s="291"/>
      <c r="K3811" s="291"/>
      <c r="L3811" s="291"/>
      <c r="M3811" s="291"/>
      <c r="N3811" s="291"/>
      <c r="S3811" s="364"/>
      <c r="Z3811" s="609" t="s">
        <v>3969</v>
      </c>
      <c r="AA3811" s="609" t="s">
        <v>5681</v>
      </c>
    </row>
    <row r="3812" spans="1:29" ht="18">
      <c r="A3812" s="2714"/>
      <c r="B3812" s="371">
        <v>103.002</v>
      </c>
      <c r="C3812" s="371" t="s">
        <v>2791</v>
      </c>
      <c r="D3812" s="2716">
        <f t="shared" si="425"/>
        <v>0</v>
      </c>
      <c r="E3812" s="2721" t="s">
        <v>5233</v>
      </c>
      <c r="F3812" s="294"/>
      <c r="G3812" s="1489" t="s">
        <v>5226</v>
      </c>
      <c r="H3812" s="309"/>
      <c r="I3812" s="346"/>
      <c r="J3812" s="291"/>
      <c r="K3812" s="291"/>
      <c r="L3812" s="291"/>
      <c r="M3812" s="291"/>
      <c r="N3812" s="291"/>
      <c r="S3812" s="364"/>
      <c r="Z3812" s="609" t="s">
        <v>3969</v>
      </c>
      <c r="AA3812" s="609" t="s">
        <v>5681</v>
      </c>
    </row>
    <row r="3813" spans="1:29" ht="18">
      <c r="A3813" s="2714"/>
      <c r="B3813" s="371">
        <v>103.003</v>
      </c>
      <c r="C3813" s="371" t="s">
        <v>6533</v>
      </c>
      <c r="D3813" s="2716">
        <f t="shared" si="425"/>
        <v>0</v>
      </c>
      <c r="E3813" s="2721" t="s">
        <v>5233</v>
      </c>
      <c r="F3813" s="294"/>
      <c r="G3813" s="1489" t="s">
        <v>2792</v>
      </c>
      <c r="H3813" s="309"/>
      <c r="I3813" s="346"/>
      <c r="J3813" s="291"/>
      <c r="K3813" s="291"/>
      <c r="L3813" s="291"/>
      <c r="M3813" s="291"/>
      <c r="N3813" s="291"/>
      <c r="S3813" s="364"/>
      <c r="Z3813" s="609" t="s">
        <v>3969</v>
      </c>
      <c r="AA3813" s="609" t="s">
        <v>5681</v>
      </c>
    </row>
    <row r="3814" spans="1:29" ht="24">
      <c r="A3814" s="2714"/>
      <c r="B3814" s="371">
        <v>103.999</v>
      </c>
      <c r="C3814" s="371" t="s">
        <v>2793</v>
      </c>
      <c r="D3814" s="2716">
        <f t="shared" si="425"/>
        <v>1</v>
      </c>
      <c r="E3814" s="2721">
        <v>1</v>
      </c>
      <c r="F3814" s="294"/>
      <c r="G3814" s="308" t="s">
        <v>5234</v>
      </c>
      <c r="H3814" s="1476">
        <f>SUMIF($E$3803:$E$3815,$G3814,H$3803:H$3815)</f>
        <v>0</v>
      </c>
      <c r="I3814" s="1477">
        <f>SUMIF($E$3803:$E$3815,$G3814,I$3803:I$3815)</f>
        <v>0</v>
      </c>
      <c r="J3814" s="291"/>
      <c r="K3814" s="291"/>
      <c r="L3814" s="291"/>
      <c r="M3814" s="291"/>
      <c r="N3814" s="291"/>
      <c r="S3814" s="364"/>
      <c r="Z3814" s="609" t="s">
        <v>3969</v>
      </c>
      <c r="AA3814" s="609" t="s">
        <v>5681</v>
      </c>
    </row>
    <row r="3815" spans="1:29" ht="18">
      <c r="A3815" s="2714"/>
      <c r="B3815" s="371">
        <v>104</v>
      </c>
      <c r="C3815" s="371" t="s">
        <v>2791</v>
      </c>
      <c r="D3815" s="2716">
        <f t="shared" si="425"/>
        <v>0</v>
      </c>
      <c r="E3815" s="2721">
        <v>1</v>
      </c>
      <c r="F3815" s="294"/>
      <c r="G3815" s="1489" t="s">
        <v>2792</v>
      </c>
      <c r="H3815" s="309"/>
      <c r="I3815" s="346"/>
      <c r="J3815" s="291"/>
      <c r="K3815" s="291"/>
      <c r="L3815" s="291"/>
      <c r="M3815" s="291"/>
      <c r="N3815" s="291"/>
      <c r="S3815" s="364"/>
      <c r="Z3815" s="609" t="s">
        <v>3969</v>
      </c>
      <c r="AA3815" s="609" t="s">
        <v>5681</v>
      </c>
    </row>
    <row r="3816" spans="1:29" ht="18.75" thickBot="1">
      <c r="A3816" s="2714"/>
      <c r="B3816" s="371"/>
      <c r="C3816" s="371"/>
      <c r="D3816" s="2716">
        <f t="shared" si="425"/>
        <v>1</v>
      </c>
      <c r="E3816" s="2721" t="s">
        <v>2751</v>
      </c>
      <c r="F3816" s="294"/>
      <c r="G3816" s="374" t="s">
        <v>5357</v>
      </c>
      <c r="H3816" s="1478">
        <f>SUMPRODUCT($E3803:$E3815,H3803:H3815)</f>
        <v>0</v>
      </c>
      <c r="I3816" s="1479">
        <f>SUMPRODUCT($E3803:$E3815,I3803:I3815)</f>
        <v>0</v>
      </c>
      <c r="J3816" s="1533" t="str">
        <f ca="1">HYPERLINK("#'"&amp;$G$1&amp;"'!"&amp;ADDRESS(ROW(Notes!K3764),COLUMN(Notes!K3764),4),"* 请勿删除此行！点击往勾稽单元格，F5+Enter返回")</f>
        <v>* 请勿删除此行！点击往勾稽单元格，F5+Enter返回</v>
      </c>
      <c r="K3816" s="291"/>
      <c r="L3816" s="291"/>
      <c r="M3816" s="291"/>
      <c r="N3816" s="291"/>
      <c r="S3816" s="364"/>
      <c r="Z3816" s="609" t="s">
        <v>3969</v>
      </c>
      <c r="AA3816" s="609" t="s">
        <v>5681</v>
      </c>
      <c r="AC3816" s="369" t="s">
        <v>6574</v>
      </c>
    </row>
    <row r="3817" spans="1:29" ht="18">
      <c r="A3817" s="2714"/>
      <c r="B3817" s="371"/>
      <c r="C3817" s="371" t="s">
        <v>2755</v>
      </c>
      <c r="D3817" s="371"/>
      <c r="F3817" s="294"/>
      <c r="G3817" s="301"/>
      <c r="H3817" s="315"/>
      <c r="I3817" s="315"/>
      <c r="J3817" s="350"/>
      <c r="K3817" s="291"/>
      <c r="L3817" s="291"/>
      <c r="M3817" s="291"/>
      <c r="N3817" s="291"/>
      <c r="S3817" s="364"/>
      <c r="Z3817" s="609" t="s">
        <v>3969</v>
      </c>
      <c r="AA3817" s="609" t="s">
        <v>5681</v>
      </c>
    </row>
    <row r="3818" spans="1:29" ht="24">
      <c r="A3818" s="2714" t="s">
        <v>1554</v>
      </c>
      <c r="B3818" s="371">
        <v>2</v>
      </c>
      <c r="C3818" s="371"/>
      <c r="D3818" s="2716" t="str">
        <f>VLOOKUP($A3818,Sheet_NoteList,2,0)</f>
        <v>期末重要的超过1年未支付的应付股利</v>
      </c>
      <c r="E3818" s="2716" t="s">
        <v>2742</v>
      </c>
      <c r="F3818" s="294"/>
      <c r="G3818" s="372" t="str">
        <f>"("&amp;B3818&amp;")"&amp;D3818</f>
        <v>(2)期末重要的超过1年未支付的应付股利</v>
      </c>
      <c r="H3818" s="1517" t="str">
        <f>$A3818</f>
        <v>2232b</v>
      </c>
      <c r="I3818" s="343" t="s">
        <v>2743</v>
      </c>
      <c r="J3818" s="301" t="s">
        <v>2744</v>
      </c>
      <c r="K3818" s="2210">
        <f>H3826</f>
        <v>0</v>
      </c>
      <c r="L3818" s="345"/>
      <c r="M3818" s="301"/>
      <c r="N3818" s="391"/>
      <c r="O3818" s="345"/>
      <c r="P3818" s="301"/>
      <c r="Q3818" s="290" t="str">
        <f>IF($I3818="不适用","",IF(ROUND(SUM($H$3821:$I$3826),2)=0,"请输入",""))</f>
        <v>请输入</v>
      </c>
      <c r="S3818" s="364"/>
      <c r="Z3818" s="609" t="s">
        <v>3969</v>
      </c>
      <c r="AA3818" s="609" t="s">
        <v>5681</v>
      </c>
    </row>
    <row r="3819" spans="1:29" ht="0.75" customHeight="1" thickBot="1">
      <c r="A3819" s="2714"/>
      <c r="B3819" s="371"/>
      <c r="C3819" s="371"/>
      <c r="D3819" s="371"/>
      <c r="F3819" s="304"/>
      <c r="G3819" s="304" t="s">
        <v>3972</v>
      </c>
      <c r="H3819" s="304" t="s">
        <v>2747</v>
      </c>
      <c r="I3819" s="304" t="s">
        <v>3973</v>
      </c>
      <c r="K3819" s="291"/>
      <c r="L3819" s="291"/>
      <c r="M3819" s="291"/>
      <c r="N3819" s="291"/>
      <c r="S3819" s="364"/>
      <c r="Z3819" s="609" t="s">
        <v>3969</v>
      </c>
      <c r="AA3819" s="609" t="s">
        <v>5681</v>
      </c>
    </row>
    <row r="3820" spans="1:29" ht="24">
      <c r="A3820" s="2714"/>
      <c r="B3820" s="371"/>
      <c r="C3820" s="371"/>
      <c r="D3820" s="371"/>
      <c r="E3820" s="2716" t="s">
        <v>2749</v>
      </c>
      <c r="F3820" s="294"/>
      <c r="G3820" s="378" t="s">
        <v>1465</v>
      </c>
      <c r="H3820" s="504" t="str">
        <f>$W$2&amp;"余额"</f>
        <v>2019年12月31日余额</v>
      </c>
      <c r="I3820" s="399" t="s">
        <v>3974</v>
      </c>
      <c r="J3820" s="355" t="s">
        <v>5307</v>
      </c>
      <c r="K3820" s="291"/>
      <c r="L3820" s="291"/>
      <c r="M3820" s="291"/>
      <c r="N3820" s="291"/>
      <c r="S3820" s="364"/>
      <c r="Z3820" s="609" t="s">
        <v>3969</v>
      </c>
      <c r="AA3820" s="609" t="s">
        <v>5681</v>
      </c>
    </row>
    <row r="3821" spans="1:29" ht="18">
      <c r="A3821" s="2714"/>
      <c r="B3821" s="371">
        <v>101</v>
      </c>
      <c r="C3821" s="371" t="s">
        <v>2791</v>
      </c>
      <c r="D3821" s="2716">
        <f t="shared" ref="D3821:D3826" si="426">IF(OR(G3821="*",G3821="",G3821=0),0,COUNTIF($G$3821:$G$3826,G3821))</f>
        <v>0</v>
      </c>
      <c r="E3821" s="2721">
        <v>1</v>
      </c>
      <c r="F3821" s="294"/>
      <c r="G3821" s="409" t="s">
        <v>2792</v>
      </c>
      <c r="H3821" s="383"/>
      <c r="I3821" s="492"/>
      <c r="K3821" s="291"/>
      <c r="L3821" s="291"/>
      <c r="M3821" s="291"/>
      <c r="N3821" s="291"/>
      <c r="S3821" s="364"/>
      <c r="Z3821" s="609" t="s">
        <v>3969</v>
      </c>
      <c r="AA3821" s="609" t="s">
        <v>5681</v>
      </c>
    </row>
    <row r="3822" spans="1:29" ht="18">
      <c r="A3822" s="2714"/>
      <c r="B3822" s="371">
        <v>102</v>
      </c>
      <c r="C3822" s="371" t="s">
        <v>2791</v>
      </c>
      <c r="D3822" s="2716">
        <f t="shared" si="426"/>
        <v>0</v>
      </c>
      <c r="E3822" s="2721">
        <v>1</v>
      </c>
      <c r="F3822" s="294"/>
      <c r="G3822" s="409" t="s">
        <v>2792</v>
      </c>
      <c r="H3822" s="383"/>
      <c r="I3822" s="492"/>
      <c r="K3822" s="291"/>
      <c r="L3822" s="291"/>
      <c r="M3822" s="291"/>
      <c r="N3822" s="291"/>
      <c r="S3822" s="364"/>
      <c r="Z3822" s="609" t="s">
        <v>3969</v>
      </c>
      <c r="AA3822" s="609" t="s">
        <v>5681</v>
      </c>
    </row>
    <row r="3823" spans="1:29" ht="18">
      <c r="A3823" s="2714"/>
      <c r="B3823" s="371">
        <v>103</v>
      </c>
      <c r="C3823" s="371" t="s">
        <v>2791</v>
      </c>
      <c r="D3823" s="2716">
        <f t="shared" si="426"/>
        <v>0</v>
      </c>
      <c r="E3823" s="2721">
        <v>1</v>
      </c>
      <c r="F3823" s="294"/>
      <c r="G3823" s="409" t="s">
        <v>2792</v>
      </c>
      <c r="H3823" s="383"/>
      <c r="I3823" s="492"/>
      <c r="K3823" s="291"/>
      <c r="L3823" s="291"/>
      <c r="M3823" s="291"/>
      <c r="N3823" s="291"/>
      <c r="S3823" s="364"/>
      <c r="Z3823" s="609" t="s">
        <v>3969</v>
      </c>
      <c r="AA3823" s="609" t="s">
        <v>5681</v>
      </c>
    </row>
    <row r="3824" spans="1:29" ht="18">
      <c r="A3824" s="2714"/>
      <c r="B3824" s="371">
        <v>104</v>
      </c>
      <c r="C3824" s="371" t="s">
        <v>2791</v>
      </c>
      <c r="D3824" s="2716">
        <f t="shared" si="426"/>
        <v>0</v>
      </c>
      <c r="E3824" s="2721">
        <v>1</v>
      </c>
      <c r="F3824" s="294"/>
      <c r="G3824" s="409" t="s">
        <v>2792</v>
      </c>
      <c r="H3824" s="383"/>
      <c r="I3824" s="492"/>
      <c r="K3824" s="291"/>
      <c r="L3824" s="291"/>
      <c r="M3824" s="291"/>
      <c r="N3824" s="291"/>
      <c r="S3824" s="364"/>
      <c r="Z3824" s="609" t="s">
        <v>3969</v>
      </c>
      <c r="AA3824" s="609" t="s">
        <v>5681</v>
      </c>
    </row>
    <row r="3825" spans="1:29" ht="18">
      <c r="A3825" s="2714"/>
      <c r="B3825" s="371">
        <v>105</v>
      </c>
      <c r="C3825" s="371" t="s">
        <v>2791</v>
      </c>
      <c r="D3825" s="2716">
        <f t="shared" si="426"/>
        <v>0</v>
      </c>
      <c r="E3825" s="2721">
        <v>1</v>
      </c>
      <c r="F3825" s="294"/>
      <c r="G3825" s="409" t="s">
        <v>2792</v>
      </c>
      <c r="H3825" s="383"/>
      <c r="I3825" s="492"/>
      <c r="K3825" s="291"/>
      <c r="L3825" s="291"/>
      <c r="M3825" s="291"/>
      <c r="N3825" s="291"/>
      <c r="S3825" s="364"/>
      <c r="Z3825" s="609" t="s">
        <v>3969</v>
      </c>
      <c r="AA3825" s="609" t="s">
        <v>5681</v>
      </c>
    </row>
    <row r="3826" spans="1:29" ht="18.75" thickBot="1">
      <c r="A3826" s="2714"/>
      <c r="B3826" s="371"/>
      <c r="C3826" s="371"/>
      <c r="D3826" s="2716">
        <f t="shared" si="426"/>
        <v>1</v>
      </c>
      <c r="E3826" s="2721" t="s">
        <v>2751</v>
      </c>
      <c r="F3826" s="294"/>
      <c r="G3826" s="403" t="s">
        <v>2752</v>
      </c>
      <c r="H3826" s="503">
        <f>SUMPRODUCT($E3820:$E3825,H3820:H3825)</f>
        <v>0</v>
      </c>
      <c r="I3826" s="513"/>
      <c r="K3826" s="291"/>
      <c r="L3826" s="291"/>
      <c r="M3826" s="291"/>
      <c r="N3826" s="291"/>
      <c r="S3826" s="364"/>
      <c r="Z3826" s="609" t="s">
        <v>3969</v>
      </c>
      <c r="AA3826" s="609" t="s">
        <v>5681</v>
      </c>
    </row>
    <row r="3827" spans="1:29" ht="18">
      <c r="A3827" s="2714"/>
      <c r="B3827" s="371"/>
      <c r="C3827" s="371" t="s">
        <v>2755</v>
      </c>
      <c r="D3827" s="371"/>
      <c r="F3827" s="294"/>
      <c r="G3827" s="301"/>
      <c r="H3827" s="349"/>
      <c r="I3827" s="350"/>
      <c r="J3827" s="350"/>
      <c r="K3827" s="291"/>
      <c r="L3827" s="291"/>
      <c r="M3827" s="291"/>
      <c r="N3827" s="291"/>
      <c r="S3827" s="364"/>
      <c r="Z3827" s="609" t="s">
        <v>3969</v>
      </c>
      <c r="AA3827" s="609" t="s">
        <v>5681</v>
      </c>
    </row>
    <row r="3828" spans="1:29" ht="18">
      <c r="A3828" s="2714">
        <v>2241</v>
      </c>
      <c r="B3828" s="371">
        <v>42.3</v>
      </c>
      <c r="C3828" s="2716" t="str">
        <f>VLOOKUP($A3828,Sheet_Items,2,0)</f>
        <v>其他应付款</v>
      </c>
      <c r="D3828" s="371"/>
      <c r="E3828" s="2716" t="s">
        <v>2739</v>
      </c>
      <c r="F3828" s="294"/>
      <c r="G3828" s="305" t="str">
        <f>B3828&amp;" "&amp;C3828</f>
        <v>42.3 其他应付款</v>
      </c>
      <c r="H3828" s="306"/>
      <c r="I3828" s="306"/>
      <c r="J3828" s="306" t="s">
        <v>2740</v>
      </c>
      <c r="K3828" s="341">
        <f>VLOOKUP($A3828,Sheet_Trialbal,6,0)</f>
        <v>0</v>
      </c>
      <c r="L3828" s="342"/>
      <c r="M3828" s="306" t="s">
        <v>2741</v>
      </c>
      <c r="N3828" s="341">
        <f>VLOOKUP($A3828,Sheet_Trialbal,10,0)</f>
        <v>396457994.25</v>
      </c>
      <c r="O3828" s="306"/>
      <c r="P3828" s="301"/>
      <c r="S3828" s="364"/>
      <c r="Z3828" s="609" t="s">
        <v>3975</v>
      </c>
      <c r="AA3828" s="609" t="s">
        <v>5682</v>
      </c>
    </row>
    <row r="3829" spans="1:29" ht="24">
      <c r="A3829" s="2714" t="s">
        <v>1559</v>
      </c>
      <c r="B3829" s="371">
        <v>1</v>
      </c>
      <c r="C3829" s="371"/>
      <c r="D3829" s="2716" t="str">
        <f>VLOOKUP($A3829,Sheet_NoteList,2,0)</f>
        <v>按款项性质列示其他应付款</v>
      </c>
      <c r="E3829" s="2716" t="s">
        <v>2742</v>
      </c>
      <c r="F3829" s="294"/>
      <c r="G3829" s="372" t="str">
        <f>"("&amp;B3829&amp;")"&amp;D3829</f>
        <v>(1)按款项性质列示其他应付款</v>
      </c>
      <c r="H3829" s="1517" t="str">
        <f>$A3829</f>
        <v>2241e</v>
      </c>
      <c r="I3829" s="343" t="s">
        <v>2743</v>
      </c>
      <c r="J3829" s="301" t="s">
        <v>2744</v>
      </c>
      <c r="K3829" s="2210">
        <f>H3837</f>
        <v>0</v>
      </c>
      <c r="L3829" s="345" t="str">
        <f>IF($I3829="适用",IF(ROUND(K$3828-K3829,2)=0,"F/S",ROUND(K$3828-K3829,2)),"#N/A")</f>
        <v>F/S</v>
      </c>
      <c r="M3829" s="301" t="s">
        <v>2745</v>
      </c>
      <c r="N3829" s="2210">
        <f>I3837</f>
        <v>0</v>
      </c>
      <c r="O3829" s="345">
        <f>IF($I3829="适用",IF(ROUND(N$3828-N3829,2)=0,"F/S",ROUND(N$3828-N3829,2)),"#N/A")</f>
        <v>396457994.25</v>
      </c>
      <c r="P3829" s="301"/>
      <c r="Q3829" s="290" t="str">
        <f>IF($I3829="不适用","",IF(ROUND(SUM($H$3832:$I$3837),2)=0,"请输入",""))</f>
        <v>请输入</v>
      </c>
      <c r="S3829" s="364"/>
      <c r="Z3829" s="609" t="s">
        <v>3975</v>
      </c>
      <c r="AA3829" s="609" t="s">
        <v>5682</v>
      </c>
    </row>
    <row r="3830" spans="1:29" ht="0.75" customHeight="1" thickBot="1">
      <c r="A3830" s="2714"/>
      <c r="B3830" s="371"/>
      <c r="C3830" s="371"/>
      <c r="D3830" s="371"/>
      <c r="E3830" s="586"/>
      <c r="F3830" s="586"/>
      <c r="G3830" s="586" t="s">
        <v>3976</v>
      </c>
      <c r="H3830" s="371" t="s">
        <v>2747</v>
      </c>
      <c r="I3830" s="371" t="s">
        <v>2748</v>
      </c>
      <c r="J3830" s="291"/>
      <c r="K3830" s="291"/>
      <c r="L3830" s="291"/>
      <c r="M3830" s="291"/>
      <c r="S3830" s="364"/>
      <c r="Z3830" s="609" t="s">
        <v>3975</v>
      </c>
      <c r="AA3830" s="609" t="s">
        <v>5682</v>
      </c>
    </row>
    <row r="3831" spans="1:29" ht="18">
      <c r="A3831" s="2714"/>
      <c r="B3831" s="371"/>
      <c r="C3831" s="371"/>
      <c r="D3831" s="371"/>
      <c r="E3831" s="586" t="s">
        <v>2749</v>
      </c>
      <c r="F3831" s="363"/>
      <c r="G3831" s="2362" t="s">
        <v>47</v>
      </c>
      <c r="H3831" s="2225" t="str">
        <f>$V$2</f>
        <v>2019年12月31日</v>
      </c>
      <c r="I3831" s="2226" t="str">
        <f>$V$3</f>
        <v>2018年12月31日</v>
      </c>
      <c r="J3831" s="355" t="s">
        <v>5307</v>
      </c>
      <c r="K3831" s="291"/>
      <c r="L3831" s="291"/>
      <c r="M3831" s="291"/>
      <c r="S3831" s="364"/>
      <c r="Z3831" s="609" t="s">
        <v>3975</v>
      </c>
      <c r="AA3831" s="609" t="s">
        <v>5682</v>
      </c>
    </row>
    <row r="3832" spans="1:29" ht="18">
      <c r="A3832" s="2714"/>
      <c r="B3832" s="371">
        <v>101</v>
      </c>
      <c r="C3832" s="371" t="s">
        <v>2791</v>
      </c>
      <c r="D3832" s="2716">
        <f t="shared" ref="D3832:D3837" si="427">IF(OR(G3832="*",G3832="",G3832=0),0,COUNTIF($G$3832:$G$3837,G3832))</f>
        <v>0</v>
      </c>
      <c r="E3832" s="2721">
        <v>1</v>
      </c>
      <c r="F3832" s="294"/>
      <c r="G3832" s="2375" t="s">
        <v>2792</v>
      </c>
      <c r="H3832" s="2275"/>
      <c r="I3832" s="2296"/>
      <c r="J3832" s="291"/>
      <c r="K3832" s="291"/>
      <c r="L3832" s="291"/>
      <c r="M3832" s="291"/>
      <c r="S3832" s="364"/>
      <c r="Z3832" s="609" t="s">
        <v>3975</v>
      </c>
      <c r="AA3832" s="609" t="s">
        <v>5682</v>
      </c>
    </row>
    <row r="3833" spans="1:29" ht="18">
      <c r="A3833" s="2714"/>
      <c r="B3833" s="371">
        <v>102</v>
      </c>
      <c r="C3833" s="371" t="s">
        <v>2791</v>
      </c>
      <c r="D3833" s="2716">
        <f t="shared" si="427"/>
        <v>0</v>
      </c>
      <c r="E3833" s="2721">
        <v>1</v>
      </c>
      <c r="F3833" s="294"/>
      <c r="G3833" s="2375" t="s">
        <v>2792</v>
      </c>
      <c r="H3833" s="2275"/>
      <c r="I3833" s="2296"/>
      <c r="J3833" s="291"/>
      <c r="K3833" s="291"/>
      <c r="L3833" s="291"/>
      <c r="M3833" s="291"/>
      <c r="S3833" s="364"/>
      <c r="Z3833" s="609" t="s">
        <v>3975</v>
      </c>
      <c r="AA3833" s="609" t="s">
        <v>5682</v>
      </c>
    </row>
    <row r="3834" spans="1:29" ht="18">
      <c r="A3834" s="2714"/>
      <c r="B3834" s="371">
        <v>103</v>
      </c>
      <c r="C3834" s="371" t="s">
        <v>2791</v>
      </c>
      <c r="D3834" s="2716">
        <f t="shared" si="427"/>
        <v>0</v>
      </c>
      <c r="E3834" s="2721">
        <v>1</v>
      </c>
      <c r="F3834" s="294"/>
      <c r="G3834" s="2375" t="s">
        <v>2792</v>
      </c>
      <c r="H3834" s="2275"/>
      <c r="I3834" s="2296"/>
      <c r="J3834" s="291"/>
      <c r="K3834" s="291"/>
      <c r="L3834" s="291"/>
      <c r="M3834" s="291"/>
      <c r="S3834" s="364"/>
      <c r="Z3834" s="609" t="s">
        <v>3975</v>
      </c>
      <c r="AA3834" s="609" t="s">
        <v>5682</v>
      </c>
    </row>
    <row r="3835" spans="1:29" ht="18">
      <c r="A3835" s="2714"/>
      <c r="B3835" s="371">
        <v>104</v>
      </c>
      <c r="C3835" s="371" t="s">
        <v>2791</v>
      </c>
      <c r="D3835" s="2716">
        <f t="shared" si="427"/>
        <v>0</v>
      </c>
      <c r="E3835" s="2721">
        <v>1</v>
      </c>
      <c r="F3835" s="294"/>
      <c r="G3835" s="2375" t="s">
        <v>2792</v>
      </c>
      <c r="H3835" s="2275"/>
      <c r="I3835" s="2296"/>
      <c r="J3835" s="291"/>
      <c r="K3835" s="291"/>
      <c r="L3835" s="291"/>
      <c r="M3835" s="291"/>
      <c r="S3835" s="364"/>
      <c r="Z3835" s="609" t="s">
        <v>3975</v>
      </c>
      <c r="AA3835" s="609" t="s">
        <v>5682</v>
      </c>
    </row>
    <row r="3836" spans="1:29" ht="18">
      <c r="A3836" s="2714"/>
      <c r="B3836" s="371">
        <v>105</v>
      </c>
      <c r="C3836" s="371" t="s">
        <v>2791</v>
      </c>
      <c r="D3836" s="2716">
        <f t="shared" si="427"/>
        <v>0</v>
      </c>
      <c r="E3836" s="2721">
        <v>1</v>
      </c>
      <c r="F3836" s="294"/>
      <c r="G3836" s="2375" t="s">
        <v>2792</v>
      </c>
      <c r="H3836" s="2275"/>
      <c r="I3836" s="2296"/>
      <c r="J3836" s="291"/>
      <c r="K3836" s="291"/>
      <c r="L3836" s="291"/>
      <c r="M3836" s="291"/>
      <c r="S3836" s="364"/>
      <c r="Z3836" s="609" t="s">
        <v>3975</v>
      </c>
      <c r="AA3836" s="609" t="s">
        <v>5682</v>
      </c>
    </row>
    <row r="3837" spans="1:29" ht="18.75" thickBot="1">
      <c r="A3837" s="2714"/>
      <c r="B3837" s="371"/>
      <c r="C3837" s="371"/>
      <c r="D3837" s="2716">
        <f t="shared" si="427"/>
        <v>1</v>
      </c>
      <c r="E3837" s="2721" t="s">
        <v>2751</v>
      </c>
      <c r="F3837" s="294"/>
      <c r="G3837" s="374" t="s">
        <v>2752</v>
      </c>
      <c r="H3837" s="1478">
        <f>SUMPRODUCT($E3831:$E3836,H3831:H3836)</f>
        <v>0</v>
      </c>
      <c r="I3837" s="1479">
        <f>SUMPRODUCT($E3831:$E3836,I3831:I3836)</f>
        <v>0</v>
      </c>
      <c r="J3837" s="1533" t="str">
        <f ca="1">HYPERLINK("#'"&amp;$G$1&amp;"'!"&amp;ADDRESS(ROW(Notes!K3765),COLUMN(Notes!K3765),4),"* 请勿删除此行！点击往勾稽单元格，F5+Enter返回")</f>
        <v>* 请勿删除此行！点击往勾稽单元格，F5+Enter返回</v>
      </c>
      <c r="K3837" s="291"/>
      <c r="L3837" s="291"/>
      <c r="M3837" s="291"/>
      <c r="S3837" s="364"/>
      <c r="Z3837" s="609" t="s">
        <v>3975</v>
      </c>
      <c r="AA3837" s="609" t="s">
        <v>5682</v>
      </c>
      <c r="AC3837" s="369" t="s">
        <v>6574</v>
      </c>
    </row>
    <row r="3838" spans="1:29" ht="18">
      <c r="A3838" s="2714"/>
      <c r="B3838" s="371"/>
      <c r="C3838" s="371" t="s">
        <v>2755</v>
      </c>
      <c r="D3838" s="371"/>
      <c r="F3838" s="294"/>
      <c r="G3838" s="301"/>
      <c r="H3838" s="315"/>
      <c r="I3838" s="315"/>
      <c r="J3838" s="291"/>
      <c r="K3838" s="291"/>
      <c r="L3838" s="291"/>
      <c r="M3838" s="291"/>
      <c r="S3838" s="364"/>
      <c r="Z3838" s="609" t="s">
        <v>3975</v>
      </c>
      <c r="AA3838" s="609" t="s">
        <v>5682</v>
      </c>
    </row>
    <row r="3839" spans="1:29" ht="18">
      <c r="A3839" s="2714" t="s">
        <v>1569</v>
      </c>
      <c r="B3839" s="371">
        <v>2</v>
      </c>
      <c r="C3839" s="371"/>
      <c r="D3839" s="2716" t="str">
        <f>VLOOKUP($A3839,Sheet_NoteList,2,0)</f>
        <v>其他应付款按账龄列示</v>
      </c>
      <c r="E3839" s="2716" t="s">
        <v>6532</v>
      </c>
      <c r="F3839" s="294"/>
      <c r="G3839" s="372" t="str">
        <f>"("&amp;B3839&amp;")"&amp;D3839</f>
        <v>(2)其他应付款按账龄列示</v>
      </c>
      <c r="H3839" s="1517" t="str">
        <f>$A3839</f>
        <v>2241f</v>
      </c>
      <c r="I3839" s="343" t="s">
        <v>5569</v>
      </c>
      <c r="J3839" s="301" t="s">
        <v>5567</v>
      </c>
      <c r="K3839" s="2210">
        <f>H3847</f>
        <v>0</v>
      </c>
      <c r="L3839" s="345" t="str">
        <f>IF($I3839="适用",IF(ROUND(K$3828-K3839,2)=0,"F/S",ROUND(K$3828-K3839,2)),"#N/A")</f>
        <v>F/S</v>
      </c>
      <c r="M3839" s="301" t="s">
        <v>5568</v>
      </c>
      <c r="N3839" s="2210">
        <f>I3847</f>
        <v>0</v>
      </c>
      <c r="O3839" s="345">
        <f>IF($I3839="适用",IF(ROUND(N$3828-N3839,2)=0,"F/S",ROUND(N$3828-N3839,2)),"#N/A")</f>
        <v>396457994.25</v>
      </c>
      <c r="P3839" s="301"/>
      <c r="S3839" s="364"/>
      <c r="Z3839" s="609" t="s">
        <v>3975</v>
      </c>
      <c r="AA3839" s="609" t="s">
        <v>5682</v>
      </c>
    </row>
    <row r="3840" spans="1:29" ht="0.75" customHeight="1" thickBot="1">
      <c r="A3840" s="2714"/>
      <c r="B3840" s="371"/>
      <c r="C3840" s="371"/>
      <c r="D3840" s="371"/>
      <c r="F3840" s="371"/>
      <c r="G3840" s="371" t="s">
        <v>3977</v>
      </c>
      <c r="H3840" s="371" t="s">
        <v>2747</v>
      </c>
      <c r="I3840" s="371" t="s">
        <v>2748</v>
      </c>
      <c r="J3840" s="291"/>
      <c r="K3840" s="291"/>
      <c r="L3840" s="291"/>
      <c r="M3840" s="291"/>
      <c r="S3840" s="364"/>
      <c r="Z3840" s="609" t="s">
        <v>3975</v>
      </c>
      <c r="AA3840" s="609" t="s">
        <v>5682</v>
      </c>
    </row>
    <row r="3841" spans="1:27" ht="18">
      <c r="A3841" s="2714"/>
      <c r="B3841" s="371"/>
      <c r="C3841" s="371"/>
      <c r="D3841" s="371"/>
      <c r="E3841" s="2716" t="s">
        <v>2749</v>
      </c>
      <c r="F3841" s="294"/>
      <c r="G3841" s="1615" t="s">
        <v>1439</v>
      </c>
      <c r="H3841" s="1613" t="s">
        <v>2775</v>
      </c>
      <c r="I3841" s="1614" t="s">
        <v>2776</v>
      </c>
      <c r="J3841" s="355" t="s">
        <v>6176</v>
      </c>
      <c r="K3841" s="291"/>
      <c r="L3841" s="291"/>
      <c r="M3841" s="291"/>
      <c r="S3841" s="364"/>
      <c r="Z3841" s="609" t="s">
        <v>3975</v>
      </c>
      <c r="AA3841" s="609" t="s">
        <v>5682</v>
      </c>
    </row>
    <row r="3842" spans="1:27" ht="18">
      <c r="A3842" s="2714"/>
      <c r="B3842" s="371">
        <v>101</v>
      </c>
      <c r="C3842" s="371" t="s">
        <v>2791</v>
      </c>
      <c r="D3842" s="2716">
        <f t="shared" ref="D3842:D3847" si="428">IF(OR(G3842="*",G3842="",G3842=0),0,COUNTIF($G$3842:$G$3847,G3842))</f>
        <v>1</v>
      </c>
      <c r="E3842" s="2721">
        <v>1</v>
      </c>
      <c r="F3842" s="294"/>
      <c r="G3842" s="1616" t="s">
        <v>3855</v>
      </c>
      <c r="H3842" s="309"/>
      <c r="I3842" s="346"/>
      <c r="J3842" s="579"/>
      <c r="K3842" s="291"/>
      <c r="L3842" s="291"/>
      <c r="M3842" s="291"/>
      <c r="S3842" s="364"/>
      <c r="Z3842" s="609" t="s">
        <v>3975</v>
      </c>
      <c r="AA3842" s="609" t="s">
        <v>5682</v>
      </c>
    </row>
    <row r="3843" spans="1:27" ht="18">
      <c r="A3843" s="2714"/>
      <c r="B3843" s="371">
        <v>102</v>
      </c>
      <c r="C3843" s="371" t="s">
        <v>2791</v>
      </c>
      <c r="D3843" s="2716">
        <f t="shared" si="428"/>
        <v>1</v>
      </c>
      <c r="E3843" s="2721">
        <v>1</v>
      </c>
      <c r="F3843" s="294"/>
      <c r="G3843" s="1616" t="s">
        <v>3856</v>
      </c>
      <c r="H3843" s="309"/>
      <c r="I3843" s="346"/>
      <c r="J3843" s="291"/>
      <c r="K3843" s="291"/>
      <c r="L3843" s="291"/>
      <c r="M3843" s="291"/>
      <c r="S3843" s="364"/>
      <c r="Z3843" s="609" t="s">
        <v>3975</v>
      </c>
      <c r="AA3843" s="609" t="s">
        <v>5682</v>
      </c>
    </row>
    <row r="3844" spans="1:27" ht="18">
      <c r="A3844" s="2714"/>
      <c r="B3844" s="371">
        <v>103</v>
      </c>
      <c r="C3844" s="371" t="s">
        <v>2791</v>
      </c>
      <c r="D3844" s="2716">
        <f t="shared" si="428"/>
        <v>1</v>
      </c>
      <c r="E3844" s="2721">
        <v>1</v>
      </c>
      <c r="F3844" s="294"/>
      <c r="G3844" s="1616" t="s">
        <v>3857</v>
      </c>
      <c r="H3844" s="309"/>
      <c r="I3844" s="346"/>
      <c r="J3844" s="291"/>
      <c r="K3844" s="291"/>
      <c r="L3844" s="291"/>
      <c r="M3844" s="291"/>
      <c r="S3844" s="364"/>
      <c r="Z3844" s="609" t="s">
        <v>3975</v>
      </c>
      <c r="AA3844" s="609" t="s">
        <v>5682</v>
      </c>
    </row>
    <row r="3845" spans="1:27" ht="18">
      <c r="A3845" s="2714"/>
      <c r="B3845" s="371">
        <v>104</v>
      </c>
      <c r="C3845" s="371" t="s">
        <v>2791</v>
      </c>
      <c r="D3845" s="2716">
        <f t="shared" si="428"/>
        <v>1</v>
      </c>
      <c r="E3845" s="2721">
        <v>1</v>
      </c>
      <c r="F3845" s="294"/>
      <c r="G3845" s="1616" t="s">
        <v>3108</v>
      </c>
      <c r="H3845" s="309"/>
      <c r="I3845" s="346"/>
      <c r="J3845" s="291"/>
      <c r="K3845" s="291"/>
      <c r="L3845" s="291"/>
      <c r="M3845" s="291"/>
      <c r="S3845" s="364"/>
      <c r="Z3845" s="609" t="s">
        <v>3975</v>
      </c>
      <c r="AA3845" s="609" t="s">
        <v>5682</v>
      </c>
    </row>
    <row r="3846" spans="1:27" ht="18">
      <c r="A3846" s="2714"/>
      <c r="B3846" s="371">
        <v>105</v>
      </c>
      <c r="C3846" s="371" t="s">
        <v>2791</v>
      </c>
      <c r="D3846" s="2716">
        <f t="shared" si="428"/>
        <v>0</v>
      </c>
      <c r="E3846" s="2721">
        <v>1</v>
      </c>
      <c r="F3846" s="294"/>
      <c r="G3846" s="1616" t="s">
        <v>2792</v>
      </c>
      <c r="H3846" s="309"/>
      <c r="I3846" s="346"/>
      <c r="J3846" s="291"/>
      <c r="K3846" s="291"/>
      <c r="L3846" s="291"/>
      <c r="M3846" s="291"/>
      <c r="S3846" s="364"/>
      <c r="Z3846" s="609" t="s">
        <v>3975</v>
      </c>
      <c r="AA3846" s="609" t="s">
        <v>5682</v>
      </c>
    </row>
    <row r="3847" spans="1:27" ht="18.75" thickBot="1">
      <c r="A3847" s="2714"/>
      <c r="B3847" s="371"/>
      <c r="C3847" s="371"/>
      <c r="D3847" s="2716">
        <f t="shared" si="428"/>
        <v>1</v>
      </c>
      <c r="E3847" s="2721" t="s">
        <v>2751</v>
      </c>
      <c r="F3847" s="294"/>
      <c r="G3847" s="1529" t="s">
        <v>2752</v>
      </c>
      <c r="H3847" s="1527">
        <f>SUMPRODUCT($E3841:$E3846,H3841:H3846)</f>
        <v>0</v>
      </c>
      <c r="I3847" s="1528">
        <f>SUMPRODUCT($E3841:$E3846,I3841:I3846)</f>
        <v>0</v>
      </c>
      <c r="J3847" s="291"/>
      <c r="K3847" s="291"/>
      <c r="L3847" s="291"/>
      <c r="M3847" s="291"/>
      <c r="S3847" s="364"/>
      <c r="Z3847" s="609" t="s">
        <v>3975</v>
      </c>
      <c r="AA3847" s="609" t="s">
        <v>5682</v>
      </c>
    </row>
    <row r="3848" spans="1:27" ht="18.75" thickBot="1">
      <c r="A3848" s="2714"/>
      <c r="B3848" s="371"/>
      <c r="C3848" s="371" t="s">
        <v>2755</v>
      </c>
      <c r="D3848" s="371"/>
      <c r="F3848" s="294"/>
      <c r="G3848" s="301"/>
      <c r="H3848" s="527" t="s">
        <v>3002</v>
      </c>
      <c r="I3848" s="527" t="s">
        <v>3002</v>
      </c>
      <c r="J3848" s="291"/>
      <c r="K3848" s="291"/>
      <c r="L3848" s="291"/>
      <c r="M3848" s="291"/>
      <c r="S3848" s="364"/>
      <c r="Z3848" s="609" t="s">
        <v>3975</v>
      </c>
      <c r="AA3848" s="609" t="s">
        <v>5682</v>
      </c>
    </row>
    <row r="3849" spans="1:27" ht="18.75" thickTop="1">
      <c r="A3849" s="2714"/>
      <c r="B3849" s="371"/>
      <c r="C3849" s="371" t="s">
        <v>2565</v>
      </c>
      <c r="D3849" s="371"/>
      <c r="F3849" s="294"/>
      <c r="G3849" s="1561" t="s">
        <v>5367</v>
      </c>
      <c r="H3849" s="1550" t="str">
        <f>G3829</f>
        <v>(1)按款项性质列示其他应付款</v>
      </c>
      <c r="I3849" s="1552"/>
      <c r="J3849" s="1553" t="s">
        <v>5368</v>
      </c>
      <c r="K3849" s="291"/>
      <c r="L3849" s="291"/>
      <c r="M3849" s="291"/>
      <c r="S3849" s="364"/>
      <c r="Z3849" s="609" t="s">
        <v>3975</v>
      </c>
      <c r="AA3849" s="609" t="s">
        <v>5682</v>
      </c>
    </row>
    <row r="3850" spans="1:27" ht="18">
      <c r="A3850" s="2714"/>
      <c r="B3850" s="371"/>
      <c r="C3850" s="371" t="s">
        <v>2565</v>
      </c>
      <c r="D3850" s="371"/>
      <c r="F3850" s="294"/>
      <c r="G3850" s="316" t="str">
        <f>"注释A:"&amp; G3837</f>
        <v>注释A:合       计</v>
      </c>
      <c r="H3850" s="2252">
        <f ca="1">HYPERLINK("#'"&amp;$G$1&amp;"'!"&amp;ADDRESS(ROW(Notes!H3837),COLUMN(Notes!H3837),4),H3837)</f>
        <v>0</v>
      </c>
      <c r="I3850" s="2252">
        <f ca="1">HYPERLINK("#'"&amp;$G$1&amp;"'!"&amp;ADDRESS(ROW(Notes!I3837),COLUMN(Notes!I3837),4),I3837)</f>
        <v>0</v>
      </c>
      <c r="J3850" s="2632" t="str">
        <f>H3829</f>
        <v>2241e</v>
      </c>
      <c r="K3850" s="291"/>
      <c r="L3850" s="291"/>
      <c r="M3850" s="291"/>
      <c r="S3850" s="364"/>
      <c r="Z3850" s="609" t="s">
        <v>3975</v>
      </c>
      <c r="AA3850" s="609" t="s">
        <v>5682</v>
      </c>
    </row>
    <row r="3851" spans="1:27" ht="18">
      <c r="A3851" s="2714"/>
      <c r="B3851" s="371"/>
      <c r="C3851" s="371" t="s">
        <v>2565</v>
      </c>
      <c r="D3851" s="371"/>
      <c r="F3851" s="294"/>
      <c r="G3851" s="316" t="str">
        <f>"本注释B:"&amp; G3847</f>
        <v>本注释B:合       计</v>
      </c>
      <c r="H3851" s="456">
        <f>H3837</f>
        <v>0</v>
      </c>
      <c r="I3851" s="456">
        <f>I3837</f>
        <v>0</v>
      </c>
      <c r="J3851" s="2638" t="s">
        <v>1569</v>
      </c>
      <c r="K3851" s="291"/>
      <c r="L3851" s="291"/>
      <c r="M3851" s="291"/>
      <c r="S3851" s="364"/>
      <c r="Z3851" s="609" t="s">
        <v>3975</v>
      </c>
      <c r="AA3851" s="609" t="s">
        <v>5682</v>
      </c>
    </row>
    <row r="3852" spans="1:27" ht="18.75" thickBot="1">
      <c r="A3852" s="2714"/>
      <c r="B3852" s="371"/>
      <c r="C3852" s="371" t="s">
        <v>2565</v>
      </c>
      <c r="D3852" s="371"/>
      <c r="F3852" s="294"/>
      <c r="G3852" s="1562" t="s">
        <v>2757</v>
      </c>
      <c r="H3852" s="1531">
        <f ca="1">IF(AND(H3850="",H3851=""),"",ROUND(H3850-H3851,2))</f>
        <v>0</v>
      </c>
      <c r="I3852" s="1531">
        <f ca="1">IF(AND(I3850="",I3851=""),"",ROUND(I3850-I3851,2))</f>
        <v>0</v>
      </c>
      <c r="J3852" s="1555"/>
      <c r="K3852" s="291"/>
      <c r="L3852" s="291"/>
      <c r="M3852" s="291"/>
      <c r="S3852" s="364"/>
      <c r="Z3852" s="609" t="s">
        <v>3975</v>
      </c>
      <c r="AA3852" s="609" t="s">
        <v>5682</v>
      </c>
    </row>
    <row r="3853" spans="1:27" ht="18.75" thickTop="1">
      <c r="A3853" s="2714"/>
      <c r="B3853" s="371"/>
      <c r="C3853" s="371" t="s">
        <v>2565</v>
      </c>
      <c r="D3853" s="371"/>
      <c r="F3853" s="294"/>
      <c r="G3853" s="354"/>
      <c r="H3853" s="459" t="str">
        <f ca="1">IF(OR(H3852=0,H3852=""),"√","？")</f>
        <v>√</v>
      </c>
      <c r="I3853" s="459" t="str">
        <f ca="1">IF(OR(I3852=0,I3852=""),"√","？")</f>
        <v>√</v>
      </c>
      <c r="J3853" s="354"/>
      <c r="K3853" s="291"/>
      <c r="L3853" s="291"/>
      <c r="M3853" s="291"/>
      <c r="S3853" s="364"/>
      <c r="Z3853" s="609" t="s">
        <v>3975</v>
      </c>
      <c r="AA3853" s="609" t="s">
        <v>5682</v>
      </c>
    </row>
    <row r="3854" spans="1:27" ht="18">
      <c r="A3854" s="2714"/>
      <c r="B3854" s="371"/>
      <c r="C3854" s="371" t="s">
        <v>2565</v>
      </c>
      <c r="D3854" s="371"/>
      <c r="F3854" s="294"/>
      <c r="G3854" s="460" t="s">
        <v>2759</v>
      </c>
      <c r="H3854" s="461"/>
      <c r="I3854" s="461"/>
      <c r="J3854" s="354"/>
      <c r="K3854" s="345">
        <f ca="1">SUMIF($H$3853:$J$3853,"&lt;&gt;√",$H$3852:$J$3852)</f>
        <v>0</v>
      </c>
      <c r="L3854" s="475" t="str">
        <f ca="1">IF(OR(K3854=0,K3854=""),"√","？")</f>
        <v>√</v>
      </c>
      <c r="M3854" s="291"/>
      <c r="S3854" s="364"/>
      <c r="Z3854" s="609" t="s">
        <v>3975</v>
      </c>
      <c r="AA3854" s="609" t="s">
        <v>5682</v>
      </c>
    </row>
    <row r="3855" spans="1:27" ht="18">
      <c r="A3855" s="2714"/>
      <c r="B3855" s="371"/>
      <c r="C3855" s="371" t="s">
        <v>2565</v>
      </c>
      <c r="D3855" s="371"/>
      <c r="F3855" s="294"/>
      <c r="G3855" s="354"/>
      <c r="H3855" s="461"/>
      <c r="I3855" s="461"/>
      <c r="J3855" s="354"/>
      <c r="K3855" s="291"/>
      <c r="L3855" s="291"/>
      <c r="M3855" s="291"/>
      <c r="S3855" s="364"/>
      <c r="Z3855" s="609" t="s">
        <v>3975</v>
      </c>
      <c r="AA3855" s="609" t="s">
        <v>5682</v>
      </c>
    </row>
    <row r="3856" spans="1:27" ht="24">
      <c r="A3856" s="2714" t="s">
        <v>1564</v>
      </c>
      <c r="B3856" s="371">
        <v>3</v>
      </c>
      <c r="C3856" s="371"/>
      <c r="D3856" s="2716" t="str">
        <f>VLOOKUP($A3856,Sheet_NoteList,2,0)</f>
        <v>期末账龄超过1年的重要其他应付款</v>
      </c>
      <c r="E3856" s="2716" t="s">
        <v>2742</v>
      </c>
      <c r="F3856" s="294"/>
      <c r="G3856" s="372" t="str">
        <f>"("&amp;B3856&amp;")"&amp;D3856</f>
        <v>(3)期末账龄超过1年的重要其他应付款</v>
      </c>
      <c r="H3856" s="1517" t="str">
        <f>$A3856</f>
        <v>2241c</v>
      </c>
      <c r="I3856" s="343" t="s">
        <v>2743</v>
      </c>
      <c r="J3856" s="301" t="s">
        <v>2744</v>
      </c>
      <c r="K3856" s="2210">
        <f>H3864</f>
        <v>0</v>
      </c>
      <c r="L3856" s="345" t="str">
        <f>IF($I3856="适用",IF(ROUND(K$3828-K3856,2)&gt;=0,"","#Logical!"),"#N/A")</f>
        <v/>
      </c>
      <c r="M3856" s="301"/>
      <c r="N3856" s="3071"/>
      <c r="O3856" s="315"/>
      <c r="P3856" s="301"/>
      <c r="Q3856" s="290" t="str">
        <f>IF($I3856="不适用","",IF(ROUND(SUM($H$3859:$I$3864),2)=0,"请输入",""))</f>
        <v>请输入</v>
      </c>
      <c r="S3856" s="364"/>
      <c r="Z3856" s="609" t="s">
        <v>3975</v>
      </c>
      <c r="AA3856" s="609" t="s">
        <v>5682</v>
      </c>
    </row>
    <row r="3857" spans="1:27" ht="0.75" customHeight="1" thickBot="1">
      <c r="A3857" s="2714"/>
      <c r="B3857" s="371"/>
      <c r="C3857" s="371"/>
      <c r="D3857" s="371"/>
      <c r="E3857" s="586"/>
      <c r="F3857" s="586"/>
      <c r="G3857" s="586" t="s">
        <v>3978</v>
      </c>
      <c r="H3857" s="371" t="s">
        <v>2849</v>
      </c>
      <c r="I3857" s="371" t="s">
        <v>3880</v>
      </c>
      <c r="J3857" s="387"/>
      <c r="K3857" s="291"/>
      <c r="L3857" s="291"/>
      <c r="M3857" s="291"/>
      <c r="N3857" s="291"/>
      <c r="S3857" s="364"/>
      <c r="Z3857" s="609" t="s">
        <v>3975</v>
      </c>
      <c r="AA3857" s="609" t="s">
        <v>5682</v>
      </c>
    </row>
    <row r="3858" spans="1:27" ht="24">
      <c r="A3858" s="2714"/>
      <c r="B3858" s="371"/>
      <c r="C3858" s="371"/>
      <c r="D3858" s="371"/>
      <c r="E3858" s="586" t="s">
        <v>2749</v>
      </c>
      <c r="F3858" s="363"/>
      <c r="G3858" s="2362" t="s">
        <v>47</v>
      </c>
      <c r="H3858" s="2225" t="str">
        <f>$W$2&amp;"余额"</f>
        <v>2019年12月31日余额</v>
      </c>
      <c r="I3858" s="2373" t="s">
        <v>5251</v>
      </c>
      <c r="J3858" s="355" t="s">
        <v>5307</v>
      </c>
      <c r="K3858" s="291"/>
      <c r="L3858" s="291"/>
      <c r="M3858" s="291"/>
      <c r="N3858" s="291"/>
      <c r="S3858" s="364"/>
      <c r="Z3858" s="609" t="s">
        <v>3975</v>
      </c>
      <c r="AA3858" s="609" t="s">
        <v>5682</v>
      </c>
    </row>
    <row r="3859" spans="1:27" ht="18">
      <c r="A3859" s="2714"/>
      <c r="B3859" s="371">
        <v>101</v>
      </c>
      <c r="C3859" s="371" t="s">
        <v>2791</v>
      </c>
      <c r="D3859" s="2716">
        <f t="shared" ref="D3859:D3864" si="429">IF(OR(G3859="*",G3859="",G3859=0),0,COUNTIF($G$3859:$G$3864,G3859))</f>
        <v>0</v>
      </c>
      <c r="E3859" s="2721">
        <v>1</v>
      </c>
      <c r="F3859" s="294"/>
      <c r="G3859" s="2375" t="s">
        <v>2792</v>
      </c>
      <c r="H3859" s="2275"/>
      <c r="I3859" s="2276"/>
      <c r="J3859" s="291"/>
      <c r="K3859" s="291"/>
      <c r="L3859" s="291"/>
      <c r="M3859" s="291"/>
      <c r="N3859" s="291"/>
      <c r="S3859" s="364"/>
      <c r="Z3859" s="609" t="s">
        <v>3975</v>
      </c>
      <c r="AA3859" s="609" t="s">
        <v>5682</v>
      </c>
    </row>
    <row r="3860" spans="1:27" ht="18">
      <c r="A3860" s="2714"/>
      <c r="B3860" s="371">
        <v>102</v>
      </c>
      <c r="C3860" s="371" t="s">
        <v>2791</v>
      </c>
      <c r="D3860" s="2716">
        <f t="shared" si="429"/>
        <v>0</v>
      </c>
      <c r="E3860" s="2721">
        <v>1</v>
      </c>
      <c r="F3860" s="294"/>
      <c r="G3860" s="2375" t="s">
        <v>2792</v>
      </c>
      <c r="H3860" s="2275"/>
      <c r="I3860" s="2276"/>
      <c r="J3860" s="291"/>
      <c r="K3860" s="291"/>
      <c r="L3860" s="291"/>
      <c r="M3860" s="291"/>
      <c r="N3860" s="291"/>
      <c r="S3860" s="364"/>
      <c r="Z3860" s="609" t="s">
        <v>3975</v>
      </c>
      <c r="AA3860" s="609" t="s">
        <v>5682</v>
      </c>
    </row>
    <row r="3861" spans="1:27" ht="18">
      <c r="A3861" s="2714"/>
      <c r="B3861" s="371">
        <v>103</v>
      </c>
      <c r="C3861" s="371" t="s">
        <v>2791</v>
      </c>
      <c r="D3861" s="2716">
        <f t="shared" si="429"/>
        <v>0</v>
      </c>
      <c r="E3861" s="2721">
        <v>1</v>
      </c>
      <c r="F3861" s="294"/>
      <c r="G3861" s="2375" t="s">
        <v>2792</v>
      </c>
      <c r="H3861" s="2275"/>
      <c r="I3861" s="2276"/>
      <c r="J3861" s="291"/>
      <c r="K3861" s="291"/>
      <c r="L3861" s="291"/>
      <c r="M3861" s="291"/>
      <c r="N3861" s="291"/>
      <c r="S3861" s="364"/>
      <c r="Z3861" s="609" t="s">
        <v>3975</v>
      </c>
      <c r="AA3861" s="609" t="s">
        <v>5682</v>
      </c>
    </row>
    <row r="3862" spans="1:27" ht="18">
      <c r="A3862" s="2714"/>
      <c r="B3862" s="371">
        <v>104</v>
      </c>
      <c r="C3862" s="371" t="s">
        <v>2791</v>
      </c>
      <c r="D3862" s="2716">
        <f t="shared" si="429"/>
        <v>0</v>
      </c>
      <c r="E3862" s="2721">
        <v>1</v>
      </c>
      <c r="F3862" s="294"/>
      <c r="G3862" s="2375" t="s">
        <v>2792</v>
      </c>
      <c r="H3862" s="2275"/>
      <c r="I3862" s="2276"/>
      <c r="J3862" s="291"/>
      <c r="K3862" s="291"/>
      <c r="L3862" s="291"/>
      <c r="M3862" s="291"/>
      <c r="N3862" s="291"/>
      <c r="S3862" s="364"/>
      <c r="Z3862" s="609" t="s">
        <v>3975</v>
      </c>
      <c r="AA3862" s="609" t="s">
        <v>5682</v>
      </c>
    </row>
    <row r="3863" spans="1:27" ht="18">
      <c r="A3863" s="2714"/>
      <c r="B3863" s="371">
        <v>105</v>
      </c>
      <c r="C3863" s="371" t="s">
        <v>2791</v>
      </c>
      <c r="D3863" s="2716">
        <f t="shared" si="429"/>
        <v>0</v>
      </c>
      <c r="E3863" s="2721">
        <v>1</v>
      </c>
      <c r="F3863" s="294"/>
      <c r="G3863" s="2375" t="s">
        <v>2792</v>
      </c>
      <c r="H3863" s="2275"/>
      <c r="I3863" s="2276"/>
      <c r="J3863" s="291"/>
      <c r="K3863" s="291"/>
      <c r="L3863" s="291"/>
      <c r="M3863" s="291"/>
      <c r="N3863" s="291"/>
      <c r="S3863" s="364"/>
      <c r="Z3863" s="609" t="s">
        <v>3975</v>
      </c>
      <c r="AA3863" s="609" t="s">
        <v>5682</v>
      </c>
    </row>
    <row r="3864" spans="1:27" ht="18.75" thickBot="1">
      <c r="A3864" s="2714"/>
      <c r="B3864" s="371"/>
      <c r="C3864" s="371"/>
      <c r="D3864" s="2716">
        <f t="shared" si="429"/>
        <v>1</v>
      </c>
      <c r="E3864" s="2721" t="s">
        <v>2751</v>
      </c>
      <c r="F3864" s="294"/>
      <c r="G3864" s="374" t="s">
        <v>2752</v>
      </c>
      <c r="H3864" s="1478">
        <f>SUMPRODUCT($E3858:$E3863,H3858:H3863)</f>
        <v>0</v>
      </c>
      <c r="I3864" s="2260"/>
      <c r="J3864" s="291"/>
      <c r="K3864" s="291"/>
      <c r="L3864" s="291"/>
      <c r="M3864" s="291"/>
      <c r="N3864" s="291"/>
      <c r="S3864" s="364"/>
      <c r="Z3864" s="609" t="s">
        <v>3975</v>
      </c>
      <c r="AA3864" s="609" t="s">
        <v>5682</v>
      </c>
    </row>
    <row r="3865" spans="1:27" ht="18">
      <c r="A3865" s="2714"/>
      <c r="B3865" s="371"/>
      <c r="C3865" s="371" t="s">
        <v>2755</v>
      </c>
      <c r="D3865" s="371"/>
      <c r="F3865" s="294"/>
      <c r="G3865" s="301"/>
      <c r="H3865" s="315"/>
      <c r="I3865" s="393"/>
      <c r="J3865" s="350"/>
      <c r="K3865" s="291"/>
      <c r="L3865" s="291"/>
      <c r="M3865" s="291"/>
      <c r="N3865" s="291"/>
      <c r="S3865" s="364"/>
      <c r="Z3865" s="609" t="s">
        <v>3975</v>
      </c>
      <c r="AA3865" s="609" t="s">
        <v>5682</v>
      </c>
    </row>
    <row r="3866" spans="1:27" ht="24">
      <c r="A3866" s="2714" t="s">
        <v>1579</v>
      </c>
      <c r="B3866" s="371">
        <v>4</v>
      </c>
      <c r="C3866" s="371"/>
      <c r="D3866" s="2716" t="str">
        <f>VLOOKUP($A3866,Sheet_NoteList,2,0)</f>
        <v>单项金额较大的其他应付款</v>
      </c>
      <c r="E3866" s="2716" t="s">
        <v>6532</v>
      </c>
      <c r="F3866" s="294"/>
      <c r="G3866" s="372" t="str">
        <f>"("&amp;B3866&amp;")"&amp;D3866</f>
        <v>(4)单项金额较大的其他应付款</v>
      </c>
      <c r="H3866" s="1517" t="str">
        <f>$A3866</f>
        <v>2241b</v>
      </c>
      <c r="I3866" s="343" t="s">
        <v>5974</v>
      </c>
      <c r="J3866" s="301" t="s">
        <v>5973</v>
      </c>
      <c r="K3866" s="2210">
        <f>H3874</f>
        <v>0</v>
      </c>
      <c r="L3866" s="345" t="str">
        <f>IF($I3866="适用",IF(ROUND(K$3828-K3866,2)&gt;=0,"","#Logical!"),"#N/A")</f>
        <v/>
      </c>
      <c r="M3866" s="301"/>
      <c r="N3866" s="3071"/>
      <c r="O3866" s="315"/>
      <c r="P3866" s="301"/>
      <c r="S3866" s="364"/>
      <c r="Z3866" s="609" t="s">
        <v>3975</v>
      </c>
      <c r="AA3866" s="609" t="s">
        <v>5682</v>
      </c>
    </row>
    <row r="3867" spans="1:27" ht="0.75" customHeight="1" thickBot="1">
      <c r="A3867" s="2714"/>
      <c r="B3867" s="371"/>
      <c r="C3867" s="371"/>
      <c r="D3867" s="371"/>
      <c r="E3867" s="586"/>
      <c r="F3867" s="586"/>
      <c r="G3867" s="586" t="s">
        <v>3979</v>
      </c>
      <c r="H3867" s="371" t="s">
        <v>2849</v>
      </c>
      <c r="I3867" s="371" t="s">
        <v>3110</v>
      </c>
      <c r="J3867" s="371" t="s">
        <v>3864</v>
      </c>
      <c r="K3867" s="291"/>
      <c r="L3867" s="291"/>
      <c r="M3867" s="291"/>
      <c r="N3867" s="291"/>
      <c r="S3867" s="364"/>
      <c r="Z3867" s="609" t="s">
        <v>3975</v>
      </c>
      <c r="AA3867" s="609" t="s">
        <v>5682</v>
      </c>
    </row>
    <row r="3868" spans="1:27" ht="18">
      <c r="A3868" s="2714"/>
      <c r="B3868" s="371"/>
      <c r="C3868" s="371"/>
      <c r="D3868" s="371"/>
      <c r="E3868" s="586" t="s">
        <v>2749</v>
      </c>
      <c r="F3868" s="363"/>
      <c r="G3868" s="2363" t="s">
        <v>3865</v>
      </c>
      <c r="H3868" s="2364" t="s">
        <v>3866</v>
      </c>
      <c r="I3868" s="2364" t="s">
        <v>2961</v>
      </c>
      <c r="J3868" s="2365" t="s">
        <v>3867</v>
      </c>
      <c r="K3868" s="355" t="s">
        <v>6141</v>
      </c>
      <c r="L3868" s="291"/>
      <c r="M3868" s="291"/>
      <c r="N3868" s="291"/>
      <c r="S3868" s="364"/>
      <c r="Z3868" s="609" t="s">
        <v>3975</v>
      </c>
      <c r="AA3868" s="609" t="s">
        <v>5682</v>
      </c>
    </row>
    <row r="3869" spans="1:27" ht="18">
      <c r="A3869" s="2714"/>
      <c r="B3869" s="371">
        <v>101</v>
      </c>
      <c r="C3869" s="371" t="s">
        <v>2791</v>
      </c>
      <c r="D3869" s="2716">
        <f t="shared" ref="D3869:D3874" si="430">IF(OR(G3869="*",G3869="",G3869=0),0,COUNTIF($G$3869:$G$3874,G3869))</f>
        <v>0</v>
      </c>
      <c r="E3869" s="2721">
        <v>1</v>
      </c>
      <c r="F3869" s="294"/>
      <c r="G3869" s="2375" t="s">
        <v>2792</v>
      </c>
      <c r="H3869" s="2275"/>
      <c r="I3869" s="2298"/>
      <c r="J3869" s="2276"/>
      <c r="K3869" s="579"/>
      <c r="L3869" s="291"/>
      <c r="M3869" s="291"/>
      <c r="N3869" s="291"/>
      <c r="S3869" s="364"/>
      <c r="Z3869" s="609" t="s">
        <v>3975</v>
      </c>
      <c r="AA3869" s="609" t="s">
        <v>5682</v>
      </c>
    </row>
    <row r="3870" spans="1:27" ht="18">
      <c r="A3870" s="2714"/>
      <c r="B3870" s="371">
        <v>102</v>
      </c>
      <c r="C3870" s="371" t="s">
        <v>2791</v>
      </c>
      <c r="D3870" s="2716">
        <f t="shared" si="430"/>
        <v>0</v>
      </c>
      <c r="E3870" s="2721">
        <v>1</v>
      </c>
      <c r="F3870" s="294"/>
      <c r="G3870" s="2375" t="s">
        <v>2792</v>
      </c>
      <c r="H3870" s="2275"/>
      <c r="I3870" s="2298"/>
      <c r="J3870" s="2276"/>
      <c r="K3870" s="291"/>
      <c r="L3870" s="291"/>
      <c r="M3870" s="291"/>
      <c r="N3870" s="291"/>
      <c r="S3870" s="364"/>
      <c r="Z3870" s="609" t="s">
        <v>3975</v>
      </c>
      <c r="AA3870" s="609" t="s">
        <v>5682</v>
      </c>
    </row>
    <row r="3871" spans="1:27" ht="18">
      <c r="A3871" s="2714"/>
      <c r="B3871" s="371">
        <v>103</v>
      </c>
      <c r="C3871" s="371" t="s">
        <v>2791</v>
      </c>
      <c r="D3871" s="2716">
        <f t="shared" si="430"/>
        <v>0</v>
      </c>
      <c r="E3871" s="2721">
        <v>1</v>
      </c>
      <c r="F3871" s="294"/>
      <c r="G3871" s="2375" t="s">
        <v>2792</v>
      </c>
      <c r="H3871" s="2275"/>
      <c r="I3871" s="2298"/>
      <c r="J3871" s="2276"/>
      <c r="K3871" s="291"/>
      <c r="L3871" s="291"/>
      <c r="M3871" s="291"/>
      <c r="N3871" s="291"/>
      <c r="S3871" s="364"/>
      <c r="Z3871" s="609" t="s">
        <v>3975</v>
      </c>
      <c r="AA3871" s="609" t="s">
        <v>5682</v>
      </c>
    </row>
    <row r="3872" spans="1:27" ht="18">
      <c r="A3872" s="2714"/>
      <c r="B3872" s="371">
        <v>104</v>
      </c>
      <c r="C3872" s="371" t="s">
        <v>2791</v>
      </c>
      <c r="D3872" s="2716">
        <f t="shared" si="430"/>
        <v>0</v>
      </c>
      <c r="E3872" s="2721">
        <v>1</v>
      </c>
      <c r="F3872" s="294"/>
      <c r="G3872" s="2375" t="s">
        <v>2792</v>
      </c>
      <c r="H3872" s="2275"/>
      <c r="I3872" s="2298"/>
      <c r="J3872" s="2276"/>
      <c r="K3872" s="291"/>
      <c r="L3872" s="291"/>
      <c r="M3872" s="291"/>
      <c r="N3872" s="291"/>
      <c r="S3872" s="364"/>
      <c r="Z3872" s="609" t="s">
        <v>3975</v>
      </c>
      <c r="AA3872" s="609" t="s">
        <v>5682</v>
      </c>
    </row>
    <row r="3873" spans="1:27" ht="18">
      <c r="A3873" s="2714"/>
      <c r="B3873" s="371">
        <v>105</v>
      </c>
      <c r="C3873" s="371" t="s">
        <v>2791</v>
      </c>
      <c r="D3873" s="2716">
        <f t="shared" si="430"/>
        <v>0</v>
      </c>
      <c r="E3873" s="2721">
        <v>1</v>
      </c>
      <c r="F3873" s="294"/>
      <c r="G3873" s="2375" t="s">
        <v>2792</v>
      </c>
      <c r="H3873" s="2275"/>
      <c r="I3873" s="2298"/>
      <c r="J3873" s="2276"/>
      <c r="K3873" s="291"/>
      <c r="L3873" s="291"/>
      <c r="M3873" s="291"/>
      <c r="N3873" s="291"/>
      <c r="S3873" s="364"/>
      <c r="Z3873" s="609" t="s">
        <v>3975</v>
      </c>
      <c r="AA3873" s="609" t="s">
        <v>5682</v>
      </c>
    </row>
    <row r="3874" spans="1:27" ht="18.75" thickBot="1">
      <c r="A3874" s="2714"/>
      <c r="B3874" s="371"/>
      <c r="C3874" s="371"/>
      <c r="D3874" s="2716">
        <f t="shared" si="430"/>
        <v>1</v>
      </c>
      <c r="E3874" s="2721" t="s">
        <v>2751</v>
      </c>
      <c r="F3874" s="294"/>
      <c r="G3874" s="1529" t="s">
        <v>2752</v>
      </c>
      <c r="H3874" s="1527">
        <f>SUMPRODUCT($E3868:$E3873,H3868:H3873)</f>
        <v>0</v>
      </c>
      <c r="I3874" s="2316"/>
      <c r="J3874" s="2266"/>
      <c r="K3874" s="291"/>
      <c r="L3874" s="291"/>
      <c r="M3874" s="291"/>
      <c r="N3874" s="291"/>
      <c r="S3874" s="364"/>
      <c r="Z3874" s="609" t="s">
        <v>3975</v>
      </c>
      <c r="AA3874" s="609" t="s">
        <v>5682</v>
      </c>
    </row>
    <row r="3875" spans="1:27" ht="18">
      <c r="A3875" s="2714"/>
      <c r="B3875" s="371"/>
      <c r="C3875" s="371" t="s">
        <v>2755</v>
      </c>
      <c r="D3875" s="371"/>
      <c r="F3875" s="294"/>
      <c r="G3875" s="301"/>
      <c r="H3875" s="315"/>
      <c r="I3875" s="393"/>
      <c r="J3875" s="393"/>
      <c r="K3875" s="291"/>
      <c r="L3875" s="291"/>
      <c r="M3875" s="291"/>
      <c r="N3875" s="291"/>
      <c r="S3875" s="364"/>
      <c r="Z3875" s="609" t="s">
        <v>3975</v>
      </c>
      <c r="AA3875" s="609" t="s">
        <v>5682</v>
      </c>
    </row>
    <row r="3876" spans="1:27" ht="18">
      <c r="A3876" s="2714" t="s">
        <v>1584</v>
      </c>
      <c r="B3876" s="371">
        <v>5</v>
      </c>
      <c r="C3876" s="371"/>
      <c r="D3876" s="2716" t="str">
        <f>VLOOKUP($A3876,Sheet_NoteList,2,0)</f>
        <v>外币其他应付款</v>
      </c>
      <c r="E3876" s="2716" t="s">
        <v>6532</v>
      </c>
      <c r="F3876" s="294"/>
      <c r="G3876" s="307" t="str">
        <f>"("&amp;B3876&amp;")"&amp;D3876</f>
        <v>(5)外币其他应付款</v>
      </c>
      <c r="H3876" s="1517" t="str">
        <f>$A3876</f>
        <v>2241g</v>
      </c>
      <c r="I3876" s="343" t="s">
        <v>5578</v>
      </c>
      <c r="J3876" s="301" t="s">
        <v>5579</v>
      </c>
      <c r="K3876" s="2210">
        <f>J3884</f>
        <v>0</v>
      </c>
      <c r="L3876" s="345"/>
      <c r="M3876" s="301"/>
      <c r="N3876" s="391"/>
      <c r="O3876" s="345"/>
      <c r="P3876" s="301"/>
      <c r="Q3876" s="290" t="str">
        <f>IF($I3876="不适用","",IF(ROUND(SUM($H$3879:$J$3884),2)=0,"请输入",""))</f>
        <v>请输入</v>
      </c>
      <c r="S3876" s="364"/>
      <c r="Z3876" s="609" t="s">
        <v>3975</v>
      </c>
      <c r="AA3876" s="609" t="s">
        <v>5682</v>
      </c>
    </row>
    <row r="3877" spans="1:27" ht="0.75" customHeight="1" thickBot="1">
      <c r="A3877" s="2714"/>
      <c r="B3877" s="371"/>
      <c r="C3877" s="371"/>
      <c r="D3877" s="371"/>
      <c r="F3877" s="304"/>
      <c r="G3877" s="304" t="s">
        <v>3980</v>
      </c>
      <c r="H3877" s="304" t="s">
        <v>3073</v>
      </c>
      <c r="I3877" s="304" t="s">
        <v>3074</v>
      </c>
      <c r="J3877" s="304" t="s">
        <v>3075</v>
      </c>
      <c r="K3877" s="387"/>
      <c r="S3877" s="364"/>
      <c r="Z3877" s="609" t="s">
        <v>3975</v>
      </c>
      <c r="AA3877" s="609" t="s">
        <v>5682</v>
      </c>
    </row>
    <row r="3878" spans="1:27" ht="24">
      <c r="A3878" s="2714"/>
      <c r="B3878" s="371"/>
      <c r="C3878" s="371"/>
      <c r="D3878" s="371"/>
      <c r="E3878" s="2716" t="s">
        <v>2749</v>
      </c>
      <c r="F3878" s="294"/>
      <c r="G3878" s="1630" t="s">
        <v>1371</v>
      </c>
      <c r="H3878" s="1622" t="s">
        <v>3076</v>
      </c>
      <c r="I3878" s="1622" t="s">
        <v>3077</v>
      </c>
      <c r="J3878" s="1623" t="s">
        <v>3078</v>
      </c>
      <c r="K3878" s="355" t="s">
        <v>5604</v>
      </c>
      <c r="L3878" s="291"/>
      <c r="S3878" s="364"/>
      <c r="Z3878" s="609" t="s">
        <v>3975</v>
      </c>
      <c r="AA3878" s="609" t="s">
        <v>5682</v>
      </c>
    </row>
    <row r="3879" spans="1:27" ht="18">
      <c r="A3879" s="2714"/>
      <c r="B3879" s="371">
        <v>101</v>
      </c>
      <c r="C3879" s="371" t="s">
        <v>2791</v>
      </c>
      <c r="D3879" s="2716">
        <f t="shared" ref="D3879:D3884" si="431">IF(OR(G3879="*",G3879="",G3879=0),0,COUNTIF($G$3879:$G$3884,G3879))</f>
        <v>1</v>
      </c>
      <c r="E3879" s="2721">
        <v>1</v>
      </c>
      <c r="F3879" s="294"/>
      <c r="G3879" s="1625" t="s">
        <v>3079</v>
      </c>
      <c r="H3879" s="309"/>
      <c r="I3879" s="360"/>
      <c r="J3879" s="346"/>
      <c r="K3879" s="355" t="s">
        <v>5364</v>
      </c>
      <c r="L3879" s="1522" t="s">
        <v>5365</v>
      </c>
      <c r="S3879" s="364"/>
      <c r="Z3879" s="609" t="s">
        <v>3975</v>
      </c>
      <c r="AA3879" s="609" t="s">
        <v>5682</v>
      </c>
    </row>
    <row r="3880" spans="1:27" ht="18">
      <c r="A3880" s="2714"/>
      <c r="B3880" s="371">
        <v>102</v>
      </c>
      <c r="C3880" s="371" t="s">
        <v>2791</v>
      </c>
      <c r="D3880" s="2716">
        <f t="shared" si="431"/>
        <v>1</v>
      </c>
      <c r="E3880" s="2721">
        <v>1</v>
      </c>
      <c r="F3880" s="294"/>
      <c r="G3880" s="1625" t="s">
        <v>3080</v>
      </c>
      <c r="H3880" s="309"/>
      <c r="I3880" s="360"/>
      <c r="J3880" s="346"/>
      <c r="S3880" s="364"/>
      <c r="Z3880" s="609" t="s">
        <v>3975</v>
      </c>
      <c r="AA3880" s="609" t="s">
        <v>5682</v>
      </c>
    </row>
    <row r="3881" spans="1:27" ht="18">
      <c r="A3881" s="2714"/>
      <c r="B3881" s="371">
        <v>103</v>
      </c>
      <c r="C3881" s="371" t="s">
        <v>2791</v>
      </c>
      <c r="D3881" s="2716">
        <f t="shared" si="431"/>
        <v>1</v>
      </c>
      <c r="E3881" s="2721">
        <v>1</v>
      </c>
      <c r="F3881" s="294"/>
      <c r="G3881" s="1625" t="s">
        <v>3081</v>
      </c>
      <c r="H3881" s="309"/>
      <c r="I3881" s="360"/>
      <c r="J3881" s="346"/>
      <c r="S3881" s="364"/>
      <c r="Z3881" s="609" t="s">
        <v>3975</v>
      </c>
      <c r="AA3881" s="609" t="s">
        <v>5682</v>
      </c>
    </row>
    <row r="3882" spans="1:27" ht="18">
      <c r="A3882" s="2714"/>
      <c r="B3882" s="371">
        <v>104</v>
      </c>
      <c r="C3882" s="371" t="s">
        <v>2791</v>
      </c>
      <c r="D3882" s="2716">
        <f t="shared" si="431"/>
        <v>0</v>
      </c>
      <c r="E3882" s="2721">
        <v>1</v>
      </c>
      <c r="F3882" s="294"/>
      <c r="G3882" s="1625" t="s">
        <v>2792</v>
      </c>
      <c r="H3882" s="309"/>
      <c r="I3882" s="360"/>
      <c r="J3882" s="346"/>
      <c r="S3882" s="364"/>
      <c r="Z3882" s="609" t="s">
        <v>3975</v>
      </c>
      <c r="AA3882" s="609" t="s">
        <v>5682</v>
      </c>
    </row>
    <row r="3883" spans="1:27" ht="18">
      <c r="A3883" s="2714"/>
      <c r="B3883" s="371">
        <v>105</v>
      </c>
      <c r="C3883" s="371" t="s">
        <v>2791</v>
      </c>
      <c r="D3883" s="2716">
        <f t="shared" si="431"/>
        <v>0</v>
      </c>
      <c r="E3883" s="2721">
        <v>1</v>
      </c>
      <c r="F3883" s="294"/>
      <c r="G3883" s="1625" t="s">
        <v>2792</v>
      </c>
      <c r="H3883" s="309"/>
      <c r="I3883" s="360"/>
      <c r="J3883" s="346"/>
      <c r="S3883" s="364"/>
      <c r="Z3883" s="609" t="s">
        <v>3975</v>
      </c>
      <c r="AA3883" s="609" t="s">
        <v>5682</v>
      </c>
    </row>
    <row r="3884" spans="1:27" ht="18.75" thickBot="1">
      <c r="A3884" s="2714"/>
      <c r="B3884" s="371"/>
      <c r="C3884" s="371"/>
      <c r="D3884" s="2716">
        <f t="shared" si="431"/>
        <v>1</v>
      </c>
      <c r="E3884" s="2721" t="s">
        <v>3032</v>
      </c>
      <c r="F3884" s="294"/>
      <c r="G3884" s="1529" t="s">
        <v>2752</v>
      </c>
      <c r="H3884" s="1525"/>
      <c r="I3884" s="1526"/>
      <c r="J3884" s="1528">
        <f>SUMPRODUCT($E3878:$E3883,J3878:J3883)</f>
        <v>0</v>
      </c>
      <c r="S3884" s="364"/>
      <c r="Z3884" s="609" t="s">
        <v>3975</v>
      </c>
      <c r="AA3884" s="609" t="s">
        <v>5682</v>
      </c>
    </row>
    <row r="3885" spans="1:27" ht="18">
      <c r="A3885" s="2714"/>
      <c r="B3885" s="371"/>
      <c r="C3885" s="371" t="s">
        <v>2755</v>
      </c>
      <c r="D3885" s="371"/>
      <c r="F3885" s="294"/>
      <c r="G3885" s="301"/>
      <c r="H3885" s="315"/>
      <c r="I3885" s="393"/>
      <c r="J3885" s="315"/>
      <c r="S3885" s="364"/>
      <c r="Z3885" s="609" t="s">
        <v>3975</v>
      </c>
      <c r="AA3885" s="609" t="s">
        <v>5682</v>
      </c>
    </row>
    <row r="3886" spans="1:27" ht="24">
      <c r="A3886" s="2714" t="s">
        <v>1574</v>
      </c>
      <c r="B3886" s="371">
        <v>6</v>
      </c>
      <c r="C3886" s="371"/>
      <c r="D3886" s="2716" t="str">
        <f>VLOOKUP($A3886,Sheet_NoteList,2,0)</f>
        <v>关联方应收应付款项——其他应付款</v>
      </c>
      <c r="E3886" s="2716" t="s">
        <v>6532</v>
      </c>
      <c r="F3886" s="294"/>
      <c r="G3886" s="372" t="str">
        <f>"("&amp;B3886&amp;")"&amp;D3886</f>
        <v>(6)关联方应收应付款项——其他应付款</v>
      </c>
      <c r="H3886" s="1517" t="str">
        <f>$A3886</f>
        <v>2241a</v>
      </c>
      <c r="I3886" s="343" t="s">
        <v>5614</v>
      </c>
      <c r="J3886" s="301"/>
      <c r="K3886" s="3071"/>
      <c r="L3886" s="315"/>
      <c r="M3886" s="301"/>
      <c r="N3886" s="3071"/>
      <c r="O3886" s="315"/>
      <c r="P3886" s="301"/>
      <c r="Q3886" s="290" t="str">
        <f>IF($I3886="不适用","",IF(ROUND(SUM($H$3889:$I$3894),2)=0,"请输入",""))</f>
        <v>请输入</v>
      </c>
      <c r="S3886" s="364"/>
      <c r="Z3886" s="609" t="s">
        <v>3975</v>
      </c>
      <c r="AA3886" s="609" t="s">
        <v>5682</v>
      </c>
    </row>
    <row r="3887" spans="1:27" ht="0.75" customHeight="1" thickBot="1">
      <c r="A3887" s="2714"/>
      <c r="B3887" s="371"/>
      <c r="C3887" s="371"/>
      <c r="D3887" s="371"/>
      <c r="F3887" s="304"/>
      <c r="G3887" s="304" t="s">
        <v>3981</v>
      </c>
      <c r="H3887" s="304" t="s">
        <v>2747</v>
      </c>
      <c r="I3887" s="304" t="s">
        <v>2748</v>
      </c>
      <c r="J3887" s="291"/>
      <c r="K3887" s="291"/>
      <c r="L3887" s="291"/>
      <c r="M3887" s="291"/>
      <c r="S3887" s="364"/>
      <c r="Z3887" s="609" t="s">
        <v>3975</v>
      </c>
      <c r="AA3887" s="609" t="s">
        <v>5682</v>
      </c>
    </row>
    <row r="3888" spans="1:27" ht="18">
      <c r="A3888" s="2714"/>
      <c r="B3888" s="371"/>
      <c r="C3888" s="371"/>
      <c r="D3888" s="371"/>
      <c r="E3888" s="2716" t="s">
        <v>2749</v>
      </c>
      <c r="F3888" s="294"/>
      <c r="G3888" s="1633" t="s">
        <v>1423</v>
      </c>
      <c r="H3888" s="1631" t="s">
        <v>2775</v>
      </c>
      <c r="I3888" s="1632" t="s">
        <v>2776</v>
      </c>
      <c r="J3888" s="343" t="s">
        <v>3089</v>
      </c>
      <c r="K3888" s="291"/>
      <c r="L3888" s="291"/>
      <c r="M3888" s="291"/>
      <c r="S3888" s="364"/>
      <c r="Z3888" s="609" t="s">
        <v>3975</v>
      </c>
      <c r="AA3888" s="609" t="s">
        <v>5682</v>
      </c>
    </row>
    <row r="3889" spans="1:27" ht="18">
      <c r="A3889" s="2714"/>
      <c r="B3889" s="371">
        <v>101</v>
      </c>
      <c r="C3889" s="371" t="s">
        <v>2791</v>
      </c>
      <c r="D3889" s="2716">
        <f t="shared" ref="D3889:D3894" si="432">IF(OR(G3889="*",G3889="",G3889=0),0,COUNTIF($G$3889:$G$3894,G3889))</f>
        <v>0</v>
      </c>
      <c r="E3889" s="2721">
        <v>1</v>
      </c>
      <c r="F3889" s="294"/>
      <c r="G3889" s="1634" t="s">
        <v>2792</v>
      </c>
      <c r="H3889" s="309"/>
      <c r="I3889" s="346"/>
      <c r="J3889" s="355" t="s">
        <v>5364</v>
      </c>
      <c r="K3889" s="1522" t="s">
        <v>5613</v>
      </c>
      <c r="L3889" s="291"/>
      <c r="M3889" s="291"/>
      <c r="S3889" s="364"/>
      <c r="Z3889" s="609" t="s">
        <v>3975</v>
      </c>
      <c r="AA3889" s="609" t="s">
        <v>5682</v>
      </c>
    </row>
    <row r="3890" spans="1:27" ht="18">
      <c r="A3890" s="2714"/>
      <c r="B3890" s="371">
        <v>102</v>
      </c>
      <c r="C3890" s="371" t="s">
        <v>2791</v>
      </c>
      <c r="D3890" s="2716">
        <f t="shared" si="432"/>
        <v>0</v>
      </c>
      <c r="E3890" s="2721">
        <v>1</v>
      </c>
      <c r="F3890" s="294"/>
      <c r="G3890" s="1634" t="s">
        <v>2792</v>
      </c>
      <c r="H3890" s="309"/>
      <c r="I3890" s="346"/>
      <c r="J3890" s="291"/>
      <c r="K3890" s="291"/>
      <c r="L3890" s="291"/>
      <c r="M3890" s="291"/>
      <c r="S3890" s="364"/>
      <c r="Z3890" s="609" t="s">
        <v>3975</v>
      </c>
      <c r="AA3890" s="609" t="s">
        <v>5682</v>
      </c>
    </row>
    <row r="3891" spans="1:27" ht="18">
      <c r="A3891" s="2714"/>
      <c r="B3891" s="371">
        <v>103</v>
      </c>
      <c r="C3891" s="371" t="s">
        <v>2791</v>
      </c>
      <c r="D3891" s="2716">
        <f t="shared" si="432"/>
        <v>0</v>
      </c>
      <c r="E3891" s="2721">
        <v>1</v>
      </c>
      <c r="F3891" s="294"/>
      <c r="G3891" s="1634" t="s">
        <v>2792</v>
      </c>
      <c r="H3891" s="309"/>
      <c r="I3891" s="346"/>
      <c r="J3891" s="291"/>
      <c r="K3891" s="291"/>
      <c r="L3891" s="291"/>
      <c r="M3891" s="291"/>
      <c r="S3891" s="364"/>
      <c r="Z3891" s="609" t="s">
        <v>3975</v>
      </c>
      <c r="AA3891" s="609" t="s">
        <v>5682</v>
      </c>
    </row>
    <row r="3892" spans="1:27" ht="18">
      <c r="A3892" s="2714"/>
      <c r="B3892" s="371">
        <v>104</v>
      </c>
      <c r="C3892" s="371" t="s">
        <v>2791</v>
      </c>
      <c r="D3892" s="2716">
        <f t="shared" si="432"/>
        <v>0</v>
      </c>
      <c r="E3892" s="2721">
        <v>1</v>
      </c>
      <c r="F3892" s="294"/>
      <c r="G3892" s="1634" t="s">
        <v>2792</v>
      </c>
      <c r="H3892" s="309"/>
      <c r="I3892" s="346"/>
      <c r="J3892" s="291"/>
      <c r="K3892" s="291"/>
      <c r="L3892" s="291"/>
      <c r="M3892" s="291"/>
      <c r="S3892" s="364"/>
      <c r="Z3892" s="609" t="s">
        <v>3975</v>
      </c>
      <c r="AA3892" s="609" t="s">
        <v>5682</v>
      </c>
    </row>
    <row r="3893" spans="1:27" ht="18">
      <c r="A3893" s="2714"/>
      <c r="B3893" s="371">
        <v>105</v>
      </c>
      <c r="C3893" s="371" t="s">
        <v>2791</v>
      </c>
      <c r="D3893" s="2716">
        <f t="shared" si="432"/>
        <v>0</v>
      </c>
      <c r="E3893" s="2721">
        <v>1</v>
      </c>
      <c r="F3893" s="294"/>
      <c r="G3893" s="1634" t="s">
        <v>2792</v>
      </c>
      <c r="H3893" s="309"/>
      <c r="I3893" s="346"/>
      <c r="J3893" s="291"/>
      <c r="K3893" s="291"/>
      <c r="L3893" s="291"/>
      <c r="M3893" s="291"/>
      <c r="S3893" s="364"/>
      <c r="Z3893" s="609" t="s">
        <v>3975</v>
      </c>
      <c r="AA3893" s="609" t="s">
        <v>5682</v>
      </c>
    </row>
    <row r="3894" spans="1:27" ht="18.75" thickBot="1">
      <c r="A3894" s="2714"/>
      <c r="B3894" s="371"/>
      <c r="C3894" s="371"/>
      <c r="D3894" s="2716">
        <f t="shared" si="432"/>
        <v>1</v>
      </c>
      <c r="E3894" s="2721" t="s">
        <v>2751</v>
      </c>
      <c r="F3894" s="294"/>
      <c r="G3894" s="1529" t="s">
        <v>2752</v>
      </c>
      <c r="H3894" s="1527">
        <f>SUMPRODUCT($E3888:$E3893,H3888:H3893)</f>
        <v>0</v>
      </c>
      <c r="I3894" s="1528">
        <f>SUMPRODUCT($E3888:$E3893,I3888:I3893)</f>
        <v>0</v>
      </c>
      <c r="J3894" s="291"/>
      <c r="K3894" s="291"/>
      <c r="L3894" s="291"/>
      <c r="M3894" s="291"/>
      <c r="S3894" s="364"/>
      <c r="Z3894" s="609" t="s">
        <v>3975</v>
      </c>
      <c r="AA3894" s="609" t="s">
        <v>5682</v>
      </c>
    </row>
    <row r="3895" spans="1:27" ht="18">
      <c r="A3895" s="2714"/>
      <c r="B3895" s="371"/>
      <c r="C3895" s="371" t="s">
        <v>2755</v>
      </c>
      <c r="D3895" s="371"/>
      <c r="F3895" s="294"/>
      <c r="G3895" s="301"/>
      <c r="H3895" s="315"/>
      <c r="I3895" s="315"/>
      <c r="J3895" s="291"/>
      <c r="K3895" s="291"/>
      <c r="L3895" s="291"/>
      <c r="M3895" s="291"/>
      <c r="S3895" s="364"/>
      <c r="Z3895" s="609" t="s">
        <v>3975</v>
      </c>
      <c r="AA3895" s="609" t="s">
        <v>5682</v>
      </c>
    </row>
    <row r="3896" spans="1:27" ht="18">
      <c r="A3896" s="2714" t="s">
        <v>1589</v>
      </c>
      <c r="B3896" s="371">
        <v>7</v>
      </c>
      <c r="C3896" s="371"/>
      <c r="D3896" s="2716" t="str">
        <f>VLOOKUP($A3896,Sheet_NoteList,2,0)</f>
        <v>其他应付款补充资料</v>
      </c>
      <c r="E3896" s="2716" t="s">
        <v>6532</v>
      </c>
      <c r="F3896" s="294"/>
      <c r="G3896" s="597" t="str">
        <f>"("&amp;B3896&amp;")"&amp;D3896</f>
        <v>(7)其他应付款补充资料</v>
      </c>
      <c r="H3896" s="1517" t="str">
        <f>$A3896</f>
        <v>2241x</v>
      </c>
      <c r="I3896" s="343" t="s">
        <v>5965</v>
      </c>
      <c r="J3896" s="301" t="s">
        <v>5963</v>
      </c>
      <c r="K3896" s="2210">
        <f>H3913</f>
        <v>0</v>
      </c>
      <c r="L3896" s="345"/>
      <c r="M3896" s="301"/>
      <c r="N3896" s="3071"/>
      <c r="O3896" s="315"/>
      <c r="P3896" s="301"/>
      <c r="S3896" s="364"/>
      <c r="Z3896" s="609" t="s">
        <v>3975</v>
      </c>
      <c r="AA3896" s="609" t="s">
        <v>5682</v>
      </c>
    </row>
    <row r="3897" spans="1:27" ht="0.75" customHeight="1" thickBot="1">
      <c r="A3897" s="2714"/>
      <c r="B3897" s="371"/>
      <c r="C3897" s="371"/>
      <c r="D3897" s="371"/>
      <c r="F3897" s="371"/>
      <c r="G3897" s="371" t="s">
        <v>3982</v>
      </c>
      <c r="H3897" s="371" t="s">
        <v>2747</v>
      </c>
      <c r="I3897" s="371" t="s">
        <v>3859</v>
      </c>
      <c r="K3897" s="291"/>
      <c r="L3897" s="291"/>
      <c r="M3897" s="291"/>
      <c r="N3897" s="291"/>
      <c r="S3897" s="364"/>
      <c r="Z3897" s="609" t="s">
        <v>3975</v>
      </c>
      <c r="AA3897" s="609" t="s">
        <v>5682</v>
      </c>
    </row>
    <row r="3898" spans="1:27" ht="18">
      <c r="A3898" s="2714"/>
      <c r="B3898" s="371"/>
      <c r="C3898" s="371"/>
      <c r="D3898" s="371"/>
      <c r="E3898" s="2716" t="s">
        <v>2749</v>
      </c>
      <c r="F3898" s="294"/>
      <c r="G3898" s="2386" t="s">
        <v>1465</v>
      </c>
      <c r="H3898" s="2398" t="s">
        <v>2775</v>
      </c>
      <c r="I3898" s="2388" t="s">
        <v>2508</v>
      </c>
      <c r="J3898" s="355" t="s">
        <v>6141</v>
      </c>
      <c r="K3898" s="291"/>
      <c r="L3898" s="291"/>
      <c r="M3898" s="291"/>
      <c r="N3898" s="291"/>
      <c r="S3898" s="364"/>
      <c r="Z3898" s="609" t="s">
        <v>3975</v>
      </c>
      <c r="AA3898" s="609" t="s">
        <v>5682</v>
      </c>
    </row>
    <row r="3899" spans="1:27" ht="24">
      <c r="A3899" s="2714"/>
      <c r="B3899" s="371">
        <v>101</v>
      </c>
      <c r="C3899" s="371"/>
      <c r="D3899" s="2716">
        <f t="shared" ref="D3899:D3913" si="433">IF(OR(G3899="*",G3899="",G3899=0),0,COUNTIF($G$3899:$G$3913,G3899))</f>
        <v>1</v>
      </c>
      <c r="E3899" s="2721" t="s">
        <v>41</v>
      </c>
      <c r="F3899" s="294"/>
      <c r="G3899" s="308" t="s">
        <v>3983</v>
      </c>
      <c r="H3899" s="309"/>
      <c r="I3899" s="388"/>
      <c r="J3899" s="579"/>
      <c r="K3899" s="291"/>
      <c r="L3899" s="291"/>
      <c r="M3899" s="291"/>
      <c r="N3899" s="291"/>
      <c r="S3899" s="364"/>
      <c r="Z3899" s="609" t="s">
        <v>3975</v>
      </c>
      <c r="AA3899" s="609" t="s">
        <v>5682</v>
      </c>
    </row>
    <row r="3900" spans="1:27" ht="18">
      <c r="A3900" s="2714"/>
      <c r="B3900" s="371">
        <v>101.001</v>
      </c>
      <c r="C3900" s="371" t="s">
        <v>2791</v>
      </c>
      <c r="D3900" s="2716">
        <f t="shared" si="433"/>
        <v>0</v>
      </c>
      <c r="E3900" s="2721" t="s">
        <v>3984</v>
      </c>
      <c r="F3900" s="294"/>
      <c r="G3900" s="319" t="s">
        <v>2792</v>
      </c>
      <c r="H3900" s="309"/>
      <c r="I3900" s="388"/>
      <c r="K3900" s="291"/>
      <c r="L3900" s="291"/>
      <c r="M3900" s="291"/>
      <c r="N3900" s="291"/>
      <c r="S3900" s="364"/>
      <c r="Z3900" s="609" t="s">
        <v>3975</v>
      </c>
      <c r="AA3900" s="609" t="s">
        <v>5682</v>
      </c>
    </row>
    <row r="3901" spans="1:27" ht="18">
      <c r="A3901" s="2714"/>
      <c r="B3901" s="371">
        <v>101.002</v>
      </c>
      <c r="C3901" s="371" t="s">
        <v>2791</v>
      </c>
      <c r="D3901" s="2716">
        <f t="shared" si="433"/>
        <v>0</v>
      </c>
      <c r="E3901" s="2721" t="s">
        <v>3984</v>
      </c>
      <c r="F3901" s="294"/>
      <c r="G3901" s="319" t="s">
        <v>2792</v>
      </c>
      <c r="H3901" s="309"/>
      <c r="I3901" s="388"/>
      <c r="K3901" s="291"/>
      <c r="L3901" s="291"/>
      <c r="M3901" s="291"/>
      <c r="N3901" s="291"/>
      <c r="S3901" s="364"/>
      <c r="Z3901" s="609" t="s">
        <v>3975</v>
      </c>
      <c r="AA3901" s="609" t="s">
        <v>5682</v>
      </c>
    </row>
    <row r="3902" spans="1:27" ht="18">
      <c r="A3902" s="2714"/>
      <c r="B3902" s="371">
        <v>101.003</v>
      </c>
      <c r="C3902" s="371" t="s">
        <v>2791</v>
      </c>
      <c r="D3902" s="2716">
        <f t="shared" si="433"/>
        <v>0</v>
      </c>
      <c r="E3902" s="2721" t="s">
        <v>3984</v>
      </c>
      <c r="F3902" s="294"/>
      <c r="G3902" s="319" t="s">
        <v>2792</v>
      </c>
      <c r="H3902" s="309"/>
      <c r="I3902" s="388"/>
      <c r="K3902" s="291"/>
      <c r="L3902" s="291"/>
      <c r="M3902" s="291"/>
      <c r="N3902" s="291"/>
      <c r="S3902" s="364"/>
      <c r="Z3902" s="609" t="s">
        <v>3975</v>
      </c>
      <c r="AA3902" s="609" t="s">
        <v>5682</v>
      </c>
    </row>
    <row r="3903" spans="1:27" ht="18">
      <c r="A3903" s="2714"/>
      <c r="B3903" s="371">
        <v>101.004</v>
      </c>
      <c r="C3903" s="371" t="s">
        <v>2791</v>
      </c>
      <c r="D3903" s="2716">
        <f t="shared" si="433"/>
        <v>0</v>
      </c>
      <c r="E3903" s="2721" t="s">
        <v>3984</v>
      </c>
      <c r="F3903" s="294"/>
      <c r="G3903" s="319" t="s">
        <v>2792</v>
      </c>
      <c r="H3903" s="309"/>
      <c r="I3903" s="388"/>
      <c r="K3903" s="291"/>
      <c r="L3903" s="291"/>
      <c r="M3903" s="291"/>
      <c r="N3903" s="291"/>
      <c r="S3903" s="364"/>
      <c r="Z3903" s="609" t="s">
        <v>3975</v>
      </c>
      <c r="AA3903" s="609" t="s">
        <v>5682</v>
      </c>
    </row>
    <row r="3904" spans="1:27" ht="18">
      <c r="A3904" s="2714"/>
      <c r="B3904" s="371">
        <v>101.005</v>
      </c>
      <c r="C3904" s="371" t="s">
        <v>2791</v>
      </c>
      <c r="D3904" s="2716">
        <f t="shared" si="433"/>
        <v>0</v>
      </c>
      <c r="E3904" s="2721" t="s">
        <v>3984</v>
      </c>
      <c r="F3904" s="294"/>
      <c r="G3904" s="319" t="s">
        <v>2792</v>
      </c>
      <c r="H3904" s="309"/>
      <c r="I3904" s="388"/>
      <c r="K3904" s="291"/>
      <c r="L3904" s="291"/>
      <c r="M3904" s="291"/>
      <c r="N3904" s="291"/>
      <c r="S3904" s="364"/>
      <c r="Z3904" s="609" t="s">
        <v>3975</v>
      </c>
      <c r="AA3904" s="609" t="s">
        <v>5682</v>
      </c>
    </row>
    <row r="3905" spans="1:27" ht="24">
      <c r="A3905" s="2714"/>
      <c r="B3905" s="371">
        <v>101.999</v>
      </c>
      <c r="C3905" s="371" t="s">
        <v>2793</v>
      </c>
      <c r="D3905" s="2716">
        <f t="shared" si="433"/>
        <v>1</v>
      </c>
      <c r="E3905" s="2721">
        <v>1</v>
      </c>
      <c r="F3905" s="294"/>
      <c r="G3905" s="603" t="s">
        <v>3984</v>
      </c>
      <c r="H3905" s="377">
        <f>SUMIF($E$3898:$E$3912,$G3905,H$3898:H$3912)</f>
        <v>0</v>
      </c>
      <c r="I3905" s="388"/>
      <c r="K3905" s="291"/>
      <c r="L3905" s="291"/>
      <c r="M3905" s="291"/>
      <c r="N3905" s="291"/>
      <c r="S3905" s="364"/>
      <c r="Z3905" s="609" t="s">
        <v>3975</v>
      </c>
      <c r="AA3905" s="609" t="s">
        <v>5682</v>
      </c>
    </row>
    <row r="3906" spans="1:27" ht="18">
      <c r="A3906" s="2714"/>
      <c r="B3906" s="371">
        <v>102</v>
      </c>
      <c r="C3906" s="371"/>
      <c r="D3906" s="2716">
        <f t="shared" si="433"/>
        <v>1</v>
      </c>
      <c r="E3906" s="2721" t="s">
        <v>41</v>
      </c>
      <c r="F3906" s="294"/>
      <c r="G3906" s="308" t="s">
        <v>3871</v>
      </c>
      <c r="H3906" s="309"/>
      <c r="I3906" s="388"/>
      <c r="K3906" s="291"/>
      <c r="L3906" s="291"/>
      <c r="M3906" s="291"/>
      <c r="N3906" s="291"/>
      <c r="S3906" s="364"/>
      <c r="Z3906" s="609" t="s">
        <v>3975</v>
      </c>
      <c r="AA3906" s="609" t="s">
        <v>5682</v>
      </c>
    </row>
    <row r="3907" spans="1:27" ht="18">
      <c r="A3907" s="2714"/>
      <c r="B3907" s="371">
        <v>102.001</v>
      </c>
      <c r="C3907" s="371" t="s">
        <v>2791</v>
      </c>
      <c r="D3907" s="2716">
        <f t="shared" si="433"/>
        <v>0</v>
      </c>
      <c r="E3907" s="2721" t="s">
        <v>3872</v>
      </c>
      <c r="F3907" s="294"/>
      <c r="G3907" s="319" t="s">
        <v>2792</v>
      </c>
      <c r="H3907" s="309"/>
      <c r="I3907" s="388"/>
      <c r="K3907" s="291"/>
      <c r="L3907" s="291"/>
      <c r="M3907" s="291"/>
      <c r="N3907" s="291"/>
      <c r="S3907" s="364"/>
      <c r="Z3907" s="609" t="s">
        <v>3975</v>
      </c>
      <c r="AA3907" s="609" t="s">
        <v>5682</v>
      </c>
    </row>
    <row r="3908" spans="1:27" ht="18">
      <c r="A3908" s="2714"/>
      <c r="B3908" s="371">
        <v>102.002</v>
      </c>
      <c r="C3908" s="371" t="s">
        <v>2791</v>
      </c>
      <c r="D3908" s="2716">
        <f t="shared" si="433"/>
        <v>0</v>
      </c>
      <c r="E3908" s="2721" t="s">
        <v>3872</v>
      </c>
      <c r="F3908" s="294"/>
      <c r="G3908" s="319" t="s">
        <v>2792</v>
      </c>
      <c r="H3908" s="309"/>
      <c r="I3908" s="388"/>
      <c r="K3908" s="291"/>
      <c r="L3908" s="291"/>
      <c r="M3908" s="291"/>
      <c r="N3908" s="291"/>
      <c r="S3908" s="364"/>
      <c r="Z3908" s="609" t="s">
        <v>3975</v>
      </c>
      <c r="AA3908" s="609" t="s">
        <v>5682</v>
      </c>
    </row>
    <row r="3909" spans="1:27" ht="18">
      <c r="A3909" s="2714"/>
      <c r="B3909" s="371">
        <v>102.003</v>
      </c>
      <c r="C3909" s="371" t="s">
        <v>2791</v>
      </c>
      <c r="D3909" s="2716">
        <f t="shared" si="433"/>
        <v>0</v>
      </c>
      <c r="E3909" s="2721" t="s">
        <v>3872</v>
      </c>
      <c r="F3909" s="294"/>
      <c r="G3909" s="319" t="s">
        <v>2792</v>
      </c>
      <c r="H3909" s="309"/>
      <c r="I3909" s="388"/>
      <c r="K3909" s="291"/>
      <c r="L3909" s="291"/>
      <c r="M3909" s="291"/>
      <c r="N3909" s="291"/>
      <c r="S3909" s="364"/>
      <c r="Z3909" s="609" t="s">
        <v>3975</v>
      </c>
      <c r="AA3909" s="609" t="s">
        <v>5682</v>
      </c>
    </row>
    <row r="3910" spans="1:27" ht="18">
      <c r="A3910" s="2714"/>
      <c r="B3910" s="371">
        <v>102.004</v>
      </c>
      <c r="C3910" s="371" t="s">
        <v>2791</v>
      </c>
      <c r="D3910" s="2716">
        <f t="shared" si="433"/>
        <v>0</v>
      </c>
      <c r="E3910" s="2721" t="s">
        <v>3872</v>
      </c>
      <c r="F3910" s="294"/>
      <c r="G3910" s="319" t="s">
        <v>2792</v>
      </c>
      <c r="H3910" s="309"/>
      <c r="I3910" s="388"/>
      <c r="K3910" s="291"/>
      <c r="L3910" s="291"/>
      <c r="M3910" s="291"/>
      <c r="N3910" s="291"/>
      <c r="S3910" s="364"/>
      <c r="Z3910" s="609" t="s">
        <v>3975</v>
      </c>
      <c r="AA3910" s="609" t="s">
        <v>5682</v>
      </c>
    </row>
    <row r="3911" spans="1:27" ht="18">
      <c r="A3911" s="2714"/>
      <c r="B3911" s="371">
        <v>102.005</v>
      </c>
      <c r="C3911" s="371" t="s">
        <v>2791</v>
      </c>
      <c r="D3911" s="2716">
        <f t="shared" si="433"/>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102.999</v>
      </c>
      <c r="C3912" s="371" t="s">
        <v>2793</v>
      </c>
      <c r="D3912" s="2716">
        <f t="shared" si="433"/>
        <v>1</v>
      </c>
      <c r="E3912" s="2721">
        <v>1</v>
      </c>
      <c r="F3912" s="294"/>
      <c r="G3912" s="549" t="s">
        <v>3872</v>
      </c>
      <c r="H3912" s="377">
        <f>SUMIF($E$3898:$E$3912,$G3912,H$3898:H$3912)</f>
        <v>0</v>
      </c>
      <c r="I3912" s="388"/>
      <c r="K3912" s="291"/>
      <c r="L3912" s="291"/>
      <c r="M3912" s="291"/>
      <c r="N3912" s="291"/>
      <c r="S3912" s="364"/>
      <c r="Z3912" s="609" t="s">
        <v>3975</v>
      </c>
      <c r="AA3912" s="609" t="s">
        <v>5682</v>
      </c>
    </row>
    <row r="3913" spans="1:27" ht="18.75" thickBot="1">
      <c r="A3913" s="2714"/>
      <c r="B3913" s="371"/>
      <c r="C3913" s="371"/>
      <c r="D3913" s="2716">
        <f t="shared" si="433"/>
        <v>1</v>
      </c>
      <c r="E3913" s="2721" t="s">
        <v>2751</v>
      </c>
      <c r="F3913" s="294"/>
      <c r="G3913" s="1529" t="s">
        <v>2752</v>
      </c>
      <c r="H3913" s="2391">
        <f>SUMPRODUCT($E3898:$E3912,H3898:H3912)</f>
        <v>0</v>
      </c>
      <c r="I3913" s="1612"/>
      <c r="K3913" s="291"/>
      <c r="L3913" s="291"/>
      <c r="M3913" s="291"/>
      <c r="N3913" s="291"/>
      <c r="S3913" s="364"/>
      <c r="Z3913" s="609" t="s">
        <v>3975</v>
      </c>
      <c r="AA3913" s="609" t="s">
        <v>5682</v>
      </c>
    </row>
    <row r="3914" spans="1:27" ht="18">
      <c r="A3914" s="2714"/>
      <c r="B3914" s="371"/>
      <c r="C3914" s="371" t="s">
        <v>2755</v>
      </c>
      <c r="D3914" s="371"/>
      <c r="F3914" s="294"/>
      <c r="G3914" s="301"/>
      <c r="H3914" s="315"/>
      <c r="I3914" s="393"/>
      <c r="J3914" s="350"/>
      <c r="K3914" s="291"/>
      <c r="L3914" s="291"/>
      <c r="M3914" s="291"/>
      <c r="N3914" s="291"/>
      <c r="S3914" s="364"/>
      <c r="Z3914" s="609" t="s">
        <v>3975</v>
      </c>
      <c r="AA3914" s="609" t="s">
        <v>5682</v>
      </c>
    </row>
    <row r="3915" spans="1:27" ht="18">
      <c r="A3915" s="2714">
        <v>2315</v>
      </c>
      <c r="B3915" s="371">
        <v>43</v>
      </c>
      <c r="C3915" s="2716" t="str">
        <f>VLOOKUP($A3915,Sheet_Items,2,0)</f>
        <v>持有待售负债</v>
      </c>
      <c r="D3915" s="371"/>
      <c r="F3915" s="294"/>
      <c r="G3915" s="1461" t="str">
        <f>B3915&amp;" "&amp;C3915</f>
        <v>43 持有待售负债</v>
      </c>
      <c r="H3915" s="290"/>
      <c r="I3915" s="290"/>
      <c r="J3915" s="540" t="s">
        <v>2740</v>
      </c>
      <c r="K3915" s="341">
        <f>VLOOKUP($A3915,Sheet_Trialbal,6,0)</f>
        <v>0</v>
      </c>
      <c r="L3915" s="541"/>
      <c r="M3915" s="540" t="s">
        <v>2741</v>
      </c>
      <c r="N3915" s="341">
        <f>VLOOKUP($A3915,Sheet_Trialbal,10,0)</f>
        <v>0</v>
      </c>
      <c r="O3915" s="540"/>
      <c r="S3915" s="364"/>
      <c r="Z3915" s="609" t="s">
        <v>3985</v>
      </c>
      <c r="AA3915" s="609" t="s">
        <v>5683</v>
      </c>
    </row>
    <row r="3916" spans="1:27" ht="18">
      <c r="A3916" s="2714" t="s">
        <v>1599</v>
      </c>
      <c r="B3916" s="371">
        <v>1</v>
      </c>
      <c r="C3916" s="371"/>
      <c r="D3916" s="2716" t="str">
        <f>VLOOKUP($A3916,Sheet_NoteList,2,0)</f>
        <v>持有待售负债明细</v>
      </c>
      <c r="E3916" s="2716" t="s">
        <v>2742</v>
      </c>
      <c r="F3916" s="294"/>
      <c r="G3916" s="307" t="str">
        <f>"("&amp;B3916&amp;")"&amp;D3916</f>
        <v>(1)持有待售负债明细</v>
      </c>
      <c r="H3916" s="1517" t="str">
        <f>$A3916</f>
        <v>2315a</v>
      </c>
      <c r="I3916" s="343" t="s">
        <v>2743</v>
      </c>
      <c r="J3916" s="301" t="s">
        <v>2744</v>
      </c>
      <c r="K3916" s="2210">
        <f>H3924</f>
        <v>0</v>
      </c>
      <c r="L3916" s="345" t="str">
        <f>IF($I3916="适用",IF(K3916="请设置公式",0,IF(ROUND(K$3915-K3916,2)=0,"F/S",ROUND(K$3915-K3916,2))),"#N/A")</f>
        <v>F/S</v>
      </c>
      <c r="M3916" s="301" t="s">
        <v>2745</v>
      </c>
      <c r="N3916" s="2210">
        <f>I3924</f>
        <v>0</v>
      </c>
      <c r="O3916" s="345" t="str">
        <f>IF($I3916="适用",IF(N3916="请设置公式",0,IF(ROUND(N$3915-N3916,2)=0,"F/S",ROUND(N$3915-N3916,2))),"#N/A")</f>
        <v>F/S</v>
      </c>
      <c r="P3916" s="301"/>
      <c r="Q3916" s="290" t="str">
        <f>IF($I3916="不适用","",IF(ROUND(SUM($H$3919:$I$3924),2)=0,"请输入",""))</f>
        <v>请输入</v>
      </c>
      <c r="S3916" s="364"/>
      <c r="Z3916" s="609" t="s">
        <v>3985</v>
      </c>
      <c r="AA3916" s="609" t="s">
        <v>5683</v>
      </c>
    </row>
    <row r="3917" spans="1:27" ht="0.75" customHeight="1" thickBot="1">
      <c r="A3917" s="2714"/>
      <c r="B3917" s="371"/>
      <c r="C3917" s="371"/>
      <c r="D3917" s="371"/>
      <c r="F3917" s="304"/>
      <c r="G3917" s="304" t="s">
        <v>3986</v>
      </c>
      <c r="H3917" s="304" t="s">
        <v>2747</v>
      </c>
      <c r="I3917" s="304" t="s">
        <v>2748</v>
      </c>
      <c r="J3917" s="291"/>
      <c r="K3917" s="291"/>
      <c r="L3917" s="291"/>
      <c r="M3917" s="291"/>
      <c r="S3917" s="364"/>
      <c r="Z3917" s="609" t="s">
        <v>3985</v>
      </c>
      <c r="AA3917" s="609" t="s">
        <v>5683</v>
      </c>
    </row>
    <row r="3918" spans="1:27" ht="18">
      <c r="A3918" s="2714"/>
      <c r="B3918" s="371"/>
      <c r="C3918" s="371"/>
      <c r="D3918" s="371"/>
      <c r="E3918" s="2716" t="s">
        <v>2749</v>
      </c>
      <c r="F3918" s="294"/>
      <c r="G3918" s="410" t="s">
        <v>47</v>
      </c>
      <c r="H3918" s="1454" t="str">
        <f>$V$2</f>
        <v>2019年12月31日</v>
      </c>
      <c r="I3918" s="1455" t="str">
        <f>$V$3</f>
        <v>2018年12月31日</v>
      </c>
      <c r="J3918" s="355" t="s">
        <v>5308</v>
      </c>
      <c r="K3918" s="291"/>
      <c r="L3918" s="291"/>
      <c r="M3918" s="291"/>
      <c r="S3918" s="364"/>
      <c r="Z3918" s="609" t="s">
        <v>3985</v>
      </c>
      <c r="AA3918" s="609" t="s">
        <v>5683</v>
      </c>
    </row>
    <row r="3919" spans="1:27" ht="18">
      <c r="A3919" s="2714"/>
      <c r="B3919" s="371">
        <v>101</v>
      </c>
      <c r="C3919" s="371" t="s">
        <v>2791</v>
      </c>
      <c r="D3919" s="2716">
        <f t="shared" ref="D3919:D3924" si="434">IF(OR(G3919="*",G3919="",G3919=0),0,COUNTIF($G$3919:$G$3924,G3919))</f>
        <v>0</v>
      </c>
      <c r="E3919" s="2721">
        <v>1</v>
      </c>
      <c r="F3919" s="294"/>
      <c r="G3919" s="319" t="s">
        <v>2792</v>
      </c>
      <c r="H3919" s="309"/>
      <c r="I3919" s="346"/>
      <c r="J3919" s="291"/>
      <c r="K3919" s="291"/>
      <c r="L3919" s="291"/>
      <c r="M3919" s="291"/>
      <c r="S3919" s="364"/>
      <c r="Z3919" s="609" t="s">
        <v>3985</v>
      </c>
      <c r="AA3919" s="609" t="s">
        <v>5683</v>
      </c>
    </row>
    <row r="3920" spans="1:27" ht="18">
      <c r="A3920" s="2714"/>
      <c r="B3920" s="371">
        <v>103</v>
      </c>
      <c r="C3920" s="371" t="s">
        <v>2791</v>
      </c>
      <c r="D3920" s="2716">
        <f t="shared" si="434"/>
        <v>0</v>
      </c>
      <c r="E3920" s="2721">
        <v>1</v>
      </c>
      <c r="F3920" s="294"/>
      <c r="G3920" s="319" t="s">
        <v>2792</v>
      </c>
      <c r="H3920" s="309"/>
      <c r="I3920" s="346"/>
      <c r="J3920" s="291"/>
      <c r="K3920" s="291"/>
      <c r="L3920" s="291"/>
      <c r="M3920" s="291"/>
      <c r="S3920" s="364"/>
      <c r="Z3920" s="609" t="s">
        <v>3985</v>
      </c>
      <c r="AA3920" s="609" t="s">
        <v>5683</v>
      </c>
    </row>
    <row r="3921" spans="1:29" ht="18">
      <c r="A3921" s="2714"/>
      <c r="B3921" s="371">
        <v>104</v>
      </c>
      <c r="C3921" s="371" t="s">
        <v>2791</v>
      </c>
      <c r="D3921" s="2716">
        <f t="shared" si="434"/>
        <v>0</v>
      </c>
      <c r="E3921" s="2721">
        <v>1</v>
      </c>
      <c r="F3921" s="294"/>
      <c r="G3921" s="319" t="s">
        <v>2792</v>
      </c>
      <c r="H3921" s="309"/>
      <c r="I3921" s="346"/>
      <c r="J3921" s="291"/>
      <c r="K3921" s="291"/>
      <c r="L3921" s="291"/>
      <c r="M3921" s="291"/>
      <c r="S3921" s="364"/>
      <c r="Z3921" s="609" t="s">
        <v>3985</v>
      </c>
      <c r="AA3921" s="609" t="s">
        <v>5683</v>
      </c>
    </row>
    <row r="3922" spans="1:29" ht="18">
      <c r="A3922" s="2714"/>
      <c r="B3922" s="371">
        <v>104</v>
      </c>
      <c r="C3922" s="371" t="s">
        <v>2791</v>
      </c>
      <c r="D3922" s="2716">
        <f t="shared" si="434"/>
        <v>0</v>
      </c>
      <c r="E3922" s="2721">
        <v>1</v>
      </c>
      <c r="F3922" s="294"/>
      <c r="G3922" s="319" t="s">
        <v>2792</v>
      </c>
      <c r="H3922" s="309"/>
      <c r="I3922" s="346"/>
      <c r="J3922" s="291"/>
      <c r="K3922" s="291"/>
      <c r="L3922" s="291"/>
      <c r="M3922" s="291"/>
      <c r="S3922" s="364"/>
      <c r="Z3922" s="609" t="s">
        <v>3985</v>
      </c>
      <c r="AA3922" s="609" t="s">
        <v>5683</v>
      </c>
    </row>
    <row r="3923" spans="1:29" ht="18">
      <c r="A3923" s="2714"/>
      <c r="B3923" s="371">
        <v>105</v>
      </c>
      <c r="C3923" s="371" t="s">
        <v>2791</v>
      </c>
      <c r="D3923" s="2716">
        <f t="shared" si="434"/>
        <v>0</v>
      </c>
      <c r="E3923" s="2721">
        <v>1</v>
      </c>
      <c r="F3923" s="294"/>
      <c r="G3923" s="319" t="s">
        <v>2792</v>
      </c>
      <c r="H3923" s="309"/>
      <c r="I3923" s="346"/>
      <c r="J3923" s="291"/>
      <c r="K3923" s="291"/>
      <c r="L3923" s="291"/>
      <c r="M3923" s="291"/>
      <c r="S3923" s="364"/>
      <c r="Z3923" s="609" t="s">
        <v>3985</v>
      </c>
      <c r="AA3923" s="609" t="s">
        <v>5683</v>
      </c>
    </row>
    <row r="3924" spans="1:29" ht="18.75" thickBot="1">
      <c r="A3924" s="2714"/>
      <c r="B3924" s="371"/>
      <c r="C3924" s="371"/>
      <c r="D3924" s="2716">
        <f t="shared" si="434"/>
        <v>1</v>
      </c>
      <c r="E3924" s="2721" t="s">
        <v>2751</v>
      </c>
      <c r="F3924" s="294"/>
      <c r="G3924" s="374" t="s">
        <v>2752</v>
      </c>
      <c r="H3924" s="596">
        <f>SUMPRODUCT($E3918:$E3923,H3918:H3923)</f>
        <v>0</v>
      </c>
      <c r="I3924" s="599">
        <f>SUMPRODUCT($E3918:$E3923,I3918:I3923)</f>
        <v>0</v>
      </c>
      <c r="J3924" s="291"/>
      <c r="K3924" s="291"/>
      <c r="L3924" s="291"/>
      <c r="M3924" s="291"/>
      <c r="S3924" s="364"/>
      <c r="Z3924" s="609" t="s">
        <v>3985</v>
      </c>
      <c r="AA3924" s="609" t="s">
        <v>5683</v>
      </c>
    </row>
    <row r="3925" spans="1:29" ht="18">
      <c r="A3925" s="2714"/>
      <c r="B3925" s="371"/>
      <c r="C3925" s="371" t="s">
        <v>2755</v>
      </c>
      <c r="D3925" s="371"/>
      <c r="F3925" s="294"/>
      <c r="G3925" s="301"/>
      <c r="H3925" s="315"/>
      <c r="I3925" s="315"/>
      <c r="J3925" s="291"/>
      <c r="K3925" s="291"/>
      <c r="L3925" s="291"/>
      <c r="M3925" s="291"/>
      <c r="S3925" s="364"/>
      <c r="Z3925" s="609" t="s">
        <v>3985</v>
      </c>
      <c r="AA3925" s="609" t="s">
        <v>5683</v>
      </c>
    </row>
    <row r="3926" spans="1:29" ht="18">
      <c r="A3926" s="2714">
        <v>2395</v>
      </c>
      <c r="B3926" s="371">
        <v>44</v>
      </c>
      <c r="C3926" s="2716" t="str">
        <f>VLOOKUP($A3926,Sheet_Items,2,0)</f>
        <v>一年内到期的非流动负债</v>
      </c>
      <c r="D3926" s="371"/>
      <c r="E3926" s="2716" t="s">
        <v>2739</v>
      </c>
      <c r="F3926" s="294"/>
      <c r="G3926" s="535" t="str">
        <f>B3926&amp;" "&amp;C3926</f>
        <v>44 一年内到期的非流动负债</v>
      </c>
      <c r="H3926" s="306"/>
      <c r="I3926" s="306"/>
      <c r="J3926" s="306" t="s">
        <v>2740</v>
      </c>
      <c r="K3926" s="341">
        <f>VLOOKUP($A3926,Sheet_Trialbal,6,0)</f>
        <v>0</v>
      </c>
      <c r="L3926" s="342"/>
      <c r="M3926" s="306" t="s">
        <v>2741</v>
      </c>
      <c r="N3926" s="341">
        <f>VLOOKUP($A3926,Sheet_Trialbal,10,0)</f>
        <v>0</v>
      </c>
      <c r="O3926" s="306"/>
      <c r="P3926" s="301"/>
      <c r="S3926" s="364"/>
      <c r="Z3926" s="609" t="s">
        <v>3987</v>
      </c>
      <c r="AA3926" s="609" t="s">
        <v>5684</v>
      </c>
    </row>
    <row r="3927" spans="1:29" ht="24">
      <c r="A3927" s="2714" t="s">
        <v>1603</v>
      </c>
      <c r="B3927" s="371">
        <v>1</v>
      </c>
      <c r="C3927" s="371"/>
      <c r="D3927" s="2716" t="str">
        <f>VLOOKUP($A3927,Sheet_NoteList,2,0)</f>
        <v>一年内到期的非流动负债明细项目</v>
      </c>
      <c r="E3927" s="2716" t="s">
        <v>2742</v>
      </c>
      <c r="F3927" s="294"/>
      <c r="G3927" s="372" t="str">
        <f>"("&amp;B3927&amp;")"&amp;D3927</f>
        <v>(1)一年内到期的非流动负债明细项目</v>
      </c>
      <c r="H3927" s="1517" t="str">
        <f>$A3927</f>
        <v>2395a</v>
      </c>
      <c r="I3927" s="343" t="s">
        <v>2743</v>
      </c>
      <c r="J3927" s="301" t="s">
        <v>2744</v>
      </c>
      <c r="K3927" s="2210">
        <f>H3935</f>
        <v>0</v>
      </c>
      <c r="L3927" s="345" t="str">
        <f>IF($I3927="适用",IF(ROUND(K3926-K3927,2)=0,"F/S",ROUND(K3926-K3927,2)),"#N/A")</f>
        <v>F/S</v>
      </c>
      <c r="M3927" s="301" t="s">
        <v>2745</v>
      </c>
      <c r="N3927" s="2210">
        <f>I3935</f>
        <v>0</v>
      </c>
      <c r="O3927" s="345" t="str">
        <f>IF($I3927="适用",IF(ROUND(N3926-N3927,2)=0,"F/S",ROUND(N3926-N3927,2)),"#N/A")</f>
        <v>F/S</v>
      </c>
      <c r="P3927" s="301"/>
      <c r="Q3927" s="290" t="str">
        <f>IF($I3927="不适用","",IF(ROUND(SUM($H$3930:$I$3935),2)=0,"请输入",""))</f>
        <v>请输入</v>
      </c>
      <c r="S3927" s="364"/>
      <c r="Z3927" s="609" t="s">
        <v>3987</v>
      </c>
      <c r="AA3927" s="609" t="s">
        <v>5684</v>
      </c>
    </row>
    <row r="3928" spans="1:29" ht="0.75" customHeight="1" thickBot="1">
      <c r="A3928" s="2714"/>
      <c r="B3928" s="371"/>
      <c r="C3928" s="371"/>
      <c r="D3928" s="371"/>
      <c r="E3928" s="586"/>
      <c r="F3928" s="363"/>
      <c r="G3928" s="363" t="s">
        <v>3988</v>
      </c>
      <c r="H3928" s="294" t="s">
        <v>2747</v>
      </c>
      <c r="I3928" s="294" t="s">
        <v>2748</v>
      </c>
      <c r="J3928" s="291"/>
      <c r="K3928" s="291"/>
      <c r="L3928" s="291"/>
      <c r="M3928" s="291"/>
      <c r="S3928" s="364"/>
      <c r="Z3928" s="609" t="s">
        <v>3987</v>
      </c>
      <c r="AA3928" s="609" t="s">
        <v>5684</v>
      </c>
    </row>
    <row r="3929" spans="1:29" ht="18.75" thickTop="1">
      <c r="A3929" s="2714"/>
      <c r="B3929" s="371"/>
      <c r="C3929" s="371"/>
      <c r="D3929" s="371"/>
      <c r="E3929" s="586" t="s">
        <v>2749</v>
      </c>
      <c r="F3929" s="363"/>
      <c r="G3929" s="2362" t="s">
        <v>47</v>
      </c>
      <c r="H3929" s="2225" t="str">
        <f>$V$2</f>
        <v>2019年12月31日</v>
      </c>
      <c r="I3929" s="2226" t="str">
        <f>$V$3</f>
        <v>2018年12月31日</v>
      </c>
      <c r="J3929" s="355" t="s">
        <v>5309</v>
      </c>
      <c r="K3929" s="1584" t="str">
        <f>""&amp;"&gt;本期:"&amp;""</f>
        <v>&gt;本期:</v>
      </c>
      <c r="L3929" s="1584" t="str">
        <f>""&amp;"&gt;上期:"&amp;""</f>
        <v>&gt;上期:</v>
      </c>
      <c r="M3929" s="2658" t="str">
        <f>""&amp;"NoteID"&amp;""</f>
        <v>NoteID</v>
      </c>
      <c r="S3929" s="364"/>
      <c r="Z3929" s="609" t="s">
        <v>3987</v>
      </c>
      <c r="AA3929" s="609" t="s">
        <v>5684</v>
      </c>
    </row>
    <row r="3930" spans="1:29" ht="18">
      <c r="A3930" s="2714"/>
      <c r="B3930" s="371">
        <v>101</v>
      </c>
      <c r="C3930" s="371"/>
      <c r="D3930" s="2716">
        <f t="shared" ref="D3930:D3935" si="435">IF(OR(G3930="*",G3930="",G3930=0),0,COUNTIF($G$3930:$G$3935,G3930))</f>
        <v>1</v>
      </c>
      <c r="E3930" s="2721">
        <v>1</v>
      </c>
      <c r="F3930" s="294"/>
      <c r="G3930" s="1474" t="s">
        <v>6358</v>
      </c>
      <c r="H3930" s="2275"/>
      <c r="I3930" s="2296"/>
      <c r="J3930" s="357"/>
      <c r="K3930" s="2252">
        <f ca="1">HYPERLINK("#'"&amp;$G$1&amp;"'!"&amp;ADDRESS(ROW(Notes!H4007),COLUMN(Notes!H4007),4),H4007-H3930)</f>
        <v>0</v>
      </c>
      <c r="L3930" s="2252">
        <f ca="1">HYPERLINK("#'"&amp;$G$1&amp;"'!"&amp;ADDRESS(ROW(Notes!I4007),COLUMN(Notes!I4007),4),I4007-I3930)</f>
        <v>0</v>
      </c>
      <c r="M3930" s="2665" t="str">
        <f>H3997</f>
        <v>2501a</v>
      </c>
      <c r="S3930" s="364"/>
      <c r="Z3930" s="609" t="s">
        <v>3987</v>
      </c>
      <c r="AA3930" s="609" t="s">
        <v>5684</v>
      </c>
      <c r="AC3930" s="369" t="s">
        <v>2794</v>
      </c>
    </row>
    <row r="3931" spans="1:29" ht="18">
      <c r="A3931" s="2714"/>
      <c r="B3931" s="371">
        <v>102</v>
      </c>
      <c r="C3931" s="371"/>
      <c r="D3931" s="2716">
        <f t="shared" si="435"/>
        <v>1</v>
      </c>
      <c r="E3931" s="2721">
        <v>1</v>
      </c>
      <c r="F3931" s="294"/>
      <c r="G3931" s="1474" t="s">
        <v>6359</v>
      </c>
      <c r="H3931" s="2275"/>
      <c r="I3931" s="2296"/>
      <c r="J3931" s="357"/>
      <c r="K3931" s="2252">
        <f ca="1">HYPERLINK("#'"&amp;$G$1&amp;"'!"&amp;ADDRESS(ROW(Notes!H4058),COLUMN(Notes!H4058),4),H4058-H3931)</f>
        <v>0</v>
      </c>
      <c r="L3931" s="2252">
        <f ca="1">HYPERLINK("#'"&amp;$G$1&amp;"'!"&amp;ADDRESS(ROW(Notes!I4058),COLUMN(Notes!I4058),4),I4058-I3931)</f>
        <v>0</v>
      </c>
      <c r="M3931" s="2665" t="str">
        <f>H4051</f>
        <v>2502b</v>
      </c>
      <c r="S3931" s="364"/>
      <c r="Z3931" s="609" t="s">
        <v>3987</v>
      </c>
      <c r="AA3931" s="609" t="s">
        <v>5684</v>
      </c>
      <c r="AC3931" s="369" t="s">
        <v>2794</v>
      </c>
    </row>
    <row r="3932" spans="1:29" ht="18">
      <c r="A3932" s="2714"/>
      <c r="B3932" s="371">
        <v>103</v>
      </c>
      <c r="C3932" s="371"/>
      <c r="D3932" s="2716">
        <f t="shared" si="435"/>
        <v>1</v>
      </c>
      <c r="E3932" s="2721">
        <v>1</v>
      </c>
      <c r="F3932" s="294"/>
      <c r="G3932" s="1474" t="s">
        <v>6360</v>
      </c>
      <c r="H3932" s="2275"/>
      <c r="I3932" s="2296"/>
      <c r="J3932" s="357"/>
      <c r="K3932" s="2252">
        <f ca="1">HYPERLINK("#'"&amp;$G$1&amp;"'!"&amp;ADDRESS(ROW(Notes!H4114),COLUMN(Notes!H4114),4),H4114-H3932)</f>
        <v>0</v>
      </c>
      <c r="L3932" s="2252">
        <f ca="1">HYPERLINK("#'"&amp;$G$1&amp;"'!"&amp;ADDRESS(ROW(Notes!I4114),COLUMN(Notes!I4114),4),I4114-I3932)</f>
        <v>0</v>
      </c>
      <c r="M3932" s="2665" t="str">
        <f>H4107</f>
        <v>2706a</v>
      </c>
      <c r="S3932" s="364"/>
      <c r="Z3932" s="609" t="s">
        <v>3987</v>
      </c>
      <c r="AA3932" s="609" t="s">
        <v>5684</v>
      </c>
      <c r="AC3932" s="369" t="s">
        <v>2794</v>
      </c>
    </row>
    <row r="3933" spans="1:29" ht="18">
      <c r="A3933" s="2714"/>
      <c r="B3933" s="371">
        <v>104</v>
      </c>
      <c r="C3933" s="371" t="s">
        <v>2791</v>
      </c>
      <c r="D3933" s="2716">
        <f t="shared" si="435"/>
        <v>0</v>
      </c>
      <c r="E3933" s="2721">
        <v>1</v>
      </c>
      <c r="F3933" s="294"/>
      <c r="G3933" s="2375" t="s">
        <v>2792</v>
      </c>
      <c r="H3933" s="2275"/>
      <c r="I3933" s="2296"/>
      <c r="J3933" s="291"/>
      <c r="K3933" s="456"/>
      <c r="L3933" s="456"/>
      <c r="M3933" s="2666"/>
      <c r="S3933" s="364"/>
      <c r="Z3933" s="609" t="s">
        <v>3987</v>
      </c>
      <c r="AA3933" s="609" t="s">
        <v>5684</v>
      </c>
    </row>
    <row r="3934" spans="1:29" ht="18">
      <c r="A3934" s="2714"/>
      <c r="B3934" s="371">
        <v>106</v>
      </c>
      <c r="C3934" s="371" t="s">
        <v>2791</v>
      </c>
      <c r="D3934" s="2716">
        <f t="shared" si="435"/>
        <v>0</v>
      </c>
      <c r="E3934" s="2721">
        <v>1</v>
      </c>
      <c r="F3934" s="294"/>
      <c r="G3934" s="2375" t="s">
        <v>2792</v>
      </c>
      <c r="H3934" s="2275"/>
      <c r="I3934" s="2296"/>
      <c r="J3934" s="291"/>
      <c r="K3934" s="456"/>
      <c r="L3934" s="456"/>
      <c r="M3934" s="2666"/>
      <c r="S3934" s="364"/>
      <c r="Z3934" s="609" t="s">
        <v>3987</v>
      </c>
      <c r="AA3934" s="609" t="s">
        <v>5684</v>
      </c>
    </row>
    <row r="3935" spans="1:29" ht="18.75" thickBot="1">
      <c r="A3935" s="2714"/>
      <c r="B3935" s="371"/>
      <c r="C3935" s="371"/>
      <c r="D3935" s="2716">
        <f t="shared" si="435"/>
        <v>1</v>
      </c>
      <c r="E3935" s="2721" t="s">
        <v>2751</v>
      </c>
      <c r="F3935" s="294"/>
      <c r="G3935" s="374" t="s">
        <v>2752</v>
      </c>
      <c r="H3935" s="1478">
        <f>SUMPRODUCT($E3929:$E3934,H3929:H3934)</f>
        <v>0</v>
      </c>
      <c r="I3935" s="1479">
        <f>SUMPRODUCT($E3929:$E3934,I3929:I3934)</f>
        <v>0</v>
      </c>
      <c r="J3935" s="291"/>
      <c r="K3935" s="1531">
        <f t="shared" ref="K3935:L3935" ca="1" si="436">SUM(K3930:K3934)</f>
        <v>0</v>
      </c>
      <c r="L3935" s="1531">
        <f t="shared" ca="1" si="436"/>
        <v>0</v>
      </c>
      <c r="M3935" s="2667"/>
      <c r="S3935" s="364"/>
      <c r="Z3935" s="609" t="s">
        <v>3987</v>
      </c>
      <c r="AA3935" s="609" t="s">
        <v>5684</v>
      </c>
    </row>
    <row r="3936" spans="1:29" ht="18">
      <c r="A3936" s="2714"/>
      <c r="B3936" s="371"/>
      <c r="C3936" s="371" t="s">
        <v>2755</v>
      </c>
      <c r="D3936" s="371"/>
      <c r="F3936" s="294"/>
      <c r="G3936" s="301"/>
      <c r="H3936" s="315"/>
      <c r="I3936" s="315"/>
      <c r="J3936" s="291"/>
      <c r="K3936" s="1539" t="s">
        <v>5505</v>
      </c>
      <c r="L3936" s="354"/>
      <c r="M3936" s="354"/>
      <c r="S3936" s="364"/>
      <c r="Z3936" s="609" t="s">
        <v>3987</v>
      </c>
      <c r="AA3936" s="609" t="s">
        <v>5684</v>
      </c>
    </row>
    <row r="3937" spans="1:27" ht="18">
      <c r="A3937" s="2714" t="s">
        <v>1608</v>
      </c>
      <c r="B3937" s="371">
        <v>2</v>
      </c>
      <c r="C3937" s="371"/>
      <c r="D3937" s="2716" t="str">
        <f>VLOOKUP($A3937,Sheet_NoteList,2,0)</f>
        <v>一年内到期的长期借款</v>
      </c>
      <c r="E3937" s="2716" t="s">
        <v>6532</v>
      </c>
      <c r="F3937" s="294"/>
      <c r="G3937" s="307" t="str">
        <f>"("&amp;B3937&amp;")"&amp;D3937</f>
        <v>(2)一年内到期的长期借款</v>
      </c>
      <c r="H3937" s="1517" t="str">
        <f>$A3937</f>
        <v>2395b</v>
      </c>
      <c r="I3937" s="343" t="s">
        <v>5965</v>
      </c>
      <c r="J3937" s="301" t="s">
        <v>5963</v>
      </c>
      <c r="K3937" s="2210">
        <f>H3945</f>
        <v>0</v>
      </c>
      <c r="L3937" s="345" t="str">
        <f>IF($I3937="适用",IF(ROUND(K$3926-K3937,2)&gt;=0,"","#Logical!"),"#N/A")</f>
        <v/>
      </c>
      <c r="M3937" s="301" t="s">
        <v>5970</v>
      </c>
      <c r="N3937" s="2210">
        <f>I3945</f>
        <v>0</v>
      </c>
      <c r="O3937" s="345" t="str">
        <f>IF($I3937="适用",IF(ROUND(N$3926-N3937,2)&gt;=0,"","#Logical!"),"#N/A")</f>
        <v/>
      </c>
      <c r="P3937" s="301"/>
      <c r="Q3937" s="290" t="str">
        <f>IF($I3937="不适用","",IF(ROUND(SUM($H$3940:$I$3945),2)=0,"请输入",""))</f>
        <v>请输入</v>
      </c>
      <c r="S3937" s="364"/>
      <c r="Z3937" s="609" t="s">
        <v>3987</v>
      </c>
      <c r="AA3937" s="609" t="s">
        <v>5684</v>
      </c>
    </row>
    <row r="3938" spans="1:27" ht="0.75" customHeight="1" thickBot="1">
      <c r="A3938" s="2714"/>
      <c r="B3938" s="371"/>
      <c r="C3938" s="371"/>
      <c r="D3938" s="371"/>
      <c r="E3938" s="586"/>
      <c r="F3938" s="518"/>
      <c r="G3938" s="518" t="s">
        <v>3989</v>
      </c>
      <c r="H3938" s="304" t="s">
        <v>2747</v>
      </c>
      <c r="I3938" s="304" t="s">
        <v>2748</v>
      </c>
      <c r="J3938" s="291"/>
      <c r="K3938" s="291"/>
      <c r="L3938" s="291"/>
      <c r="M3938" s="291"/>
      <c r="S3938" s="364"/>
      <c r="Z3938" s="609" t="s">
        <v>3987</v>
      </c>
      <c r="AA3938" s="609" t="s">
        <v>5684</v>
      </c>
    </row>
    <row r="3939" spans="1:27" ht="18">
      <c r="A3939" s="2714"/>
      <c r="B3939" s="371"/>
      <c r="C3939" s="371"/>
      <c r="D3939" s="371"/>
      <c r="E3939" s="586" t="s">
        <v>2749</v>
      </c>
      <c r="F3939" s="363"/>
      <c r="G3939" s="2363" t="s">
        <v>47</v>
      </c>
      <c r="H3939" s="2364" t="s">
        <v>2775</v>
      </c>
      <c r="I3939" s="2365" t="s">
        <v>2776</v>
      </c>
      <c r="J3939" s="355" t="s">
        <v>6141</v>
      </c>
      <c r="K3939" s="291"/>
      <c r="L3939" s="291"/>
      <c r="M3939" s="291"/>
      <c r="S3939" s="364"/>
      <c r="Z3939" s="609" t="s">
        <v>3987</v>
      </c>
      <c r="AA3939" s="609" t="s">
        <v>5684</v>
      </c>
    </row>
    <row r="3940" spans="1:27" ht="18">
      <c r="A3940" s="2714"/>
      <c r="B3940" s="371">
        <v>101</v>
      </c>
      <c r="C3940" s="371"/>
      <c r="D3940" s="2716">
        <f t="shared" ref="D3940:D3945" si="437">IF(OR(G3940="*",G3940="",G3940=0),0,COUNTIF($G$3940:$G$3945,G3940))</f>
        <v>1</v>
      </c>
      <c r="E3940" s="2721">
        <v>1</v>
      </c>
      <c r="F3940" s="294"/>
      <c r="G3940" s="1474" t="s">
        <v>3808</v>
      </c>
      <c r="H3940" s="2275"/>
      <c r="I3940" s="2296"/>
      <c r="J3940" s="291"/>
      <c r="K3940" s="291"/>
      <c r="L3940" s="291"/>
      <c r="M3940" s="291"/>
      <c r="S3940" s="364"/>
      <c r="Z3940" s="609" t="s">
        <v>3987</v>
      </c>
      <c r="AA3940" s="609" t="s">
        <v>5684</v>
      </c>
    </row>
    <row r="3941" spans="1:27" ht="18">
      <c r="A3941" s="2714"/>
      <c r="B3941" s="371">
        <v>102</v>
      </c>
      <c r="C3941" s="371"/>
      <c r="D3941" s="2716">
        <f t="shared" si="437"/>
        <v>1</v>
      </c>
      <c r="E3941" s="2721">
        <v>1</v>
      </c>
      <c r="F3941" s="294"/>
      <c r="G3941" s="1474" t="s">
        <v>3809</v>
      </c>
      <c r="H3941" s="2275"/>
      <c r="I3941" s="2296"/>
      <c r="J3941" s="291"/>
      <c r="K3941" s="291"/>
      <c r="L3941" s="291"/>
      <c r="M3941" s="291"/>
      <c r="S3941" s="364"/>
      <c r="Z3941" s="609" t="s">
        <v>3987</v>
      </c>
      <c r="AA3941" s="609" t="s">
        <v>5684</v>
      </c>
    </row>
    <row r="3942" spans="1:27" ht="18">
      <c r="A3942" s="2714"/>
      <c r="B3942" s="371">
        <v>103</v>
      </c>
      <c r="C3942" s="371"/>
      <c r="D3942" s="2716">
        <f t="shared" si="437"/>
        <v>1</v>
      </c>
      <c r="E3942" s="2721">
        <v>1</v>
      </c>
      <c r="F3942" s="294"/>
      <c r="G3942" s="1474" t="s">
        <v>3810</v>
      </c>
      <c r="H3942" s="2275"/>
      <c r="I3942" s="2296"/>
      <c r="J3942" s="291"/>
      <c r="K3942" s="291"/>
      <c r="L3942" s="291"/>
      <c r="M3942" s="291"/>
      <c r="S3942" s="364"/>
      <c r="Z3942" s="609" t="s">
        <v>3987</v>
      </c>
      <c r="AA3942" s="609" t="s">
        <v>5684</v>
      </c>
    </row>
    <row r="3943" spans="1:27" ht="18">
      <c r="A3943" s="2714"/>
      <c r="B3943" s="371">
        <v>104</v>
      </c>
      <c r="C3943" s="371"/>
      <c r="D3943" s="2716">
        <f t="shared" si="437"/>
        <v>1</v>
      </c>
      <c r="E3943" s="2721">
        <v>1</v>
      </c>
      <c r="F3943" s="294"/>
      <c r="G3943" s="1474" t="s">
        <v>3811</v>
      </c>
      <c r="H3943" s="2275"/>
      <c r="I3943" s="2296"/>
      <c r="J3943" s="291"/>
      <c r="K3943" s="291"/>
      <c r="L3943" s="291"/>
      <c r="M3943" s="291"/>
      <c r="S3943" s="364"/>
      <c r="Z3943" s="609" t="s">
        <v>3987</v>
      </c>
      <c r="AA3943" s="609" t="s">
        <v>5684</v>
      </c>
    </row>
    <row r="3944" spans="1:27" ht="18">
      <c r="A3944" s="2714"/>
      <c r="B3944" s="371">
        <v>105</v>
      </c>
      <c r="C3944" s="371" t="s">
        <v>2791</v>
      </c>
      <c r="D3944" s="2716">
        <f t="shared" si="437"/>
        <v>0</v>
      </c>
      <c r="E3944" s="2721">
        <v>1</v>
      </c>
      <c r="F3944" s="294"/>
      <c r="G3944" s="2375" t="s">
        <v>2792</v>
      </c>
      <c r="H3944" s="2275"/>
      <c r="I3944" s="2296"/>
      <c r="J3944" s="291"/>
      <c r="K3944" s="291"/>
      <c r="L3944" s="291"/>
      <c r="M3944" s="291"/>
      <c r="S3944" s="364"/>
      <c r="Z3944" s="609" t="s">
        <v>3987</v>
      </c>
      <c r="AA3944" s="609" t="s">
        <v>5684</v>
      </c>
    </row>
    <row r="3945" spans="1:27" ht="18.75" thickBot="1">
      <c r="A3945" s="2714"/>
      <c r="B3945" s="371"/>
      <c r="C3945" s="371"/>
      <c r="D3945" s="2716">
        <f t="shared" si="437"/>
        <v>1</v>
      </c>
      <c r="E3945" s="2721" t="s">
        <v>2751</v>
      </c>
      <c r="F3945" s="294"/>
      <c r="G3945" s="1529" t="s">
        <v>2752</v>
      </c>
      <c r="H3945" s="1527">
        <f>SUMPRODUCT($E3939:$E3944,H3939:H3944)</f>
        <v>0</v>
      </c>
      <c r="I3945" s="1528">
        <f>SUMPRODUCT($E3939:$E3944,I3939:I3944)</f>
        <v>0</v>
      </c>
      <c r="J3945" s="291"/>
      <c r="K3945" s="291"/>
      <c r="L3945" s="291"/>
      <c r="M3945" s="291"/>
      <c r="S3945" s="364"/>
      <c r="Z3945" s="609" t="s">
        <v>3987</v>
      </c>
      <c r="AA3945" s="609" t="s">
        <v>5684</v>
      </c>
    </row>
    <row r="3946" spans="1:27" ht="18">
      <c r="A3946" s="2714"/>
      <c r="B3946" s="371"/>
      <c r="C3946" s="371" t="s">
        <v>2755</v>
      </c>
      <c r="D3946" s="371"/>
      <c r="F3946" s="294"/>
      <c r="G3946" s="557"/>
      <c r="H3946" s="315"/>
      <c r="I3946" s="315"/>
      <c r="J3946" s="291"/>
      <c r="K3946" s="291"/>
      <c r="L3946" s="291"/>
      <c r="M3946" s="291"/>
      <c r="S3946" s="364"/>
      <c r="Z3946" s="609" t="s">
        <v>3987</v>
      </c>
      <c r="AA3946" s="609" t="s">
        <v>5684</v>
      </c>
    </row>
    <row r="3947" spans="1:27" ht="18">
      <c r="A3947" s="2714" t="s">
        <v>1612</v>
      </c>
      <c r="B3947" s="371">
        <v>3</v>
      </c>
      <c r="C3947" s="371"/>
      <c r="D3947" s="2716" t="str">
        <f>VLOOKUP($A3947,Sheet_NoteList,2,0)</f>
        <v>一年内到期的应付债券</v>
      </c>
      <c r="E3947" s="2716" t="s">
        <v>6532</v>
      </c>
      <c r="F3947" s="294"/>
      <c r="G3947" s="307" t="str">
        <f>"("&amp;B3947&amp;")"&amp;D3947</f>
        <v>(3)一年内到期的应付债券</v>
      </c>
      <c r="H3947" s="1517" t="str">
        <f>$A3947</f>
        <v>2395e</v>
      </c>
      <c r="I3947" s="343" t="s">
        <v>5965</v>
      </c>
      <c r="J3947" s="301" t="s">
        <v>5963</v>
      </c>
      <c r="K3947" s="2210">
        <f>Q3955</f>
        <v>0</v>
      </c>
      <c r="L3947" s="345" t="str">
        <f>IF($I3947="适用",IF(ROUND(K$3926-K3947,2)&gt;=0,"","#Logical!"),"#N/A")</f>
        <v/>
      </c>
      <c r="M3947" s="301" t="s">
        <v>5964</v>
      </c>
      <c r="N3947" s="2210">
        <f>L3955</f>
        <v>0</v>
      </c>
      <c r="O3947" s="345" t="str">
        <f>IF($I3947="适用",IF(ROUND(N$3926-N3947,2)&gt;=0,"","#Logical!"),"#N/A")</f>
        <v/>
      </c>
      <c r="P3947" s="301"/>
      <c r="Q3947" s="290" t="str">
        <f>IF($I3947="不适用","",IF(ROUND(SUM($H$3950:$Q$3955),2)=0,"请输入",""))</f>
        <v>请输入</v>
      </c>
      <c r="R3947" s="367"/>
      <c r="S3947" s="364"/>
      <c r="Z3947" s="609" t="s">
        <v>3987</v>
      </c>
      <c r="AA3947" s="609" t="s">
        <v>5684</v>
      </c>
    </row>
    <row r="3948" spans="1:27" ht="0.75" customHeight="1" thickBot="1">
      <c r="A3948" s="2714"/>
      <c r="B3948" s="371"/>
      <c r="C3948" s="371"/>
      <c r="D3948" s="371"/>
      <c r="E3948" s="586"/>
      <c r="F3948" s="518"/>
      <c r="G3948" s="518" t="s">
        <v>3990</v>
      </c>
      <c r="H3948" s="304" t="s">
        <v>3431</v>
      </c>
      <c r="I3948" s="304" t="s">
        <v>3991</v>
      </c>
      <c r="J3948" s="304" t="s">
        <v>3992</v>
      </c>
      <c r="K3948" s="304" t="s">
        <v>3993</v>
      </c>
      <c r="L3948" s="304" t="s">
        <v>3242</v>
      </c>
      <c r="M3948" s="304" t="s">
        <v>3994</v>
      </c>
      <c r="N3948" s="304" t="s">
        <v>3995</v>
      </c>
      <c r="O3948" s="304" t="s">
        <v>3996</v>
      </c>
      <c r="P3948" s="304" t="s">
        <v>3997</v>
      </c>
      <c r="Q3948" s="366" t="s">
        <v>3499</v>
      </c>
      <c r="R3948" s="367"/>
      <c r="S3948" s="364"/>
      <c r="T3948" s="291"/>
      <c r="Z3948" s="609" t="s">
        <v>3987</v>
      </c>
      <c r="AA3948" s="609" t="s">
        <v>5684</v>
      </c>
    </row>
    <row r="3949" spans="1:27" ht="18">
      <c r="A3949" s="2714"/>
      <c r="B3949" s="371"/>
      <c r="C3949" s="371"/>
      <c r="D3949" s="371"/>
      <c r="E3949" s="586" t="s">
        <v>2749</v>
      </c>
      <c r="F3949" s="363"/>
      <c r="G3949" s="2363" t="s">
        <v>1613</v>
      </c>
      <c r="H3949" s="2364" t="s">
        <v>3319</v>
      </c>
      <c r="I3949" s="2364" t="s">
        <v>3998</v>
      </c>
      <c r="J3949" s="2364" t="s">
        <v>3999</v>
      </c>
      <c r="K3949" s="2364" t="s">
        <v>4000</v>
      </c>
      <c r="L3949" s="2364" t="s">
        <v>3524</v>
      </c>
      <c r="M3949" s="2364" t="s">
        <v>4001</v>
      </c>
      <c r="N3949" s="2364" t="s">
        <v>4002</v>
      </c>
      <c r="O3949" s="2364" t="s">
        <v>4003</v>
      </c>
      <c r="P3949" s="2364" t="s">
        <v>4004</v>
      </c>
      <c r="Q3949" s="2365" t="s">
        <v>2560</v>
      </c>
      <c r="R3949" s="355" t="s">
        <v>6141</v>
      </c>
      <c r="S3949" s="364"/>
      <c r="T3949" s="291"/>
      <c r="Z3949" s="609" t="s">
        <v>3987</v>
      </c>
      <c r="AA3949" s="609" t="s">
        <v>5684</v>
      </c>
    </row>
    <row r="3950" spans="1:27" ht="18">
      <c r="A3950" s="2714"/>
      <c r="B3950" s="371">
        <v>101</v>
      </c>
      <c r="C3950" s="371" t="s">
        <v>2791</v>
      </c>
      <c r="D3950" s="2716">
        <f t="shared" ref="D3950:D3955" si="438">IF(OR(G3950="*",G3950="",G3950=0),0,COUNTIF($G$3950:$G$3955,G3950))</f>
        <v>0</v>
      </c>
      <c r="E3950" s="2721">
        <v>1</v>
      </c>
      <c r="F3950" s="294"/>
      <c r="G3950" s="2375" t="s">
        <v>2792</v>
      </c>
      <c r="H3950" s="2275"/>
      <c r="I3950" s="2298"/>
      <c r="J3950" s="2298"/>
      <c r="K3950" s="2275"/>
      <c r="L3950" s="2275"/>
      <c r="M3950" s="2275"/>
      <c r="N3950" s="2275"/>
      <c r="O3950" s="2275"/>
      <c r="P3950" s="2275"/>
      <c r="Q3950" s="1477">
        <f>SUM(L3950:N3950,O3950,-P3950)</f>
        <v>0</v>
      </c>
      <c r="R3950" s="367"/>
      <c r="S3950" s="364"/>
      <c r="T3950" s="291"/>
      <c r="Z3950" s="609" t="s">
        <v>3987</v>
      </c>
      <c r="AA3950" s="609" t="s">
        <v>5684</v>
      </c>
    </row>
    <row r="3951" spans="1:27" ht="18">
      <c r="A3951" s="2714"/>
      <c r="B3951" s="371">
        <v>102</v>
      </c>
      <c r="C3951" s="371" t="s">
        <v>2791</v>
      </c>
      <c r="D3951" s="2716">
        <f t="shared" si="438"/>
        <v>0</v>
      </c>
      <c r="E3951" s="2721">
        <v>1</v>
      </c>
      <c r="F3951" s="294"/>
      <c r="G3951" s="2375" t="s">
        <v>2792</v>
      </c>
      <c r="H3951" s="2275"/>
      <c r="I3951" s="2298"/>
      <c r="J3951" s="2298"/>
      <c r="K3951" s="2275"/>
      <c r="L3951" s="2275"/>
      <c r="M3951" s="2275"/>
      <c r="N3951" s="2275"/>
      <c r="O3951" s="2275"/>
      <c r="P3951" s="2275"/>
      <c r="Q3951" s="1477">
        <f>SUM(L3951:N3951,O3951,-P3951)</f>
        <v>0</v>
      </c>
      <c r="R3951" s="367"/>
      <c r="S3951" s="364"/>
      <c r="T3951" s="291"/>
      <c r="Z3951" s="609" t="s">
        <v>3987</v>
      </c>
      <c r="AA3951" s="609" t="s">
        <v>5684</v>
      </c>
    </row>
    <row r="3952" spans="1:27" ht="18">
      <c r="A3952" s="2714"/>
      <c r="B3952" s="371">
        <v>103</v>
      </c>
      <c r="C3952" s="371" t="s">
        <v>2791</v>
      </c>
      <c r="D3952" s="2716">
        <f t="shared" si="438"/>
        <v>0</v>
      </c>
      <c r="E3952" s="2721">
        <v>1</v>
      </c>
      <c r="F3952" s="294"/>
      <c r="G3952" s="2375" t="s">
        <v>2792</v>
      </c>
      <c r="H3952" s="2275"/>
      <c r="I3952" s="2298"/>
      <c r="J3952" s="2298"/>
      <c r="K3952" s="2275"/>
      <c r="L3952" s="2275"/>
      <c r="M3952" s="2275"/>
      <c r="N3952" s="2275"/>
      <c r="O3952" s="2275"/>
      <c r="P3952" s="2275"/>
      <c r="Q3952" s="1477">
        <f>SUM(L3952:N3952,O3952,-P3952)</f>
        <v>0</v>
      </c>
      <c r="R3952" s="367"/>
      <c r="S3952" s="364"/>
      <c r="T3952" s="291"/>
      <c r="Z3952" s="609" t="s">
        <v>3987</v>
      </c>
      <c r="AA3952" s="609" t="s">
        <v>5684</v>
      </c>
    </row>
    <row r="3953" spans="1:27" ht="18">
      <c r="A3953" s="2714"/>
      <c r="B3953" s="371">
        <v>104</v>
      </c>
      <c r="C3953" s="371" t="s">
        <v>2791</v>
      </c>
      <c r="D3953" s="2716">
        <f t="shared" si="438"/>
        <v>0</v>
      </c>
      <c r="E3953" s="2721">
        <v>1</v>
      </c>
      <c r="F3953" s="294"/>
      <c r="G3953" s="2375" t="s">
        <v>2792</v>
      </c>
      <c r="H3953" s="2275"/>
      <c r="I3953" s="2298"/>
      <c r="J3953" s="2298"/>
      <c r="K3953" s="2275"/>
      <c r="L3953" s="2275"/>
      <c r="M3953" s="2275"/>
      <c r="N3953" s="2275"/>
      <c r="O3953" s="2275"/>
      <c r="P3953" s="2275"/>
      <c r="Q3953" s="1477">
        <f>SUM(L3953:N3953,O3953,-P3953)</f>
        <v>0</v>
      </c>
      <c r="R3953" s="367"/>
      <c r="S3953" s="364"/>
      <c r="T3953" s="291"/>
      <c r="Z3953" s="609" t="s">
        <v>3987</v>
      </c>
      <c r="AA3953" s="609" t="s">
        <v>5684</v>
      </c>
    </row>
    <row r="3954" spans="1:27" ht="18">
      <c r="A3954" s="2714"/>
      <c r="B3954" s="371">
        <v>105</v>
      </c>
      <c r="C3954" s="371" t="s">
        <v>2791</v>
      </c>
      <c r="D3954" s="2716">
        <f t="shared" si="438"/>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75" thickBot="1">
      <c r="A3955" s="2714"/>
      <c r="B3955" s="371"/>
      <c r="C3955" s="371"/>
      <c r="D3955" s="2716">
        <f t="shared" si="438"/>
        <v>1</v>
      </c>
      <c r="E3955" s="2721" t="s">
        <v>2751</v>
      </c>
      <c r="F3955" s="294"/>
      <c r="G3955" s="1529" t="s">
        <v>2752</v>
      </c>
      <c r="H3955" s="1527">
        <f>SUMPRODUCT($E3949:$E3954,H3949:H3954)</f>
        <v>0</v>
      </c>
      <c r="I3955" s="2316"/>
      <c r="J3955" s="2316"/>
      <c r="K3955" s="1527">
        <f t="shared" ref="K3955:Q3955" si="439">SUMPRODUCT($E3949:$E3954,K3949:K3954)</f>
        <v>0</v>
      </c>
      <c r="L3955" s="1527">
        <f t="shared" si="439"/>
        <v>0</v>
      </c>
      <c r="M3955" s="1527">
        <f t="shared" si="439"/>
        <v>0</v>
      </c>
      <c r="N3955" s="1527">
        <f t="shared" si="439"/>
        <v>0</v>
      </c>
      <c r="O3955" s="1527">
        <f t="shared" si="439"/>
        <v>0</v>
      </c>
      <c r="P3955" s="1527">
        <f t="shared" si="439"/>
        <v>0</v>
      </c>
      <c r="Q3955" s="1528">
        <f t="shared" si="439"/>
        <v>0</v>
      </c>
      <c r="R3955" s="367"/>
      <c r="S3955" s="364"/>
      <c r="T3955" s="291"/>
      <c r="Z3955" s="609" t="s">
        <v>3987</v>
      </c>
      <c r="AA3955" s="609" t="s">
        <v>5684</v>
      </c>
    </row>
    <row r="3956" spans="1:27" ht="18">
      <c r="A3956" s="2714"/>
      <c r="B3956" s="371"/>
      <c r="C3956" s="371" t="s">
        <v>2755</v>
      </c>
      <c r="D3956" s="371"/>
      <c r="F3956" s="294"/>
      <c r="G3956" s="301"/>
      <c r="H3956" s="315"/>
      <c r="I3956" s="393"/>
      <c r="J3956" s="393"/>
      <c r="K3956" s="315"/>
      <c r="L3956" s="315" t="s">
        <v>3002</v>
      </c>
      <c r="M3956" s="315"/>
      <c r="N3956" s="315"/>
      <c r="O3956" s="315"/>
      <c r="P3956" s="315"/>
      <c r="Q3956" s="566" t="s">
        <v>3002</v>
      </c>
      <c r="R3956" s="367"/>
      <c r="S3956" s="364"/>
      <c r="T3956" s="291"/>
      <c r="Z3956" s="609" t="s">
        <v>3987</v>
      </c>
      <c r="AA3956" s="609" t="s">
        <v>5684</v>
      </c>
    </row>
    <row r="3957" spans="1:27" ht="24">
      <c r="A3957" s="2714" t="s">
        <v>1617</v>
      </c>
      <c r="B3957" s="371">
        <v>4</v>
      </c>
      <c r="C3957" s="371"/>
      <c r="D3957" s="2716" t="str">
        <f>VLOOKUP($A3957,Sheet_NoteList,2,0)</f>
        <v>一年内到期的长期应付款项</v>
      </c>
      <c r="E3957" s="2716" t="s">
        <v>6532</v>
      </c>
      <c r="F3957" s="294"/>
      <c r="G3957" s="372" t="str">
        <f>"("&amp;B3957&amp;")"&amp;D3957</f>
        <v>(4)一年内到期的长期应付款项</v>
      </c>
      <c r="H3957" s="1517" t="str">
        <f>$A3957</f>
        <v>2395f</v>
      </c>
      <c r="I3957" s="343" t="s">
        <v>5966</v>
      </c>
      <c r="J3957" s="301" t="s">
        <v>5971</v>
      </c>
      <c r="K3957" s="2210">
        <f>H3965</f>
        <v>0</v>
      </c>
      <c r="L3957" s="345" t="str">
        <f>IF($I3957="适用",IF(ROUND(K$3926-K3957,2)&gt;=0,"","#Logical!"),"#N/A")</f>
        <v/>
      </c>
      <c r="M3957" s="301" t="s">
        <v>5967</v>
      </c>
      <c r="N3957" s="2210">
        <f>I3965</f>
        <v>0</v>
      </c>
      <c r="O3957" s="345" t="str">
        <f>IF($I3957="适用",IF(ROUND(N$3926-N3957,2)&gt;=0,"","#Logical!"),"#N/A")</f>
        <v/>
      </c>
      <c r="P3957" s="301"/>
      <c r="Q3957" s="290" t="str">
        <f>IF($I3957="不适用","",IF(ROUND(SUM($H$3960:$I$3965),2)=0,"请输入",""))</f>
        <v>请输入</v>
      </c>
      <c r="S3957" s="364"/>
      <c r="Z3957" s="609" t="s">
        <v>3987</v>
      </c>
      <c r="AA3957" s="609" t="s">
        <v>5684</v>
      </c>
    </row>
    <row r="3958" spans="1:27" ht="0.75" customHeight="1" thickBot="1">
      <c r="A3958" s="2714"/>
      <c r="B3958" s="371"/>
      <c r="C3958" s="371"/>
      <c r="D3958" s="371"/>
      <c r="E3958" s="586"/>
      <c r="F3958" s="518"/>
      <c r="G3958" s="518" t="s">
        <v>4005</v>
      </c>
      <c r="H3958" s="304" t="s">
        <v>2747</v>
      </c>
      <c r="I3958" s="304" t="s">
        <v>2748</v>
      </c>
      <c r="J3958" s="387"/>
      <c r="K3958" s="387"/>
      <c r="L3958" s="387"/>
      <c r="M3958" s="387"/>
      <c r="N3958" s="291"/>
      <c r="O3958" s="291"/>
      <c r="P3958" s="291"/>
      <c r="Q3958" s="367"/>
      <c r="R3958" s="367"/>
      <c r="S3958" s="364"/>
      <c r="Z3958" s="609" t="s">
        <v>3987</v>
      </c>
      <c r="AA3958" s="609" t="s">
        <v>5684</v>
      </c>
    </row>
    <row r="3959" spans="1:27" ht="18">
      <c r="A3959" s="2714"/>
      <c r="B3959" s="371"/>
      <c r="C3959" s="371"/>
      <c r="D3959" s="371"/>
      <c r="E3959" s="586" t="s">
        <v>2749</v>
      </c>
      <c r="F3959" s="363"/>
      <c r="G3959" s="2363" t="s">
        <v>47</v>
      </c>
      <c r="H3959" s="2364" t="s">
        <v>2775</v>
      </c>
      <c r="I3959" s="2365" t="s">
        <v>2776</v>
      </c>
      <c r="J3959" s="355" t="s">
        <v>6141</v>
      </c>
      <c r="K3959" s="291"/>
      <c r="L3959" s="291"/>
      <c r="M3959" s="291"/>
      <c r="N3959" s="291"/>
      <c r="O3959" s="291"/>
      <c r="P3959" s="291"/>
      <c r="Q3959" s="367"/>
      <c r="R3959" s="367"/>
      <c r="S3959" s="364"/>
      <c r="Z3959" s="609" t="s">
        <v>3987</v>
      </c>
      <c r="AA3959" s="609" t="s">
        <v>5684</v>
      </c>
    </row>
    <row r="3960" spans="1:27" ht="18">
      <c r="A3960" s="2714"/>
      <c r="B3960" s="371">
        <v>101</v>
      </c>
      <c r="C3960" s="371"/>
      <c r="D3960" s="2716">
        <f t="shared" ref="D3960:D3965" si="440">IF(OR(G3960="*",G3960="",G3960=0),0,COUNTIF($G$3960:$G$3965,G3960))</f>
        <v>1</v>
      </c>
      <c r="E3960" s="2721">
        <v>1</v>
      </c>
      <c r="F3960" s="294"/>
      <c r="G3960" s="1474" t="s">
        <v>4006</v>
      </c>
      <c r="H3960" s="2275"/>
      <c r="I3960" s="2296"/>
      <c r="J3960" s="291"/>
      <c r="K3960" s="291"/>
      <c r="L3960" s="291"/>
      <c r="M3960" s="291"/>
      <c r="N3960" s="291"/>
      <c r="O3960" s="291"/>
      <c r="P3960" s="291"/>
      <c r="Q3960" s="367"/>
      <c r="R3960" s="367"/>
      <c r="S3960" s="364"/>
      <c r="Z3960" s="609" t="s">
        <v>3987</v>
      </c>
      <c r="AA3960" s="609" t="s">
        <v>5684</v>
      </c>
    </row>
    <row r="3961" spans="1:27" ht="18">
      <c r="A3961" s="2714"/>
      <c r="B3961" s="371">
        <v>102</v>
      </c>
      <c r="C3961" s="371" t="s">
        <v>2791</v>
      </c>
      <c r="D3961" s="2716">
        <f t="shared" si="440"/>
        <v>0</v>
      </c>
      <c r="E3961" s="2721">
        <v>1</v>
      </c>
      <c r="F3961" s="294"/>
      <c r="G3961" s="2375" t="s">
        <v>2792</v>
      </c>
      <c r="H3961" s="2275"/>
      <c r="I3961" s="2296"/>
      <c r="J3961" s="291"/>
      <c r="K3961" s="291"/>
      <c r="L3961" s="291"/>
      <c r="M3961" s="291"/>
      <c r="N3961" s="291"/>
      <c r="O3961" s="291"/>
      <c r="P3961" s="291"/>
      <c r="Q3961" s="367"/>
      <c r="R3961" s="367"/>
      <c r="S3961" s="364"/>
      <c r="Z3961" s="609" t="s">
        <v>3987</v>
      </c>
      <c r="AA3961" s="609" t="s">
        <v>5684</v>
      </c>
    </row>
    <row r="3962" spans="1:27" ht="18">
      <c r="A3962" s="2714"/>
      <c r="B3962" s="371">
        <v>103</v>
      </c>
      <c r="C3962" s="371" t="s">
        <v>2791</v>
      </c>
      <c r="D3962" s="2716">
        <f t="shared" si="440"/>
        <v>0</v>
      </c>
      <c r="E3962" s="2721">
        <v>1</v>
      </c>
      <c r="F3962" s="294"/>
      <c r="G3962" s="2375" t="s">
        <v>2792</v>
      </c>
      <c r="H3962" s="2275"/>
      <c r="I3962" s="2296"/>
      <c r="J3962" s="291"/>
      <c r="K3962" s="291"/>
      <c r="L3962" s="291"/>
      <c r="M3962" s="291"/>
      <c r="N3962" s="291"/>
      <c r="O3962" s="291"/>
      <c r="P3962" s="291"/>
      <c r="Q3962" s="367"/>
      <c r="R3962" s="367"/>
      <c r="S3962" s="364"/>
      <c r="Z3962" s="609" t="s">
        <v>3987</v>
      </c>
      <c r="AA3962" s="609" t="s">
        <v>5684</v>
      </c>
    </row>
    <row r="3963" spans="1:27" ht="18">
      <c r="A3963" s="2714"/>
      <c r="B3963" s="371">
        <v>104</v>
      </c>
      <c r="C3963" s="371" t="s">
        <v>2791</v>
      </c>
      <c r="D3963" s="2716">
        <f t="shared" si="440"/>
        <v>0</v>
      </c>
      <c r="E3963" s="2721">
        <v>1</v>
      </c>
      <c r="F3963" s="294"/>
      <c r="G3963" s="2375" t="s">
        <v>2792</v>
      </c>
      <c r="H3963" s="2275"/>
      <c r="I3963" s="2296"/>
      <c r="J3963" s="291"/>
      <c r="K3963" s="291"/>
      <c r="L3963" s="291"/>
      <c r="M3963" s="291"/>
      <c r="N3963" s="291"/>
      <c r="O3963" s="291"/>
      <c r="P3963" s="291"/>
      <c r="Q3963" s="367"/>
      <c r="R3963" s="367"/>
      <c r="S3963" s="364"/>
      <c r="Z3963" s="609" t="s">
        <v>3987</v>
      </c>
      <c r="AA3963" s="609" t="s">
        <v>5684</v>
      </c>
    </row>
    <row r="3964" spans="1:27" ht="18">
      <c r="A3964" s="2714"/>
      <c r="B3964" s="371">
        <v>105</v>
      </c>
      <c r="C3964" s="371" t="s">
        <v>2791</v>
      </c>
      <c r="D3964" s="2716">
        <f t="shared" si="440"/>
        <v>0</v>
      </c>
      <c r="E3964" s="2721">
        <v>1</v>
      </c>
      <c r="F3964" s="294"/>
      <c r="G3964" s="2375" t="s">
        <v>2792</v>
      </c>
      <c r="H3964" s="2275"/>
      <c r="I3964" s="2296"/>
      <c r="J3964" s="291"/>
      <c r="K3964" s="291"/>
      <c r="L3964" s="291"/>
      <c r="M3964" s="291"/>
      <c r="N3964" s="291"/>
      <c r="O3964" s="291"/>
      <c r="P3964" s="291"/>
      <c r="Q3964" s="367"/>
      <c r="R3964" s="367"/>
      <c r="S3964" s="364"/>
      <c r="Z3964" s="609" t="s">
        <v>3987</v>
      </c>
      <c r="AA3964" s="609" t="s">
        <v>5684</v>
      </c>
    </row>
    <row r="3965" spans="1:27" ht="18.75" thickBot="1">
      <c r="A3965" s="2714"/>
      <c r="B3965" s="371"/>
      <c r="C3965" s="371"/>
      <c r="D3965" s="2716">
        <f t="shared" si="440"/>
        <v>1</v>
      </c>
      <c r="E3965" s="2721" t="s">
        <v>2751</v>
      </c>
      <c r="F3965" s="294"/>
      <c r="G3965" s="1529" t="s">
        <v>2752</v>
      </c>
      <c r="H3965" s="1527">
        <f>SUMPRODUCT($E3959:$E3964,H3959:H3964)</f>
        <v>0</v>
      </c>
      <c r="I3965" s="1528">
        <f>SUMPRODUCT($E3959:$E3964,I3959:I3964)</f>
        <v>0</v>
      </c>
      <c r="J3965" s="291"/>
      <c r="K3965" s="291"/>
      <c r="L3965" s="291"/>
      <c r="M3965" s="291"/>
      <c r="N3965" s="291"/>
      <c r="O3965" s="291"/>
      <c r="P3965" s="291"/>
      <c r="Q3965" s="367"/>
      <c r="R3965" s="367"/>
      <c r="S3965" s="364"/>
      <c r="Z3965" s="609" t="s">
        <v>3987</v>
      </c>
      <c r="AA3965" s="609" t="s">
        <v>5684</v>
      </c>
    </row>
    <row r="3966" spans="1:27" ht="18">
      <c r="A3966" s="2714"/>
      <c r="B3966" s="371"/>
      <c r="C3966" s="371" t="s">
        <v>2755</v>
      </c>
      <c r="D3966" s="371"/>
      <c r="F3966" s="294"/>
      <c r="G3966" s="301"/>
      <c r="H3966" s="315" t="s">
        <v>3002</v>
      </c>
      <c r="I3966" s="315" t="s">
        <v>3002</v>
      </c>
      <c r="J3966" s="350"/>
      <c r="K3966" s="349"/>
      <c r="L3966" s="349"/>
      <c r="M3966" s="350"/>
      <c r="N3966" s="291"/>
      <c r="O3966" s="291"/>
      <c r="P3966" s="291"/>
      <c r="Q3966" s="367"/>
      <c r="R3966" s="367"/>
      <c r="S3966" s="364"/>
      <c r="Z3966" s="609" t="s">
        <v>3987</v>
      </c>
      <c r="AA3966" s="609" t="s">
        <v>5684</v>
      </c>
    </row>
    <row r="3967" spans="1:27" ht="18">
      <c r="A3967" s="2714">
        <v>2396</v>
      </c>
      <c r="B3967" s="371">
        <v>45</v>
      </c>
      <c r="C3967" s="2716" t="str">
        <f>VLOOKUP($A3967,Sheet_Items,2,0)</f>
        <v>其他流动负债</v>
      </c>
      <c r="D3967" s="371"/>
      <c r="E3967" s="2716" t="s">
        <v>2739</v>
      </c>
      <c r="F3967" s="294"/>
      <c r="G3967" s="535" t="str">
        <f>B3967&amp;" "&amp;C3967</f>
        <v>45 其他流动负债</v>
      </c>
      <c r="H3967" s="306"/>
      <c r="I3967" s="306"/>
      <c r="J3967" s="306" t="s">
        <v>2740</v>
      </c>
      <c r="K3967" s="341">
        <f>VLOOKUP($A3967,Sheet_Trialbal,6,0)</f>
        <v>0</v>
      </c>
      <c r="L3967" s="342"/>
      <c r="M3967" s="306" t="s">
        <v>2741</v>
      </c>
      <c r="N3967" s="341">
        <f>VLOOKUP($A3967,Sheet_Trialbal,10,0)</f>
        <v>0</v>
      </c>
      <c r="O3967" s="306"/>
      <c r="P3967" s="301"/>
      <c r="S3967" s="364"/>
      <c r="Z3967" s="609" t="s">
        <v>4007</v>
      </c>
      <c r="AA3967" s="609" t="s">
        <v>5685</v>
      </c>
    </row>
    <row r="3968" spans="1:27" ht="18">
      <c r="A3968" s="2714" t="s">
        <v>1621</v>
      </c>
      <c r="B3968" s="371">
        <v>1</v>
      </c>
      <c r="C3968" s="371"/>
      <c r="D3968" s="2716" t="str">
        <f>VLOOKUP($A3968,Sheet_NoteList,2,0)</f>
        <v>其他流动负债明细项目</v>
      </c>
      <c r="E3968" s="2716" t="s">
        <v>2742</v>
      </c>
      <c r="F3968" s="294"/>
      <c r="G3968" s="307" t="str">
        <f>"("&amp;B3968&amp;")"&amp;D3968</f>
        <v>(1)其他流动负债明细项目</v>
      </c>
      <c r="H3968" s="1517" t="str">
        <f>$A3968</f>
        <v>2396a</v>
      </c>
      <c r="I3968" s="343" t="s">
        <v>2743</v>
      </c>
      <c r="J3968" s="301" t="s">
        <v>2744</v>
      </c>
      <c r="K3968" s="2210">
        <f>H3977</f>
        <v>0</v>
      </c>
      <c r="L3968" s="345" t="str">
        <f>IF($I3968="适用",IF(ROUND(K3967-K3968,2)=0,"F/S",ROUND(K3967-K3968,2)),"#N/A")</f>
        <v>F/S</v>
      </c>
      <c r="M3968" s="301" t="s">
        <v>2745</v>
      </c>
      <c r="N3968" s="2210">
        <f>I3977</f>
        <v>0</v>
      </c>
      <c r="O3968" s="345" t="str">
        <f>IF($I3968="适用",IF(ROUND(N3967-N3968,2)=0,"F/S",ROUND(N3967-N3968,2)),"#N/A")</f>
        <v>F/S</v>
      </c>
      <c r="P3968" s="301"/>
      <c r="Q3968" s="290" t="str">
        <f>IF($I3968="不适用","",IF(ROUND(SUM($H$3971:$I$3977),2)=0,"请输入",""))</f>
        <v>请输入</v>
      </c>
      <c r="S3968" s="364"/>
      <c r="Z3968" s="609" t="s">
        <v>4007</v>
      </c>
      <c r="AA3968" s="609" t="s">
        <v>5685</v>
      </c>
    </row>
    <row r="3969" spans="1:29" ht="0.75" customHeight="1" thickBot="1">
      <c r="A3969" s="2714"/>
      <c r="B3969" s="371"/>
      <c r="C3969" s="371"/>
      <c r="D3969" s="371"/>
      <c r="F3969" s="294"/>
      <c r="G3969" s="294" t="s">
        <v>4008</v>
      </c>
      <c r="H3969" s="294" t="s">
        <v>2747</v>
      </c>
      <c r="I3969" s="294" t="s">
        <v>2748</v>
      </c>
      <c r="J3969" s="291"/>
      <c r="K3969" s="291"/>
      <c r="L3969" s="291"/>
      <c r="M3969" s="291"/>
      <c r="S3969" s="364"/>
      <c r="Z3969" s="609" t="s">
        <v>4007</v>
      </c>
      <c r="AA3969" s="609" t="s">
        <v>5685</v>
      </c>
    </row>
    <row r="3970" spans="1:29" ht="18">
      <c r="A3970" s="2714"/>
      <c r="B3970" s="371"/>
      <c r="C3970" s="371"/>
      <c r="D3970" s="371"/>
      <c r="E3970" s="2716" t="s">
        <v>2749</v>
      </c>
      <c r="F3970" s="294"/>
      <c r="G3970" s="410" t="s">
        <v>47</v>
      </c>
      <c r="H3970" s="1454" t="str">
        <f>$V$2</f>
        <v>2019年12月31日</v>
      </c>
      <c r="I3970" s="1455" t="str">
        <f>$V$3</f>
        <v>2018年12月31日</v>
      </c>
      <c r="J3970" s="355" t="s">
        <v>5310</v>
      </c>
      <c r="K3970" s="291"/>
      <c r="L3970" s="291"/>
      <c r="M3970" s="291"/>
      <c r="S3970" s="364"/>
      <c r="Z3970" s="609" t="s">
        <v>4007</v>
      </c>
      <c r="AA3970" s="609" t="s">
        <v>5685</v>
      </c>
    </row>
    <row r="3971" spans="1:29" ht="18">
      <c r="A3971" s="2714"/>
      <c r="B3971" s="371">
        <v>101</v>
      </c>
      <c r="C3971" s="371"/>
      <c r="D3971" s="2716">
        <f t="shared" ref="D3971:D3977" si="441">IF(OR(G3971="*",G3971="",G3971=0),0,COUNTIF($G$3971:$G$3977,G3971))</f>
        <v>1</v>
      </c>
      <c r="E3971" s="2721">
        <v>1</v>
      </c>
      <c r="F3971" s="294"/>
      <c r="G3971" s="308" t="s">
        <v>1627</v>
      </c>
      <c r="H3971" s="309"/>
      <c r="I3971" s="346"/>
      <c r="J3971" s="1533" t="str">
        <f ca="1">HYPERLINK("#'"&amp;$G$1&amp;"'!"&amp;ADDRESS(ROW(Notes!L3990),COLUMN(Notes!L3990),4),"* 请勿删除此行！点击往勾稽单元格，F5+Enter返回")</f>
        <v>* 请勿删除此行！点击往勾稽单元格，F5+Enter返回</v>
      </c>
      <c r="K3971" s="291"/>
      <c r="L3971" s="291"/>
      <c r="M3971" s="291"/>
      <c r="S3971" s="364"/>
      <c r="Z3971" s="609" t="s">
        <v>4007</v>
      </c>
      <c r="AA3971" s="609" t="s">
        <v>5685</v>
      </c>
      <c r="AC3971" s="369" t="s">
        <v>6574</v>
      </c>
    </row>
    <row r="3972" spans="1:29" ht="24">
      <c r="A3972" s="2714"/>
      <c r="B3972" s="371">
        <v>102</v>
      </c>
      <c r="C3972" s="371"/>
      <c r="D3972" s="2716">
        <f t="shared" si="441"/>
        <v>1</v>
      </c>
      <c r="E3972" s="2721">
        <v>1</v>
      </c>
      <c r="F3972" s="294"/>
      <c r="G3972" s="308" t="s">
        <v>5252</v>
      </c>
      <c r="H3972" s="309"/>
      <c r="I3972" s="346"/>
      <c r="J3972" s="357"/>
      <c r="K3972" s="291"/>
      <c r="L3972" s="291"/>
      <c r="M3972" s="291"/>
      <c r="S3972" s="364"/>
      <c r="Z3972" s="609" t="s">
        <v>4007</v>
      </c>
      <c r="AA3972" s="609" t="s">
        <v>5685</v>
      </c>
    </row>
    <row r="3973" spans="1:29" ht="18">
      <c r="A3973" s="2714"/>
      <c r="B3973" s="371">
        <v>103</v>
      </c>
      <c r="C3973" s="371" t="s">
        <v>2791</v>
      </c>
      <c r="D3973" s="2716">
        <f t="shared" si="441"/>
        <v>0</v>
      </c>
      <c r="E3973" s="2721">
        <v>1</v>
      </c>
      <c r="F3973" s="294"/>
      <c r="G3973" s="319" t="s">
        <v>2792</v>
      </c>
      <c r="H3973" s="309"/>
      <c r="I3973" s="346"/>
      <c r="J3973" s="357"/>
      <c r="K3973" s="291"/>
      <c r="L3973" s="291"/>
      <c r="M3973" s="291"/>
      <c r="S3973" s="364"/>
      <c r="Z3973" s="609" t="s">
        <v>4007</v>
      </c>
      <c r="AA3973" s="609" t="s">
        <v>5685</v>
      </c>
    </row>
    <row r="3974" spans="1:29" ht="18">
      <c r="A3974" s="2714"/>
      <c r="B3974" s="371">
        <v>105</v>
      </c>
      <c r="C3974" s="371" t="s">
        <v>2791</v>
      </c>
      <c r="D3974" s="2716">
        <f t="shared" si="441"/>
        <v>0</v>
      </c>
      <c r="E3974" s="2721">
        <v>1</v>
      </c>
      <c r="F3974" s="294"/>
      <c r="G3974" s="319" t="s">
        <v>2792</v>
      </c>
      <c r="H3974" s="309"/>
      <c r="I3974" s="346"/>
      <c r="J3974" s="291"/>
      <c r="K3974" s="291"/>
      <c r="L3974" s="291"/>
      <c r="M3974" s="291"/>
      <c r="S3974" s="364"/>
      <c r="Z3974" s="609" t="s">
        <v>4007</v>
      </c>
      <c r="AA3974" s="609" t="s">
        <v>5685</v>
      </c>
    </row>
    <row r="3975" spans="1:29" ht="18">
      <c r="A3975" s="2714"/>
      <c r="B3975" s="371">
        <v>106</v>
      </c>
      <c r="C3975" s="371" t="s">
        <v>2791</v>
      </c>
      <c r="D3975" s="2716">
        <f t="shared" si="441"/>
        <v>0</v>
      </c>
      <c r="E3975" s="2721">
        <v>1</v>
      </c>
      <c r="F3975" s="294"/>
      <c r="G3975" s="319" t="s">
        <v>2792</v>
      </c>
      <c r="H3975" s="309"/>
      <c r="I3975" s="346"/>
      <c r="J3975" s="291"/>
      <c r="K3975" s="291"/>
      <c r="L3975" s="291"/>
      <c r="M3975" s="291"/>
      <c r="S3975" s="364"/>
      <c r="Z3975" s="609" t="s">
        <v>4007</v>
      </c>
      <c r="AA3975" s="609" t="s">
        <v>5685</v>
      </c>
    </row>
    <row r="3976" spans="1:29" ht="18">
      <c r="A3976" s="2714"/>
      <c r="B3976" s="371">
        <v>107</v>
      </c>
      <c r="C3976" s="371" t="s">
        <v>2791</v>
      </c>
      <c r="D3976" s="2716">
        <f t="shared" si="441"/>
        <v>0</v>
      </c>
      <c r="E3976" s="2721">
        <v>1</v>
      </c>
      <c r="F3976" s="294"/>
      <c r="G3976" s="319" t="s">
        <v>2792</v>
      </c>
      <c r="H3976" s="309"/>
      <c r="I3976" s="346"/>
      <c r="J3976" s="291"/>
      <c r="K3976" s="291"/>
      <c r="L3976" s="291"/>
      <c r="M3976" s="291"/>
      <c r="S3976" s="364"/>
      <c r="Z3976" s="609" t="s">
        <v>4007</v>
      </c>
      <c r="AA3976" s="609" t="s">
        <v>5685</v>
      </c>
    </row>
    <row r="3977" spans="1:29" ht="18.75" thickBot="1">
      <c r="A3977" s="2714"/>
      <c r="B3977" s="371"/>
      <c r="C3977" s="371"/>
      <c r="D3977" s="2716">
        <f t="shared" si="441"/>
        <v>1</v>
      </c>
      <c r="E3977" s="2721" t="s">
        <v>2751</v>
      </c>
      <c r="F3977" s="294"/>
      <c r="G3977" s="374" t="s">
        <v>2752</v>
      </c>
      <c r="H3977" s="375">
        <f>SUMPRODUCT($E3970:$E3976,H3970:H3976)</f>
        <v>0</v>
      </c>
      <c r="I3977" s="395">
        <f>SUMPRODUCT($E3970:$E3976,I3970:I3976)</f>
        <v>0</v>
      </c>
      <c r="J3977" s="291"/>
      <c r="K3977" s="291"/>
      <c r="L3977" s="291"/>
      <c r="M3977" s="291"/>
      <c r="S3977" s="364"/>
      <c r="Z3977" s="609" t="s">
        <v>4007</v>
      </c>
      <c r="AA3977" s="609" t="s">
        <v>5685</v>
      </c>
    </row>
    <row r="3978" spans="1:29" ht="18">
      <c r="A3978" s="2714"/>
      <c r="B3978" s="371"/>
      <c r="C3978" s="371" t="s">
        <v>2755</v>
      </c>
      <c r="D3978" s="371"/>
      <c r="F3978" s="294"/>
      <c r="G3978" s="301"/>
      <c r="H3978" s="315"/>
      <c r="I3978" s="315"/>
      <c r="J3978" s="291"/>
      <c r="K3978" s="291"/>
      <c r="L3978" s="291"/>
      <c r="M3978" s="291"/>
      <c r="S3978" s="364"/>
      <c r="Z3978" s="609" t="s">
        <v>4007</v>
      </c>
      <c r="AA3978" s="609" t="s">
        <v>5685</v>
      </c>
    </row>
    <row r="3979" spans="1:29" ht="24">
      <c r="A3979" s="2714" t="s">
        <v>1626</v>
      </c>
      <c r="B3979" s="371">
        <v>2</v>
      </c>
      <c r="C3979" s="371"/>
      <c r="D3979" s="2716" t="str">
        <f>VLOOKUP($A3979,Sheet_NoteList,2,0)</f>
        <v>短期应付债券的增减变动</v>
      </c>
      <c r="E3979" s="2716" t="s">
        <v>2742</v>
      </c>
      <c r="F3979" s="294"/>
      <c r="G3979" s="372" t="str">
        <f>"("&amp;B3979&amp;")"&amp;D3979</f>
        <v>(2)短期应付债券的增减变动</v>
      </c>
      <c r="H3979" s="1517" t="str">
        <f>$A3979</f>
        <v>2396c</v>
      </c>
      <c r="I3979" s="343" t="s">
        <v>2743</v>
      </c>
      <c r="J3979" s="301" t="s">
        <v>2744</v>
      </c>
      <c r="K3979" s="2210">
        <f>Q3987</f>
        <v>0</v>
      </c>
      <c r="L3979" s="345"/>
      <c r="M3979" s="301" t="s">
        <v>2745</v>
      </c>
      <c r="N3979" s="2210">
        <f>L3987</f>
        <v>0</v>
      </c>
      <c r="O3979" s="315"/>
      <c r="P3979" s="301"/>
      <c r="Q3979" s="290" t="str">
        <f>IF($I3979="不适用","",IF(ROUND(SUM($H$3982:$Q$3987),2)=0,"请输入",""))</f>
        <v>请输入</v>
      </c>
      <c r="R3979" s="367"/>
      <c r="S3979" s="364"/>
      <c r="Z3979" s="609" t="s">
        <v>4007</v>
      </c>
      <c r="AA3979" s="609" t="s">
        <v>5685</v>
      </c>
    </row>
    <row r="3980" spans="1:29" ht="0.75" customHeight="1" thickBot="1">
      <c r="A3980" s="2714"/>
      <c r="B3980" s="371"/>
      <c r="C3980" s="371"/>
      <c r="D3980" s="371"/>
      <c r="F3980" s="304"/>
      <c r="G3980" s="304" t="s">
        <v>4009</v>
      </c>
      <c r="H3980" s="304" t="s">
        <v>3431</v>
      </c>
      <c r="I3980" s="304" t="s">
        <v>3991</v>
      </c>
      <c r="J3980" s="304" t="s">
        <v>3992</v>
      </c>
      <c r="K3980" s="304" t="s">
        <v>3993</v>
      </c>
      <c r="L3980" s="304" t="s">
        <v>3242</v>
      </c>
      <c r="M3980" s="304" t="s">
        <v>3994</v>
      </c>
      <c r="N3980" s="304" t="s">
        <v>3995</v>
      </c>
      <c r="O3980" s="304" t="s">
        <v>3996</v>
      </c>
      <c r="P3980" s="304" t="s">
        <v>3997</v>
      </c>
      <c r="Q3980" s="366" t="s">
        <v>3499</v>
      </c>
      <c r="R3980" s="367"/>
      <c r="S3980" s="364"/>
      <c r="T3980" s="291"/>
      <c r="Z3980" s="609" t="s">
        <v>4007</v>
      </c>
      <c r="AA3980" s="609" t="s">
        <v>5685</v>
      </c>
    </row>
    <row r="3981" spans="1:29" ht="24">
      <c r="A3981" s="2714"/>
      <c r="B3981" s="371"/>
      <c r="C3981" s="371"/>
      <c r="D3981" s="371"/>
      <c r="E3981" s="2716" t="s">
        <v>2749</v>
      </c>
      <c r="F3981" s="294"/>
      <c r="G3981" s="378" t="s">
        <v>1613</v>
      </c>
      <c r="H3981" s="398" t="s">
        <v>3319</v>
      </c>
      <c r="I3981" s="398" t="s">
        <v>3998</v>
      </c>
      <c r="J3981" s="398" t="s">
        <v>3999</v>
      </c>
      <c r="K3981" s="398" t="s">
        <v>4000</v>
      </c>
      <c r="L3981" s="504" t="str">
        <f>$W$3&amp;"余额"</f>
        <v>2018年12月31日余额</v>
      </c>
      <c r="M3981" s="398" t="s">
        <v>4001</v>
      </c>
      <c r="N3981" s="398" t="s">
        <v>4002</v>
      </c>
      <c r="O3981" s="379" t="s">
        <v>4003</v>
      </c>
      <c r="P3981" s="398" t="s">
        <v>4004</v>
      </c>
      <c r="Q3981" s="606" t="str">
        <f>$W$2&amp;"余额"</f>
        <v>2019年12月31日余额</v>
      </c>
      <c r="R3981" s="355" t="s">
        <v>5310</v>
      </c>
      <c r="S3981" s="364"/>
      <c r="T3981" s="291"/>
      <c r="Z3981" s="609" t="s">
        <v>4007</v>
      </c>
      <c r="AA3981" s="609" t="s">
        <v>5685</v>
      </c>
    </row>
    <row r="3982" spans="1:29" ht="18">
      <c r="A3982" s="2714"/>
      <c r="B3982" s="371">
        <v>101</v>
      </c>
      <c r="C3982" s="371" t="s">
        <v>2791</v>
      </c>
      <c r="D3982" s="2716">
        <f t="shared" ref="D3982:D3987" si="442">IF(OR(G3982="*",G3982="",G3982=0),0,COUNTIF($G$3982:$G$3987,G3982))</f>
        <v>0</v>
      </c>
      <c r="E3982" s="2721">
        <v>1</v>
      </c>
      <c r="F3982" s="294"/>
      <c r="G3982" s="409" t="s">
        <v>2792</v>
      </c>
      <c r="H3982" s="383"/>
      <c r="I3982" s="469"/>
      <c r="J3982" s="469"/>
      <c r="K3982" s="383"/>
      <c r="L3982" s="383"/>
      <c r="M3982" s="383"/>
      <c r="N3982" s="383"/>
      <c r="O3982" s="381"/>
      <c r="P3982" s="383"/>
      <c r="Q3982" s="401">
        <f>SUM(L3982:N3982,O3982,-P3982)</f>
        <v>0</v>
      </c>
      <c r="R3982" s="367"/>
      <c r="S3982" s="364"/>
      <c r="T3982" s="291"/>
      <c r="Z3982" s="609" t="s">
        <v>4007</v>
      </c>
      <c r="AA3982" s="609" t="s">
        <v>5685</v>
      </c>
    </row>
    <row r="3983" spans="1:29" ht="18">
      <c r="A3983" s="2714"/>
      <c r="B3983" s="371">
        <v>102</v>
      </c>
      <c r="C3983" s="371" t="s">
        <v>2791</v>
      </c>
      <c r="D3983" s="2716">
        <f t="shared" si="442"/>
        <v>0</v>
      </c>
      <c r="E3983" s="2721">
        <v>1</v>
      </c>
      <c r="F3983" s="294"/>
      <c r="G3983" s="409" t="s">
        <v>2792</v>
      </c>
      <c r="H3983" s="383"/>
      <c r="I3983" s="469"/>
      <c r="J3983" s="469"/>
      <c r="K3983" s="383"/>
      <c r="L3983" s="383"/>
      <c r="M3983" s="383"/>
      <c r="N3983" s="383"/>
      <c r="O3983" s="381"/>
      <c r="P3983" s="383"/>
      <c r="Q3983" s="401">
        <f>SUM(L3983:N3983,O3983,-P3983)</f>
        <v>0</v>
      </c>
      <c r="R3983" s="367"/>
      <c r="S3983" s="364"/>
      <c r="T3983" s="291"/>
      <c r="Z3983" s="609" t="s">
        <v>4007</v>
      </c>
      <c r="AA3983" s="609" t="s">
        <v>5685</v>
      </c>
    </row>
    <row r="3984" spans="1:29" ht="18">
      <c r="A3984" s="2714"/>
      <c r="B3984" s="371">
        <v>103</v>
      </c>
      <c r="C3984" s="371" t="s">
        <v>2791</v>
      </c>
      <c r="D3984" s="2716">
        <f t="shared" si="442"/>
        <v>0</v>
      </c>
      <c r="E3984" s="2721">
        <v>1</v>
      </c>
      <c r="F3984" s="294"/>
      <c r="G3984" s="409" t="s">
        <v>2792</v>
      </c>
      <c r="H3984" s="383"/>
      <c r="I3984" s="469"/>
      <c r="J3984" s="469"/>
      <c r="K3984" s="383"/>
      <c r="L3984" s="383"/>
      <c r="M3984" s="383"/>
      <c r="N3984" s="383"/>
      <c r="O3984" s="381"/>
      <c r="P3984" s="383"/>
      <c r="Q3984" s="401">
        <f>SUM(L3984:N3984,O3984,-P3984)</f>
        <v>0</v>
      </c>
      <c r="R3984" s="367"/>
      <c r="S3984" s="364"/>
      <c r="T3984" s="291"/>
      <c r="Z3984" s="609" t="s">
        <v>4007</v>
      </c>
      <c r="AA3984" s="609" t="s">
        <v>5685</v>
      </c>
    </row>
    <row r="3985" spans="1:29" ht="18">
      <c r="A3985" s="2714"/>
      <c r="B3985" s="371">
        <v>104</v>
      </c>
      <c r="C3985" s="371" t="s">
        <v>2791</v>
      </c>
      <c r="D3985" s="2716">
        <f t="shared" si="442"/>
        <v>0</v>
      </c>
      <c r="E3985" s="2721">
        <v>1</v>
      </c>
      <c r="F3985" s="294"/>
      <c r="G3985" s="409" t="s">
        <v>2792</v>
      </c>
      <c r="H3985" s="383"/>
      <c r="I3985" s="469"/>
      <c r="J3985" s="469"/>
      <c r="K3985" s="383"/>
      <c r="L3985" s="383"/>
      <c r="M3985" s="383"/>
      <c r="N3985" s="383"/>
      <c r="O3985" s="381"/>
      <c r="P3985" s="383"/>
      <c r="Q3985" s="401">
        <f>SUM(L3985:N3985,O3985,-P3985)</f>
        <v>0</v>
      </c>
      <c r="R3985" s="367"/>
      <c r="S3985" s="364"/>
      <c r="T3985" s="291"/>
      <c r="Z3985" s="609" t="s">
        <v>4007</v>
      </c>
      <c r="AA3985" s="609" t="s">
        <v>5685</v>
      </c>
    </row>
    <row r="3986" spans="1:29" ht="18">
      <c r="A3986" s="2714"/>
      <c r="B3986" s="371">
        <v>105</v>
      </c>
      <c r="C3986" s="371" t="s">
        <v>2791</v>
      </c>
      <c r="D3986" s="2716">
        <f t="shared" si="442"/>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9" ht="18.75" thickBot="1">
      <c r="A3987" s="2714"/>
      <c r="B3987" s="371"/>
      <c r="C3987" s="371"/>
      <c r="D3987" s="2716">
        <f t="shared" si="442"/>
        <v>1</v>
      </c>
      <c r="E3987" s="2721" t="s">
        <v>2751</v>
      </c>
      <c r="F3987" s="294"/>
      <c r="G3987" s="403" t="s">
        <v>2752</v>
      </c>
      <c r="H3987" s="503">
        <f>SUMPRODUCT($E3981:$E3986,H3981:H3986)</f>
        <v>0</v>
      </c>
      <c r="I3987" s="512"/>
      <c r="J3987" s="512"/>
      <c r="K3987" s="503">
        <f t="shared" ref="K3987:Q3987" si="443">SUMPRODUCT($E3981:$E3986,K3981:K3986)</f>
        <v>0</v>
      </c>
      <c r="L3987" s="503">
        <f t="shared" si="443"/>
        <v>0</v>
      </c>
      <c r="M3987" s="503">
        <f t="shared" si="443"/>
        <v>0</v>
      </c>
      <c r="N3987" s="503">
        <f t="shared" si="443"/>
        <v>0</v>
      </c>
      <c r="O3987" s="503">
        <f t="shared" si="443"/>
        <v>0</v>
      </c>
      <c r="P3987" s="503">
        <f t="shared" si="443"/>
        <v>0</v>
      </c>
      <c r="Q3987" s="515">
        <f t="shared" si="443"/>
        <v>0</v>
      </c>
      <c r="R3987" s="367"/>
      <c r="S3987" s="364"/>
      <c r="T3987" s="291"/>
      <c r="Z3987" s="609" t="s">
        <v>4007</v>
      </c>
      <c r="AA3987" s="609" t="s">
        <v>5685</v>
      </c>
    </row>
    <row r="3988" spans="1:29" ht="18.75" thickBot="1">
      <c r="A3988" s="2714"/>
      <c r="B3988" s="371"/>
      <c r="C3988" s="371" t="s">
        <v>2755</v>
      </c>
      <c r="D3988" s="371"/>
      <c r="F3988" s="294"/>
      <c r="G3988" s="301"/>
      <c r="H3988" s="315"/>
      <c r="I3988" s="393"/>
      <c r="J3988" s="393"/>
      <c r="K3988" s="315"/>
      <c r="L3988" s="527" t="s">
        <v>3002</v>
      </c>
      <c r="M3988" s="315"/>
      <c r="N3988" s="315"/>
      <c r="O3988" s="315"/>
      <c r="P3988" s="315"/>
      <c r="Q3988" s="528" t="s">
        <v>3002</v>
      </c>
      <c r="R3988" s="367"/>
      <c r="S3988" s="364"/>
      <c r="T3988" s="291"/>
      <c r="Z3988" s="609" t="s">
        <v>4007</v>
      </c>
      <c r="AA3988" s="609" t="s">
        <v>5685</v>
      </c>
    </row>
    <row r="3989" spans="1:29" ht="18.75" thickTop="1">
      <c r="A3989" s="2714"/>
      <c r="B3989" s="371"/>
      <c r="C3989" s="371" t="s">
        <v>2565</v>
      </c>
      <c r="D3989" s="371"/>
      <c r="F3989" s="294"/>
      <c r="G3989" s="454" t="s">
        <v>2756</v>
      </c>
      <c r="H3989" s="455" t="str">
        <f>G3968</f>
        <v>(1)其他流动负债明细项目</v>
      </c>
      <c r="I3989" s="474"/>
      <c r="J3989" s="474"/>
      <c r="K3989" s="474"/>
      <c r="L3989" s="487"/>
      <c r="M3989" s="474"/>
      <c r="N3989" s="474"/>
      <c r="O3989" s="474"/>
      <c r="P3989" s="474"/>
      <c r="Q3989" s="487"/>
      <c r="R3989" s="367"/>
      <c r="S3989" s="364"/>
      <c r="T3989" s="291"/>
      <c r="Z3989" s="609" t="s">
        <v>4007</v>
      </c>
      <c r="AA3989" s="609" t="s">
        <v>5685</v>
      </c>
    </row>
    <row r="3990" spans="1:29" ht="18">
      <c r="A3990" s="2714"/>
      <c r="B3990" s="371"/>
      <c r="C3990" s="371" t="s">
        <v>2565</v>
      </c>
      <c r="D3990" s="371"/>
      <c r="F3990" s="294"/>
      <c r="G3990" s="316" t="str">
        <f>G3971</f>
        <v>短期应付债券</v>
      </c>
      <c r="H3990" s="351"/>
      <c r="I3990" s="351"/>
      <c r="J3990" s="351"/>
      <c r="K3990" s="351"/>
      <c r="L3990" s="2252">
        <f ca="1">HYPERLINK("#'"&amp;$G$1&amp;"'!"&amp;ADDRESS(ROW(Notes!I3971),COLUMN(Notes!I3971),4),I3971)</f>
        <v>0</v>
      </c>
      <c r="M3990" s="351"/>
      <c r="N3990" s="351"/>
      <c r="O3990" s="351"/>
      <c r="P3990" s="351"/>
      <c r="Q3990" s="2669">
        <f ca="1">HYPERLINK("#'"&amp;$G$1&amp;"'!"&amp;ADDRESS(ROW(Notes!H3971),COLUMN(Notes!H3971),4),H3971)</f>
        <v>0</v>
      </c>
      <c r="R3990" s="2668" t="str">
        <f>H3968</f>
        <v>2396a</v>
      </c>
      <c r="S3990" s="364"/>
      <c r="T3990" s="291"/>
      <c r="Z3990" s="609" t="s">
        <v>4007</v>
      </c>
      <c r="AA3990" s="609" t="s">
        <v>5685</v>
      </c>
    </row>
    <row r="3991" spans="1:29" ht="18">
      <c r="A3991" s="2714"/>
      <c r="B3991" s="371"/>
      <c r="C3991" s="371" t="s">
        <v>2565</v>
      </c>
      <c r="D3991" s="371"/>
      <c r="F3991" s="294"/>
      <c r="G3991" s="316" t="s">
        <v>3003</v>
      </c>
      <c r="H3991" s="351"/>
      <c r="I3991" s="351"/>
      <c r="J3991" s="351"/>
      <c r="K3991" s="351"/>
      <c r="L3991" s="456">
        <f>L3987</f>
        <v>0</v>
      </c>
      <c r="M3991" s="351"/>
      <c r="N3991" s="351"/>
      <c r="O3991" s="351"/>
      <c r="P3991" s="351"/>
      <c r="Q3991" s="495">
        <f>Q3987</f>
        <v>0</v>
      </c>
      <c r="R3991" s="367"/>
      <c r="S3991" s="364"/>
      <c r="T3991" s="291"/>
      <c r="Z3991" s="609" t="s">
        <v>4007</v>
      </c>
      <c r="AA3991" s="609" t="s">
        <v>5685</v>
      </c>
    </row>
    <row r="3992" spans="1:29" ht="18.75" thickBot="1">
      <c r="A3992" s="2714"/>
      <c r="B3992" s="371"/>
      <c r="C3992" s="371" t="s">
        <v>2565</v>
      </c>
      <c r="D3992" s="371"/>
      <c r="F3992" s="294"/>
      <c r="G3992" s="457" t="s">
        <v>2757</v>
      </c>
      <c r="H3992" s="356"/>
      <c r="I3992" s="356"/>
      <c r="J3992" s="356"/>
      <c r="K3992" s="356"/>
      <c r="L3992" s="458">
        <f ca="1">IF(AND(L3990="",L3991=""),"",ROUND(L3990-L3991,2))</f>
        <v>0</v>
      </c>
      <c r="M3992" s="356"/>
      <c r="N3992" s="356"/>
      <c r="O3992" s="356"/>
      <c r="P3992" s="356"/>
      <c r="Q3992" s="458">
        <f ca="1">IF(AND(Q3990="",Q3991=""),"",ROUND(Q3990-Q3991,2))</f>
        <v>0</v>
      </c>
      <c r="R3992" s="367"/>
      <c r="S3992" s="364"/>
      <c r="T3992" s="291"/>
      <c r="Z3992" s="609" t="s">
        <v>4007</v>
      </c>
      <c r="AA3992" s="609" t="s">
        <v>5685</v>
      </c>
    </row>
    <row r="3993" spans="1:29" ht="18.75" thickTop="1">
      <c r="A3993" s="2714"/>
      <c r="B3993" s="371"/>
      <c r="C3993" s="371" t="s">
        <v>2565</v>
      </c>
      <c r="D3993" s="371"/>
      <c r="F3993" s="294"/>
      <c r="G3993" s="354"/>
      <c r="H3993" s="317"/>
      <c r="I3993" s="317"/>
      <c r="J3993" s="317"/>
      <c r="K3993" s="317"/>
      <c r="L3993" s="459" t="str">
        <f ca="1">IF(OR(L3992=0,L3992=""),"√","？")</f>
        <v>√</v>
      </c>
      <c r="M3993" s="317"/>
      <c r="N3993" s="317"/>
      <c r="O3993" s="317"/>
      <c r="P3993" s="317"/>
      <c r="Q3993" s="496" t="str">
        <f ca="1">IF(OR(Q3992=0,Q3992=""),"√","？")</f>
        <v>√</v>
      </c>
      <c r="R3993" s="367"/>
      <c r="S3993" s="364"/>
      <c r="T3993" s="291"/>
      <c r="Z3993" s="609" t="s">
        <v>4007</v>
      </c>
      <c r="AA3993" s="609" t="s">
        <v>5685</v>
      </c>
    </row>
    <row r="3994" spans="1:29" ht="18">
      <c r="A3994" s="2714"/>
      <c r="B3994" s="371"/>
      <c r="C3994" s="371" t="s">
        <v>2565</v>
      </c>
      <c r="D3994" s="371"/>
      <c r="F3994" s="294"/>
      <c r="G3994" s="460" t="s">
        <v>2759</v>
      </c>
      <c r="H3994" s="317"/>
      <c r="I3994" s="317"/>
      <c r="J3994" s="317"/>
      <c r="K3994" s="352">
        <f ca="1">SUMIF($H$3993:$Q$3993,"&lt;&gt;√",$H$3992:$Q$3992)</f>
        <v>0</v>
      </c>
      <c r="L3994" s="353" t="str">
        <f ca="1">IF(OR(K3994=0,K3994=""),"√","？")</f>
        <v>√</v>
      </c>
      <c r="M3994" s="317"/>
      <c r="N3994" s="317"/>
      <c r="O3994" s="317"/>
      <c r="P3994" s="317"/>
      <c r="Q3994" s="497"/>
      <c r="R3994" s="367"/>
      <c r="S3994" s="364"/>
      <c r="T3994" s="291"/>
      <c r="Z3994" s="609" t="s">
        <v>4007</v>
      </c>
      <c r="AA3994" s="609" t="s">
        <v>5685</v>
      </c>
    </row>
    <row r="3995" spans="1:29" ht="18">
      <c r="A3995" s="2714"/>
      <c r="B3995" s="371"/>
      <c r="C3995" s="371" t="s">
        <v>2565</v>
      </c>
      <c r="D3995" s="371"/>
      <c r="F3995" s="294"/>
      <c r="G3995" s="354"/>
      <c r="H3995" s="317"/>
      <c r="I3995" s="317"/>
      <c r="J3995" s="317"/>
      <c r="K3995" s="317"/>
      <c r="L3995" s="461"/>
      <c r="M3995" s="317"/>
      <c r="N3995" s="317"/>
      <c r="O3995" s="317"/>
      <c r="P3995" s="317"/>
      <c r="Q3995" s="497"/>
      <c r="R3995" s="367"/>
      <c r="S3995" s="364"/>
      <c r="T3995" s="291"/>
      <c r="Z3995" s="609" t="s">
        <v>4007</v>
      </c>
      <c r="AA3995" s="609" t="s">
        <v>5685</v>
      </c>
    </row>
    <row r="3996" spans="1:29" ht="18">
      <c r="A3996" s="2714">
        <v>2501</v>
      </c>
      <c r="B3996" s="371">
        <v>46</v>
      </c>
      <c r="C3996" s="2716" t="str">
        <f>VLOOKUP($A3996,Sheet_Items,2,0)</f>
        <v>长期借款</v>
      </c>
      <c r="D3996" s="371"/>
      <c r="E3996" s="2716" t="s">
        <v>2739</v>
      </c>
      <c r="F3996" s="294"/>
      <c r="G3996" s="535" t="str">
        <f>B3996&amp;" "&amp;C3996</f>
        <v>46 长期借款</v>
      </c>
      <c r="H3996" s="306"/>
      <c r="I3996" s="306"/>
      <c r="J3996" s="306" t="s">
        <v>2740</v>
      </c>
      <c r="K3996" s="341">
        <f>VLOOKUP($A3996,Sheet_Trialbal,6,0)</f>
        <v>0</v>
      </c>
      <c r="L3996" s="342"/>
      <c r="M3996" s="306" t="s">
        <v>2741</v>
      </c>
      <c r="N3996" s="341">
        <f>VLOOKUP($A3996,Sheet_Trialbal,10,0)</f>
        <v>0</v>
      </c>
      <c r="O3996" s="306"/>
      <c r="P3996" s="301"/>
      <c r="S3996" s="364"/>
      <c r="Z3996" s="609" t="s">
        <v>4014</v>
      </c>
      <c r="AA3996" s="609" t="s">
        <v>5686</v>
      </c>
    </row>
    <row r="3997" spans="1:29" ht="18">
      <c r="A3997" s="2714" t="s">
        <v>1637</v>
      </c>
      <c r="B3997" s="371">
        <v>1</v>
      </c>
      <c r="C3997" s="371"/>
      <c r="D3997" s="2716" t="str">
        <f>VLOOKUP($A3997,Sheet_NoteList,2,0)</f>
        <v>长期借款分类</v>
      </c>
      <c r="E3997" s="2716" t="s">
        <v>2742</v>
      </c>
      <c r="F3997" s="294"/>
      <c r="G3997" s="307" t="str">
        <f>"("&amp;B3997&amp;")"&amp;D3997</f>
        <v>(1)长期借款分类</v>
      </c>
      <c r="H3997" s="1517" t="str">
        <f>$A3997</f>
        <v>2501a</v>
      </c>
      <c r="I3997" s="343" t="s">
        <v>2743</v>
      </c>
      <c r="J3997" s="301" t="s">
        <v>2744</v>
      </c>
      <c r="K3997" s="2210">
        <f>H4008</f>
        <v>0</v>
      </c>
      <c r="L3997" s="345" t="str">
        <f>IF($I3997="适用",IF(ROUND(K3996-K3997,2)=0,"F/S",ROUND(K3996-K3997,2)),"#N/A")</f>
        <v>F/S</v>
      </c>
      <c r="M3997" s="301" t="s">
        <v>2745</v>
      </c>
      <c r="N3997" s="2210">
        <f>I4008</f>
        <v>0</v>
      </c>
      <c r="O3997" s="345" t="str">
        <f>IF($I3997="适用",IF(ROUND(N3996-N3997,2)=0,"F/S",ROUND(N3996-N3997,2)),"#N/A")</f>
        <v>F/S</v>
      </c>
      <c r="P3997" s="301"/>
      <c r="Q3997" s="290" t="str">
        <f ca="1">IF($I3997="不适用","",IF(ROUND(SUM($H$4000:$K$4008),2)=0,"请输入",""))</f>
        <v>请输入</v>
      </c>
      <c r="S3997" s="364"/>
      <c r="Z3997" s="609" t="s">
        <v>4014</v>
      </c>
      <c r="AA3997" s="609" t="s">
        <v>5686</v>
      </c>
    </row>
    <row r="3998" spans="1:29" ht="0.75" customHeight="1" thickBot="1">
      <c r="A3998" s="2714"/>
      <c r="B3998" s="371"/>
      <c r="C3998" s="371"/>
      <c r="D3998" s="371"/>
      <c r="E3998" s="586"/>
      <c r="F3998" s="586"/>
      <c r="G3998" s="586" t="s">
        <v>4015</v>
      </c>
      <c r="H3998" s="371" t="s">
        <v>2747</v>
      </c>
      <c r="I3998" s="371" t="s">
        <v>6289</v>
      </c>
      <c r="J3998" s="371" t="s">
        <v>6290</v>
      </c>
      <c r="K3998" s="476"/>
      <c r="L3998" s="472"/>
      <c r="M3998" s="472"/>
      <c r="N3998" s="442"/>
      <c r="O3998" s="442"/>
      <c r="P3998" s="442"/>
      <c r="Q3998" s="442"/>
      <c r="R3998" s="443"/>
      <c r="S3998" s="364"/>
      <c r="Z3998" s="609" t="s">
        <v>4014</v>
      </c>
      <c r="AA3998" s="609" t="s">
        <v>5686</v>
      </c>
    </row>
    <row r="3999" spans="1:29" ht="18">
      <c r="A3999" s="2714"/>
      <c r="B3999" s="371"/>
      <c r="C3999" s="371"/>
      <c r="D3999" s="371"/>
      <c r="E3999" s="586" t="s">
        <v>2749</v>
      </c>
      <c r="F3999" s="363"/>
      <c r="G3999" s="2408" t="s">
        <v>1359</v>
      </c>
      <c r="H3999" s="2225" t="str">
        <f>$V$2</f>
        <v>2019年12月31日</v>
      </c>
      <c r="I3999" s="2225" t="str">
        <f>$V$3</f>
        <v>2018年12月31日</v>
      </c>
      <c r="J3999" s="2560" t="s">
        <v>6142</v>
      </c>
      <c r="K3999" s="355" t="s">
        <v>5311</v>
      </c>
      <c r="L3999" s="472"/>
      <c r="M3999" s="472"/>
      <c r="N3999" s="442"/>
      <c r="O3999" s="442"/>
      <c r="P3999" s="442"/>
      <c r="Q3999" s="442"/>
      <c r="R3999" s="443"/>
      <c r="S3999" s="364"/>
      <c r="Z3999" s="609" t="s">
        <v>4014</v>
      </c>
      <c r="AA3999" s="609" t="s">
        <v>5686</v>
      </c>
    </row>
    <row r="4000" spans="1:29" ht="18">
      <c r="A4000" s="2714"/>
      <c r="B4000" s="371">
        <v>101</v>
      </c>
      <c r="C4000" s="371"/>
      <c r="D4000" s="2716">
        <f t="shared" ref="D4000:D4008" si="444">IF(OR(G4000="*",G4000="",G4000=0),0,COUNTIF($G$4000:$G$4008,G4000))</f>
        <v>1</v>
      </c>
      <c r="E4000" s="2721" t="s">
        <v>41</v>
      </c>
      <c r="F4000" s="294"/>
      <c r="G4000" s="1474" t="s">
        <v>4016</v>
      </c>
      <c r="H4000" s="2275"/>
      <c r="I4000" s="2275"/>
      <c r="J4000" s="2276"/>
      <c r="K4000" s="437"/>
      <c r="L4000" s="525"/>
      <c r="M4000" s="472"/>
      <c r="N4000" s="442"/>
      <c r="O4000" s="442"/>
      <c r="P4000" s="442"/>
      <c r="Q4000" s="442"/>
      <c r="R4000" s="443"/>
      <c r="S4000" s="364"/>
      <c r="Z4000" s="609" t="s">
        <v>4014</v>
      </c>
      <c r="AA4000" s="609" t="s">
        <v>5686</v>
      </c>
      <c r="AC4000" s="369" t="s">
        <v>2794</v>
      </c>
    </row>
    <row r="4001" spans="1:29" ht="18">
      <c r="A4001" s="2714"/>
      <c r="B4001" s="371">
        <v>101.001</v>
      </c>
      <c r="C4001" s="371"/>
      <c r="D4001" s="2716">
        <f t="shared" si="444"/>
        <v>1</v>
      </c>
      <c r="E4001" s="2721" t="s">
        <v>4017</v>
      </c>
      <c r="F4001" s="294"/>
      <c r="G4001" s="603" t="s">
        <v>3808</v>
      </c>
      <c r="H4001" s="2275"/>
      <c r="I4001" s="2275"/>
      <c r="J4001" s="2276"/>
      <c r="K4001" s="437"/>
      <c r="L4001" s="525"/>
      <c r="M4001" s="472"/>
      <c r="N4001" s="442"/>
      <c r="O4001" s="442"/>
      <c r="P4001" s="442"/>
      <c r="Q4001" s="442"/>
      <c r="R4001" s="443"/>
      <c r="S4001" s="364"/>
      <c r="Z4001" s="609" t="s">
        <v>4014</v>
      </c>
      <c r="AA4001" s="609" t="s">
        <v>5686</v>
      </c>
      <c r="AC4001" s="369" t="s">
        <v>2794</v>
      </c>
    </row>
    <row r="4002" spans="1:29" ht="18">
      <c r="A4002" s="2714"/>
      <c r="B4002" s="371">
        <v>101.002</v>
      </c>
      <c r="C4002" s="371"/>
      <c r="D4002" s="2716">
        <f t="shared" si="444"/>
        <v>1</v>
      </c>
      <c r="E4002" s="2721" t="s">
        <v>4017</v>
      </c>
      <c r="F4002" s="294"/>
      <c r="G4002" s="603" t="s">
        <v>3809</v>
      </c>
      <c r="H4002" s="2275"/>
      <c r="I4002" s="2275"/>
      <c r="J4002" s="2276"/>
      <c r="K4002" s="437"/>
      <c r="L4002" s="525"/>
      <c r="M4002" s="472"/>
      <c r="N4002" s="442"/>
      <c r="O4002" s="442"/>
      <c r="P4002" s="442"/>
      <c r="Q4002" s="442"/>
      <c r="R4002" s="443"/>
      <c r="S4002" s="364"/>
      <c r="Z4002" s="609" t="s">
        <v>4014</v>
      </c>
      <c r="AA4002" s="609" t="s">
        <v>5686</v>
      </c>
      <c r="AC4002" s="369" t="s">
        <v>2794</v>
      </c>
    </row>
    <row r="4003" spans="1:29" ht="18">
      <c r="A4003" s="2714"/>
      <c r="B4003" s="371">
        <v>101.003</v>
      </c>
      <c r="C4003" s="371"/>
      <c r="D4003" s="2716">
        <f t="shared" si="444"/>
        <v>1</v>
      </c>
      <c r="E4003" s="2721" t="s">
        <v>4017</v>
      </c>
      <c r="F4003" s="294"/>
      <c r="G4003" s="603" t="s">
        <v>3810</v>
      </c>
      <c r="H4003" s="2275"/>
      <c r="I4003" s="2275"/>
      <c r="J4003" s="2276"/>
      <c r="K4003" s="437"/>
      <c r="L4003" s="525"/>
      <c r="M4003" s="472"/>
      <c r="N4003" s="442"/>
      <c r="O4003" s="442"/>
      <c r="P4003" s="442"/>
      <c r="Q4003" s="442"/>
      <c r="R4003" s="443"/>
      <c r="S4003" s="364"/>
      <c r="Z4003" s="609" t="s">
        <v>4014</v>
      </c>
      <c r="AA4003" s="609" t="s">
        <v>5686</v>
      </c>
      <c r="AC4003" s="369" t="s">
        <v>2794</v>
      </c>
    </row>
    <row r="4004" spans="1:29" ht="18">
      <c r="A4004" s="2714"/>
      <c r="B4004" s="371">
        <v>101.004</v>
      </c>
      <c r="C4004" s="371"/>
      <c r="D4004" s="2716">
        <f t="shared" si="444"/>
        <v>1</v>
      </c>
      <c r="E4004" s="2721" t="s">
        <v>4017</v>
      </c>
      <c r="F4004" s="294"/>
      <c r="G4004" s="603" t="s">
        <v>3811</v>
      </c>
      <c r="H4004" s="2275"/>
      <c r="I4004" s="2275"/>
      <c r="J4004" s="2276"/>
      <c r="K4004" s="437"/>
      <c r="L4004" s="472"/>
      <c r="M4004" s="472"/>
      <c r="N4004" s="442"/>
      <c r="O4004" s="442"/>
      <c r="P4004" s="442"/>
      <c r="Q4004" s="442"/>
      <c r="R4004" s="443"/>
      <c r="S4004" s="364"/>
      <c r="Z4004" s="609" t="s">
        <v>4014</v>
      </c>
      <c r="AA4004" s="609" t="s">
        <v>5686</v>
      </c>
    </row>
    <row r="4005" spans="1:29" ht="18">
      <c r="A4005" s="2714"/>
      <c r="B4005" s="371">
        <v>101.005</v>
      </c>
      <c r="C4005" s="371" t="s">
        <v>2791</v>
      </c>
      <c r="D4005" s="2716">
        <f t="shared" si="444"/>
        <v>0</v>
      </c>
      <c r="E4005" s="2721" t="s">
        <v>4017</v>
      </c>
      <c r="F4005" s="294"/>
      <c r="G4005" s="578" t="s">
        <v>2792</v>
      </c>
      <c r="H4005" s="2275"/>
      <c r="I4005" s="2275"/>
      <c r="J4005" s="2276"/>
      <c r="K4005" s="437"/>
      <c r="L4005" s="472"/>
      <c r="M4005" s="472"/>
      <c r="N4005" s="442"/>
      <c r="O4005" s="442"/>
      <c r="P4005" s="442"/>
      <c r="Q4005" s="442"/>
      <c r="R4005" s="443"/>
      <c r="S4005" s="364"/>
      <c r="Z4005" s="609" t="s">
        <v>4014</v>
      </c>
      <c r="AA4005" s="609" t="s">
        <v>5686</v>
      </c>
    </row>
    <row r="4006" spans="1:29" ht="18">
      <c r="A4006" s="2714"/>
      <c r="B4006" s="371">
        <v>101.999</v>
      </c>
      <c r="C4006" s="371" t="s">
        <v>2793</v>
      </c>
      <c r="D4006" s="2716">
        <f t="shared" si="444"/>
        <v>1</v>
      </c>
      <c r="E4006" s="2721">
        <v>1</v>
      </c>
      <c r="F4006" s="294"/>
      <c r="G4006" s="1474" t="s">
        <v>4017</v>
      </c>
      <c r="H4006" s="1476">
        <f>SUMIF($E$3999:$E$4007,$G4006,H$3999:H$4007)</f>
        <v>0</v>
      </c>
      <c r="I4006" s="1476">
        <f>SUMIF($E$3999:$E$4007,$G4006,I$3999:I$4007)</f>
        <v>0</v>
      </c>
      <c r="J4006" s="2276"/>
      <c r="K4006" s="437"/>
      <c r="L4006" s="472"/>
      <c r="M4006" s="472"/>
      <c r="N4006" s="442"/>
      <c r="O4006" s="442"/>
      <c r="P4006" s="442"/>
      <c r="Q4006" s="442"/>
      <c r="R4006" s="443"/>
      <c r="S4006" s="364"/>
      <c r="Z4006" s="609" t="s">
        <v>4014</v>
      </c>
      <c r="AA4006" s="609" t="s">
        <v>5686</v>
      </c>
    </row>
    <row r="4007" spans="1:29" ht="18">
      <c r="A4007" s="2714"/>
      <c r="B4007" s="371">
        <v>102</v>
      </c>
      <c r="C4007" s="371" t="s">
        <v>2791</v>
      </c>
      <c r="D4007" s="2716">
        <f t="shared" si="444"/>
        <v>1</v>
      </c>
      <c r="E4007" s="2721">
        <v>-1</v>
      </c>
      <c r="F4007" s="294"/>
      <c r="G4007" s="2568" t="s">
        <v>4018</v>
      </c>
      <c r="H4007" s="2275"/>
      <c r="I4007" s="2275"/>
      <c r="J4007" s="2276"/>
      <c r="K4007" s="1589" t="str">
        <f ca="1">HYPERLINK("#'"&amp;$G$1&amp;"'!"&amp;ADDRESS(ROW(Notes!K3930),COLUMN(Notes!K3930),4),"* 请勿删除此行！点击往勾稽单元格，F5+Enter返回")</f>
        <v>* 请勿删除此行！点击往勾稽单元格，F5+Enter返回</v>
      </c>
      <c r="L4007" s="472"/>
      <c r="M4007" s="472"/>
      <c r="N4007" s="442"/>
      <c r="O4007" s="442"/>
      <c r="P4007" s="442"/>
      <c r="Q4007" s="442"/>
      <c r="R4007" s="443"/>
      <c r="S4007" s="364"/>
      <c r="Z4007" s="609" t="s">
        <v>4014</v>
      </c>
      <c r="AA4007" s="609" t="s">
        <v>5686</v>
      </c>
      <c r="AC4007" s="369" t="s">
        <v>6574</v>
      </c>
    </row>
    <row r="4008" spans="1:29" ht="18.75" thickBot="1">
      <c r="A4008" s="2714"/>
      <c r="B4008" s="371"/>
      <c r="C4008" s="371"/>
      <c r="D4008" s="2716">
        <f t="shared" si="444"/>
        <v>1</v>
      </c>
      <c r="E4008" s="2721" t="s">
        <v>2751</v>
      </c>
      <c r="F4008" s="294"/>
      <c r="G4008" s="374" t="s">
        <v>2752</v>
      </c>
      <c r="H4008" s="1478">
        <f>SUMPRODUCT($E3999:$E4007,H3999:H4007)</f>
        <v>0</v>
      </c>
      <c r="I4008" s="1478">
        <f>SUMPRODUCT($E3999:$E4007,I3999:I4007)</f>
        <v>0</v>
      </c>
      <c r="J4008" s="2260"/>
      <c r="K4008" s="437"/>
      <c r="L4008" s="472"/>
      <c r="M4008" s="472"/>
      <c r="N4008" s="442"/>
      <c r="O4008" s="442"/>
      <c r="P4008" s="442"/>
      <c r="Q4008" s="442"/>
      <c r="R4008" s="443"/>
      <c r="S4008" s="364"/>
      <c r="Z4008" s="609" t="s">
        <v>4014</v>
      </c>
      <c r="AA4008" s="609" t="s">
        <v>5686</v>
      </c>
    </row>
    <row r="4009" spans="1:29" ht="18">
      <c r="A4009" s="2714"/>
      <c r="B4009" s="371"/>
      <c r="C4009" s="371" t="s">
        <v>2755</v>
      </c>
      <c r="D4009" s="371"/>
      <c r="F4009" s="294"/>
      <c r="G4009" s="301"/>
      <c r="H4009" s="315"/>
      <c r="I4009" s="315"/>
      <c r="J4009" s="393"/>
      <c r="K4009" s="427"/>
      <c r="L4009" s="472"/>
      <c r="M4009" s="472"/>
      <c r="N4009" s="442"/>
      <c r="O4009" s="442"/>
      <c r="P4009" s="442"/>
      <c r="Q4009" s="442"/>
      <c r="R4009" s="443"/>
      <c r="S4009" s="364"/>
      <c r="Z4009" s="609" t="s">
        <v>4014</v>
      </c>
      <c r="AA4009" s="609" t="s">
        <v>5686</v>
      </c>
    </row>
    <row r="4010" spans="1:29" ht="24">
      <c r="A4010" s="2714" t="s">
        <v>1642</v>
      </c>
      <c r="B4010" s="371">
        <v>1.1000000000000001</v>
      </c>
      <c r="C4010" s="371"/>
      <c r="D4010" s="2716" t="str">
        <f>VLOOKUP($A4010,Sheet_NoteList,2,0)</f>
        <v>长期借款中的质押借款明细列示</v>
      </c>
      <c r="E4010" s="2716" t="s">
        <v>6532</v>
      </c>
      <c r="F4010" s="294"/>
      <c r="G4010" s="483" t="str">
        <f>"("&amp;B4010&amp;")"&amp;D4010</f>
        <v>(1.1)长期借款中的质押借款明细列示</v>
      </c>
      <c r="H4010" s="1517" t="str">
        <f>$A4010</f>
        <v>2501d</v>
      </c>
      <c r="I4010" s="343" t="s">
        <v>5965</v>
      </c>
      <c r="J4010" s="301" t="s">
        <v>5963</v>
      </c>
      <c r="K4010" s="2210">
        <f>H4018</f>
        <v>0</v>
      </c>
      <c r="L4010" s="345"/>
      <c r="M4010" s="301"/>
      <c r="N4010" s="391"/>
      <c r="O4010" s="345"/>
      <c r="P4010" s="301"/>
      <c r="S4010" s="364"/>
      <c r="Z4010" s="609" t="s">
        <v>4014</v>
      </c>
      <c r="AA4010" s="609" t="s">
        <v>5686</v>
      </c>
    </row>
    <row r="4011" spans="1:29" ht="0.75" customHeight="1" thickBot="1">
      <c r="A4011" s="2714"/>
      <c r="B4011" s="371"/>
      <c r="C4011" s="371"/>
      <c r="D4011" s="371"/>
      <c r="E4011" s="586"/>
      <c r="F4011" s="586"/>
      <c r="G4011" s="586" t="s">
        <v>4020</v>
      </c>
      <c r="H4011" s="371" t="s">
        <v>2747</v>
      </c>
      <c r="I4011" s="371" t="s">
        <v>3813</v>
      </c>
      <c r="J4011" s="371" t="s">
        <v>3814</v>
      </c>
      <c r="K4011" s="371" t="s">
        <v>4021</v>
      </c>
      <c r="L4011" s="543" t="s">
        <v>3145</v>
      </c>
      <c r="M4011" s="290"/>
      <c r="N4011" s="290"/>
      <c r="O4011" s="290"/>
      <c r="P4011" s="290"/>
      <c r="S4011" s="364"/>
      <c r="Z4011" s="609" t="s">
        <v>4014</v>
      </c>
      <c r="AA4011" s="609" t="s">
        <v>5686</v>
      </c>
    </row>
    <row r="4012" spans="1:29" ht="24">
      <c r="A4012" s="2714"/>
      <c r="B4012" s="371"/>
      <c r="C4012" s="371"/>
      <c r="D4012" s="371"/>
      <c r="E4012" s="586" t="s">
        <v>2749</v>
      </c>
      <c r="F4012" s="363"/>
      <c r="G4012" s="2409" t="s">
        <v>1365</v>
      </c>
      <c r="H4012" s="2404" t="s">
        <v>3815</v>
      </c>
      <c r="I4012" s="2404" t="s">
        <v>3816</v>
      </c>
      <c r="J4012" s="2404" t="s">
        <v>3817</v>
      </c>
      <c r="K4012" s="2404" t="s">
        <v>4022</v>
      </c>
      <c r="L4012" s="2403" t="s">
        <v>2508</v>
      </c>
      <c r="M4012" s="355" t="s">
        <v>6141</v>
      </c>
      <c r="N4012" s="290"/>
      <c r="O4012" s="290"/>
      <c r="P4012" s="290"/>
      <c r="S4012" s="364"/>
      <c r="Z4012" s="609" t="s">
        <v>4014</v>
      </c>
      <c r="AA4012" s="609" t="s">
        <v>5686</v>
      </c>
    </row>
    <row r="4013" spans="1:29" ht="18">
      <c r="A4013" s="2714"/>
      <c r="B4013" s="371">
        <v>101</v>
      </c>
      <c r="C4013" s="371" t="s">
        <v>2791</v>
      </c>
      <c r="D4013" s="2716">
        <f t="shared" ref="D4013:D4018" si="445">IF(OR(G4013="*",G4013="",G4013=0),0,COUNTIF($G$4013:$G$4018,G4013))</f>
        <v>0</v>
      </c>
      <c r="E4013" s="2721">
        <v>1</v>
      </c>
      <c r="F4013" s="294"/>
      <c r="G4013" s="2406" t="s">
        <v>2792</v>
      </c>
      <c r="H4013" s="2275"/>
      <c r="I4013" s="2298"/>
      <c r="J4013" s="2298"/>
      <c r="K4013" s="2275"/>
      <c r="L4013" s="2276"/>
      <c r="M4013" s="579"/>
      <c r="N4013" s="290"/>
      <c r="O4013" s="290"/>
      <c r="P4013" s="290"/>
      <c r="S4013" s="364"/>
      <c r="Z4013" s="609" t="s">
        <v>4014</v>
      </c>
      <c r="AA4013" s="609" t="s">
        <v>5686</v>
      </c>
    </row>
    <row r="4014" spans="1:29" ht="18">
      <c r="A4014" s="2714"/>
      <c r="B4014" s="371">
        <v>102</v>
      </c>
      <c r="C4014" s="371" t="s">
        <v>2791</v>
      </c>
      <c r="D4014" s="2716">
        <f t="shared" si="445"/>
        <v>0</v>
      </c>
      <c r="E4014" s="2721">
        <v>1</v>
      </c>
      <c r="F4014" s="294"/>
      <c r="G4014" s="2406" t="s">
        <v>2792</v>
      </c>
      <c r="H4014" s="2275"/>
      <c r="I4014" s="2298"/>
      <c r="J4014" s="2298"/>
      <c r="K4014" s="2275"/>
      <c r="L4014" s="2276"/>
      <c r="M4014" s="290"/>
      <c r="N4014" s="290"/>
      <c r="O4014" s="290"/>
      <c r="P4014" s="290"/>
      <c r="S4014" s="364"/>
      <c r="Z4014" s="609" t="s">
        <v>4014</v>
      </c>
      <c r="AA4014" s="609" t="s">
        <v>5686</v>
      </c>
    </row>
    <row r="4015" spans="1:29" ht="18">
      <c r="A4015" s="2714"/>
      <c r="B4015" s="371">
        <v>103</v>
      </c>
      <c r="C4015" s="371" t="s">
        <v>2791</v>
      </c>
      <c r="D4015" s="2716">
        <f t="shared" si="445"/>
        <v>0</v>
      </c>
      <c r="E4015" s="2721">
        <v>1</v>
      </c>
      <c r="F4015" s="294"/>
      <c r="G4015" s="2406" t="s">
        <v>2792</v>
      </c>
      <c r="H4015" s="2275"/>
      <c r="I4015" s="2298"/>
      <c r="J4015" s="2298"/>
      <c r="K4015" s="2275"/>
      <c r="L4015" s="2276"/>
      <c r="M4015" s="290"/>
      <c r="N4015" s="290"/>
      <c r="O4015" s="290"/>
      <c r="P4015" s="290"/>
      <c r="S4015" s="364"/>
      <c r="Z4015" s="609" t="s">
        <v>4014</v>
      </c>
      <c r="AA4015" s="609" t="s">
        <v>5686</v>
      </c>
    </row>
    <row r="4016" spans="1:29" ht="18">
      <c r="A4016" s="2714"/>
      <c r="B4016" s="371">
        <v>104</v>
      </c>
      <c r="C4016" s="371" t="s">
        <v>2791</v>
      </c>
      <c r="D4016" s="2716">
        <f t="shared" si="445"/>
        <v>0</v>
      </c>
      <c r="E4016" s="2721">
        <v>1</v>
      </c>
      <c r="F4016" s="294"/>
      <c r="G4016" s="2406" t="s">
        <v>2792</v>
      </c>
      <c r="H4016" s="2275"/>
      <c r="I4016" s="2298"/>
      <c r="J4016" s="2298"/>
      <c r="K4016" s="2275"/>
      <c r="L4016" s="2276"/>
      <c r="M4016" s="290"/>
      <c r="N4016" s="290"/>
      <c r="O4016" s="290"/>
      <c r="P4016" s="290"/>
      <c r="S4016" s="364"/>
      <c r="Z4016" s="609" t="s">
        <v>4014</v>
      </c>
      <c r="AA4016" s="609" t="s">
        <v>5686</v>
      </c>
    </row>
    <row r="4017" spans="1:27" ht="18">
      <c r="A4017" s="2714"/>
      <c r="B4017" s="371">
        <v>105</v>
      </c>
      <c r="C4017" s="371" t="s">
        <v>2791</v>
      </c>
      <c r="D4017" s="2716">
        <f t="shared" si="445"/>
        <v>0</v>
      </c>
      <c r="E4017" s="2721">
        <v>1</v>
      </c>
      <c r="F4017" s="294"/>
      <c r="G4017" s="2406" t="s">
        <v>2792</v>
      </c>
      <c r="H4017" s="2275"/>
      <c r="I4017" s="2298"/>
      <c r="J4017" s="2298"/>
      <c r="K4017" s="2275"/>
      <c r="L4017" s="2276"/>
      <c r="M4017" s="290"/>
      <c r="N4017" s="290"/>
      <c r="O4017" s="290"/>
      <c r="P4017" s="290"/>
      <c r="S4017" s="364"/>
      <c r="Z4017" s="609" t="s">
        <v>4014</v>
      </c>
      <c r="AA4017" s="609" t="s">
        <v>5686</v>
      </c>
    </row>
    <row r="4018" spans="1:27" ht="18.75" thickBot="1">
      <c r="A4018" s="2714"/>
      <c r="B4018" s="371"/>
      <c r="C4018" s="371"/>
      <c r="D4018" s="2716">
        <f t="shared" si="445"/>
        <v>1</v>
      </c>
      <c r="E4018" s="2721" t="s">
        <v>2751</v>
      </c>
      <c r="F4018" s="294"/>
      <c r="G4018" s="1529" t="s">
        <v>2752</v>
      </c>
      <c r="H4018" s="1527">
        <f>SUMPRODUCT($E4012:$E4017,H4012:H4017)</f>
        <v>0</v>
      </c>
      <c r="I4018" s="2316"/>
      <c r="J4018" s="2316"/>
      <c r="K4018" s="1527">
        <f>SUMPRODUCT($E4012:$E4017,K4012:K4017)</f>
        <v>0</v>
      </c>
      <c r="L4018" s="2266"/>
      <c r="M4018" s="290"/>
      <c r="N4018" s="290"/>
      <c r="O4018" s="290"/>
      <c r="P4018" s="290"/>
      <c r="S4018" s="364"/>
      <c r="Z4018" s="609" t="s">
        <v>4014</v>
      </c>
      <c r="AA4018" s="609" t="s">
        <v>5686</v>
      </c>
    </row>
    <row r="4019" spans="1:27" ht="18">
      <c r="A4019" s="2714"/>
      <c r="B4019" s="371"/>
      <c r="C4019" s="371" t="s">
        <v>2755</v>
      </c>
      <c r="D4019" s="371"/>
      <c r="F4019" s="294"/>
      <c r="G4019" s="301"/>
      <c r="H4019" s="315" t="s">
        <v>3002</v>
      </c>
      <c r="I4019" s="393"/>
      <c r="J4019" s="393"/>
      <c r="K4019" s="566"/>
      <c r="L4019" s="545"/>
      <c r="M4019" s="290"/>
      <c r="N4019" s="290"/>
      <c r="O4019" s="290"/>
      <c r="P4019" s="290"/>
      <c r="S4019" s="364"/>
      <c r="Z4019" s="609" t="s">
        <v>4014</v>
      </c>
      <c r="AA4019" s="609" t="s">
        <v>5686</v>
      </c>
    </row>
    <row r="4020" spans="1:27" ht="24">
      <c r="A4020" s="2714" t="s">
        <v>1647</v>
      </c>
      <c r="B4020" s="371">
        <v>1.2</v>
      </c>
      <c r="C4020" s="371"/>
      <c r="D4020" s="2716" t="str">
        <f>VLOOKUP($A4020,Sheet_NoteList,2,0)</f>
        <v>长期借款中的抵押借款明细列示</v>
      </c>
      <c r="E4020" s="2716" t="s">
        <v>6532</v>
      </c>
      <c r="F4020" s="294"/>
      <c r="G4020" s="483" t="str">
        <f>"("&amp;B4020&amp;")"&amp;D4020</f>
        <v>(1.2)长期借款中的抵押借款明细列示</v>
      </c>
      <c r="H4020" s="1517" t="str">
        <f>$A4020</f>
        <v>2501e</v>
      </c>
      <c r="I4020" s="343" t="s">
        <v>5966</v>
      </c>
      <c r="J4020" s="301" t="s">
        <v>5971</v>
      </c>
      <c r="K4020" s="2210">
        <f>H4028</f>
        <v>0</v>
      </c>
      <c r="L4020" s="345"/>
      <c r="M4020" s="301"/>
      <c r="N4020" s="391"/>
      <c r="O4020" s="345"/>
      <c r="P4020" s="301"/>
      <c r="S4020" s="364"/>
      <c r="Z4020" s="609" t="s">
        <v>4014</v>
      </c>
      <c r="AA4020" s="609" t="s">
        <v>5686</v>
      </c>
    </row>
    <row r="4021" spans="1:27" ht="0.75" customHeight="1" thickBot="1">
      <c r="A4021" s="2714"/>
      <c r="B4021" s="371"/>
      <c r="C4021" s="371"/>
      <c r="D4021" s="371"/>
      <c r="E4021" s="586"/>
      <c r="F4021" s="586"/>
      <c r="G4021" s="586" t="s">
        <v>4023</v>
      </c>
      <c r="H4021" s="371" t="s">
        <v>2747</v>
      </c>
      <c r="I4021" s="371" t="s">
        <v>3813</v>
      </c>
      <c r="J4021" s="371" t="s">
        <v>3814</v>
      </c>
      <c r="K4021" s="371" t="s">
        <v>4021</v>
      </c>
      <c r="L4021" s="543" t="s">
        <v>3145</v>
      </c>
      <c r="M4021" s="290"/>
      <c r="N4021" s="290"/>
      <c r="O4021" s="290"/>
      <c r="P4021" s="290"/>
      <c r="S4021" s="364"/>
      <c r="Z4021" s="609" t="s">
        <v>4014</v>
      </c>
      <c r="AA4021" s="609" t="s">
        <v>5686</v>
      </c>
    </row>
    <row r="4022" spans="1:27" ht="24">
      <c r="A4022" s="2714"/>
      <c r="B4022" s="371"/>
      <c r="C4022" s="371"/>
      <c r="D4022" s="371"/>
      <c r="E4022" s="586" t="s">
        <v>2749</v>
      </c>
      <c r="F4022" s="363"/>
      <c r="G4022" s="2409" t="s">
        <v>1365</v>
      </c>
      <c r="H4022" s="2404" t="s">
        <v>3815</v>
      </c>
      <c r="I4022" s="2404" t="s">
        <v>3819</v>
      </c>
      <c r="J4022" s="2404" t="s">
        <v>3820</v>
      </c>
      <c r="K4022" s="2404" t="s">
        <v>4022</v>
      </c>
      <c r="L4022" s="2403" t="s">
        <v>2508</v>
      </c>
      <c r="M4022" s="355" t="s">
        <v>6141</v>
      </c>
      <c r="N4022" s="290"/>
      <c r="O4022" s="290"/>
      <c r="P4022" s="290"/>
      <c r="S4022" s="364"/>
      <c r="Z4022" s="609" t="s">
        <v>4014</v>
      </c>
      <c r="AA4022" s="609" t="s">
        <v>5686</v>
      </c>
    </row>
    <row r="4023" spans="1:27" ht="18">
      <c r="A4023" s="2714"/>
      <c r="B4023" s="371">
        <v>101</v>
      </c>
      <c r="C4023" s="371" t="s">
        <v>2791</v>
      </c>
      <c r="D4023" s="2716">
        <f t="shared" ref="D4023:D4028" si="446">IF(OR(G4023="*",G4023="",G4023=0),0,COUNTIF($G$4023:$G$4028,G4023))</f>
        <v>0</v>
      </c>
      <c r="E4023" s="2721">
        <v>1</v>
      </c>
      <c r="F4023" s="294"/>
      <c r="G4023" s="2406" t="s">
        <v>2792</v>
      </c>
      <c r="H4023" s="2275"/>
      <c r="I4023" s="2298"/>
      <c r="J4023" s="2298"/>
      <c r="K4023" s="2275"/>
      <c r="L4023" s="2276"/>
      <c r="M4023" s="579"/>
      <c r="N4023" s="290"/>
      <c r="O4023" s="290"/>
      <c r="P4023" s="290"/>
      <c r="S4023" s="364"/>
      <c r="Z4023" s="609" t="s">
        <v>4014</v>
      </c>
      <c r="AA4023" s="609" t="s">
        <v>5686</v>
      </c>
    </row>
    <row r="4024" spans="1:27" ht="18">
      <c r="A4024" s="2714"/>
      <c r="B4024" s="371">
        <v>102</v>
      </c>
      <c r="C4024" s="371" t="s">
        <v>2791</v>
      </c>
      <c r="D4024" s="2716">
        <f t="shared" si="446"/>
        <v>0</v>
      </c>
      <c r="E4024" s="2721">
        <v>1</v>
      </c>
      <c r="F4024" s="294"/>
      <c r="G4024" s="2406" t="s">
        <v>2792</v>
      </c>
      <c r="H4024" s="2275"/>
      <c r="I4024" s="2298"/>
      <c r="J4024" s="2298"/>
      <c r="K4024" s="2275"/>
      <c r="L4024" s="2276"/>
      <c r="M4024" s="290"/>
      <c r="N4024" s="290"/>
      <c r="O4024" s="290"/>
      <c r="P4024" s="290"/>
      <c r="S4024" s="364"/>
      <c r="Z4024" s="609" t="s">
        <v>4014</v>
      </c>
      <c r="AA4024" s="609" t="s">
        <v>5686</v>
      </c>
    </row>
    <row r="4025" spans="1:27" ht="18">
      <c r="A4025" s="2714"/>
      <c r="B4025" s="371">
        <v>103</v>
      </c>
      <c r="C4025" s="371" t="s">
        <v>2791</v>
      </c>
      <c r="D4025" s="2716">
        <f t="shared" si="446"/>
        <v>0</v>
      </c>
      <c r="E4025" s="2721">
        <v>1</v>
      </c>
      <c r="F4025" s="294"/>
      <c r="G4025" s="2406" t="s">
        <v>2792</v>
      </c>
      <c r="H4025" s="2275"/>
      <c r="I4025" s="2298"/>
      <c r="J4025" s="2298"/>
      <c r="K4025" s="2275"/>
      <c r="L4025" s="2276"/>
      <c r="M4025" s="290"/>
      <c r="N4025" s="290"/>
      <c r="O4025" s="290"/>
      <c r="P4025" s="290"/>
      <c r="S4025" s="364"/>
      <c r="Z4025" s="609" t="s">
        <v>4014</v>
      </c>
      <c r="AA4025" s="609" t="s">
        <v>5686</v>
      </c>
    </row>
    <row r="4026" spans="1:27" ht="18">
      <c r="A4026" s="2714"/>
      <c r="B4026" s="371">
        <v>104</v>
      </c>
      <c r="C4026" s="371" t="s">
        <v>2791</v>
      </c>
      <c r="D4026" s="2716">
        <f t="shared" si="446"/>
        <v>0</v>
      </c>
      <c r="E4026" s="2721">
        <v>1</v>
      </c>
      <c r="F4026" s="294"/>
      <c r="G4026" s="2406" t="s">
        <v>2792</v>
      </c>
      <c r="H4026" s="2275"/>
      <c r="I4026" s="2298"/>
      <c r="J4026" s="2298"/>
      <c r="K4026" s="2275"/>
      <c r="L4026" s="2276"/>
      <c r="M4026" s="290"/>
      <c r="N4026" s="290"/>
      <c r="O4026" s="290"/>
      <c r="P4026" s="290"/>
      <c r="S4026" s="364"/>
      <c r="Z4026" s="609" t="s">
        <v>4014</v>
      </c>
      <c r="AA4026" s="609" t="s">
        <v>5686</v>
      </c>
    </row>
    <row r="4027" spans="1:27" ht="18">
      <c r="A4027" s="2714"/>
      <c r="B4027" s="371">
        <v>105</v>
      </c>
      <c r="C4027" s="371" t="s">
        <v>2791</v>
      </c>
      <c r="D4027" s="2716">
        <f t="shared" si="446"/>
        <v>0</v>
      </c>
      <c r="E4027" s="2721">
        <v>1</v>
      </c>
      <c r="F4027" s="294"/>
      <c r="G4027" s="2406" t="s">
        <v>2792</v>
      </c>
      <c r="H4027" s="2275"/>
      <c r="I4027" s="2298"/>
      <c r="J4027" s="2298"/>
      <c r="K4027" s="2275"/>
      <c r="L4027" s="2276"/>
      <c r="M4027" s="290"/>
      <c r="N4027" s="290"/>
      <c r="O4027" s="290"/>
      <c r="P4027" s="290"/>
      <c r="S4027" s="364"/>
      <c r="Z4027" s="609" t="s">
        <v>4014</v>
      </c>
      <c r="AA4027" s="609" t="s">
        <v>5686</v>
      </c>
    </row>
    <row r="4028" spans="1:27" ht="18.75" thickBot="1">
      <c r="A4028" s="2714"/>
      <c r="B4028" s="371"/>
      <c r="C4028" s="371"/>
      <c r="D4028" s="2716">
        <f t="shared" si="446"/>
        <v>1</v>
      </c>
      <c r="E4028" s="2721" t="s">
        <v>2751</v>
      </c>
      <c r="F4028" s="294"/>
      <c r="G4028" s="1529" t="s">
        <v>2752</v>
      </c>
      <c r="H4028" s="1527">
        <f>SUMPRODUCT($E4022:$E4027,H4022:H4027)</f>
        <v>0</v>
      </c>
      <c r="I4028" s="2316"/>
      <c r="J4028" s="2316"/>
      <c r="K4028" s="1527">
        <f>SUMPRODUCT($E4022:$E4027,K4022:K4027)</f>
        <v>0</v>
      </c>
      <c r="L4028" s="2266"/>
      <c r="M4028" s="290"/>
      <c r="N4028" s="290"/>
      <c r="O4028" s="290"/>
      <c r="P4028" s="290"/>
      <c r="S4028" s="364"/>
      <c r="Z4028" s="609" t="s">
        <v>4014</v>
      </c>
      <c r="AA4028" s="609" t="s">
        <v>5686</v>
      </c>
    </row>
    <row r="4029" spans="1:27" ht="18">
      <c r="A4029" s="2714"/>
      <c r="B4029" s="371"/>
      <c r="C4029" s="371" t="s">
        <v>2755</v>
      </c>
      <c r="D4029" s="371"/>
      <c r="F4029" s="294"/>
      <c r="G4029" s="301"/>
      <c r="H4029" s="315" t="s">
        <v>3002</v>
      </c>
      <c r="I4029" s="393"/>
      <c r="J4029" s="393"/>
      <c r="K4029" s="566"/>
      <c r="L4029" s="545"/>
      <c r="M4029" s="290"/>
      <c r="N4029" s="290"/>
      <c r="O4029" s="290"/>
      <c r="P4029" s="290"/>
      <c r="S4029" s="364"/>
      <c r="Z4029" s="609" t="s">
        <v>4014</v>
      </c>
      <c r="AA4029" s="609" t="s">
        <v>5686</v>
      </c>
    </row>
    <row r="4030" spans="1:27" ht="24">
      <c r="A4030" s="2714" t="s">
        <v>1652</v>
      </c>
      <c r="B4030" s="371">
        <v>1.3</v>
      </c>
      <c r="C4030" s="371"/>
      <c r="D4030" s="2716" t="str">
        <f>VLOOKUP($A4030,Sheet_NoteList,2,0)</f>
        <v>长期借款中的保证借款明细列示</v>
      </c>
      <c r="E4030" s="2716" t="s">
        <v>6532</v>
      </c>
      <c r="F4030" s="294"/>
      <c r="G4030" s="483" t="str">
        <f>"("&amp;B4030&amp;")"&amp;D4030</f>
        <v>(1.3)长期借款中的保证借款明细列示</v>
      </c>
      <c r="H4030" s="1517" t="str">
        <f>$A4030</f>
        <v>2501f</v>
      </c>
      <c r="I4030" s="343" t="s">
        <v>5966</v>
      </c>
      <c r="J4030" s="301" t="s">
        <v>5971</v>
      </c>
      <c r="K4030" s="2210">
        <f>H4038</f>
        <v>0</v>
      </c>
      <c r="L4030" s="345"/>
      <c r="M4030" s="301"/>
      <c r="N4030" s="391"/>
      <c r="O4030" s="345"/>
      <c r="P4030" s="301"/>
      <c r="S4030" s="364"/>
      <c r="Z4030" s="609" t="s">
        <v>4014</v>
      </c>
      <c r="AA4030" s="609" t="s">
        <v>5686</v>
      </c>
    </row>
    <row r="4031" spans="1:27" ht="0.75" customHeight="1" thickBot="1">
      <c r="A4031" s="2714"/>
      <c r="B4031" s="371"/>
      <c r="C4031" s="371"/>
      <c r="D4031" s="371"/>
      <c r="E4031" s="586"/>
      <c r="F4031" s="586"/>
      <c r="G4031" s="586" t="s">
        <v>4024</v>
      </c>
      <c r="H4031" s="371" t="s">
        <v>2747</v>
      </c>
      <c r="I4031" s="371" t="s">
        <v>3822</v>
      </c>
      <c r="J4031" s="371" t="s">
        <v>3814</v>
      </c>
      <c r="K4031" s="371" t="s">
        <v>4021</v>
      </c>
      <c r="L4031" s="290"/>
      <c r="M4031" s="290"/>
      <c r="N4031" s="290"/>
      <c r="O4031" s="290"/>
      <c r="P4031" s="290"/>
      <c r="S4031" s="364"/>
      <c r="Z4031" s="609" t="s">
        <v>4014</v>
      </c>
      <c r="AA4031" s="609" t="s">
        <v>5686</v>
      </c>
    </row>
    <row r="4032" spans="1:27" ht="24">
      <c r="A4032" s="2714"/>
      <c r="B4032" s="371"/>
      <c r="C4032" s="371"/>
      <c r="D4032" s="371"/>
      <c r="E4032" s="586" t="s">
        <v>2749</v>
      </c>
      <c r="F4032" s="363"/>
      <c r="G4032" s="2409" t="s">
        <v>1365</v>
      </c>
      <c r="H4032" s="2404" t="s">
        <v>3815</v>
      </c>
      <c r="I4032" s="2404" t="s">
        <v>3823</v>
      </c>
      <c r="J4032" s="2404" t="s">
        <v>3824</v>
      </c>
      <c r="K4032" s="2403" t="s">
        <v>4022</v>
      </c>
      <c r="L4032" s="355" t="s">
        <v>6141</v>
      </c>
      <c r="M4032" s="290"/>
      <c r="N4032" s="290"/>
      <c r="O4032" s="290"/>
      <c r="P4032" s="290"/>
      <c r="S4032" s="364"/>
      <c r="Z4032" s="609" t="s">
        <v>4014</v>
      </c>
      <c r="AA4032" s="609" t="s">
        <v>5686</v>
      </c>
    </row>
    <row r="4033" spans="1:27" ht="18">
      <c r="A4033" s="2714"/>
      <c r="B4033" s="371">
        <v>101</v>
      </c>
      <c r="C4033" s="371" t="s">
        <v>2791</v>
      </c>
      <c r="D4033" s="2716">
        <f t="shared" ref="D4033:D4038" si="447">IF(OR(G4033="*",G4033="",G4033=0),0,COUNTIF($G$4033:$G$4038,G4033))</f>
        <v>0</v>
      </c>
      <c r="E4033" s="2721">
        <v>1</v>
      </c>
      <c r="F4033" s="294"/>
      <c r="G4033" s="2406" t="s">
        <v>2792</v>
      </c>
      <c r="H4033" s="2275"/>
      <c r="I4033" s="2298"/>
      <c r="J4033" s="2298"/>
      <c r="K4033" s="2296"/>
      <c r="L4033" s="579"/>
      <c r="M4033" s="290"/>
      <c r="N4033" s="290"/>
      <c r="O4033" s="290"/>
      <c r="P4033" s="290"/>
      <c r="S4033" s="364"/>
      <c r="Z4033" s="609" t="s">
        <v>4014</v>
      </c>
      <c r="AA4033" s="609" t="s">
        <v>5686</v>
      </c>
    </row>
    <row r="4034" spans="1:27" ht="18">
      <c r="A4034" s="2714"/>
      <c r="B4034" s="371">
        <v>102</v>
      </c>
      <c r="C4034" s="371" t="s">
        <v>2791</v>
      </c>
      <c r="D4034" s="2716">
        <f t="shared" si="447"/>
        <v>0</v>
      </c>
      <c r="E4034" s="2721">
        <v>1</v>
      </c>
      <c r="F4034" s="294"/>
      <c r="G4034" s="2406" t="s">
        <v>2792</v>
      </c>
      <c r="H4034" s="2275"/>
      <c r="I4034" s="2298"/>
      <c r="J4034" s="2298"/>
      <c r="K4034" s="2296"/>
      <c r="L4034" s="290"/>
      <c r="M4034" s="290"/>
      <c r="N4034" s="290"/>
      <c r="O4034" s="290"/>
      <c r="P4034" s="290"/>
      <c r="S4034" s="364"/>
      <c r="Z4034" s="609" t="s">
        <v>4014</v>
      </c>
      <c r="AA4034" s="609" t="s">
        <v>5686</v>
      </c>
    </row>
    <row r="4035" spans="1:27" ht="18">
      <c r="A4035" s="2714"/>
      <c r="B4035" s="371">
        <v>103</v>
      </c>
      <c r="C4035" s="371" t="s">
        <v>2791</v>
      </c>
      <c r="D4035" s="2716">
        <f t="shared" si="447"/>
        <v>0</v>
      </c>
      <c r="E4035" s="2721">
        <v>1</v>
      </c>
      <c r="F4035" s="294"/>
      <c r="G4035" s="2406" t="s">
        <v>2792</v>
      </c>
      <c r="H4035" s="2275"/>
      <c r="I4035" s="2298"/>
      <c r="J4035" s="2298"/>
      <c r="K4035" s="2296"/>
      <c r="L4035" s="290"/>
      <c r="M4035" s="290"/>
      <c r="N4035" s="290"/>
      <c r="O4035" s="290"/>
      <c r="P4035" s="290"/>
      <c r="S4035" s="364"/>
      <c r="Z4035" s="609" t="s">
        <v>4014</v>
      </c>
      <c r="AA4035" s="609" t="s">
        <v>5686</v>
      </c>
    </row>
    <row r="4036" spans="1:27" ht="18">
      <c r="A4036" s="2714"/>
      <c r="B4036" s="371">
        <v>104</v>
      </c>
      <c r="C4036" s="371" t="s">
        <v>2791</v>
      </c>
      <c r="D4036" s="2716">
        <f t="shared" si="447"/>
        <v>0</v>
      </c>
      <c r="E4036" s="2721">
        <v>1</v>
      </c>
      <c r="F4036" s="294"/>
      <c r="G4036" s="2406" t="s">
        <v>2792</v>
      </c>
      <c r="H4036" s="2275"/>
      <c r="I4036" s="2298"/>
      <c r="J4036" s="2298"/>
      <c r="K4036" s="2296"/>
      <c r="L4036" s="290"/>
      <c r="M4036" s="290"/>
      <c r="N4036" s="290"/>
      <c r="O4036" s="290"/>
      <c r="P4036" s="290"/>
      <c r="S4036" s="364"/>
      <c r="Z4036" s="609" t="s">
        <v>4014</v>
      </c>
      <c r="AA4036" s="609" t="s">
        <v>5686</v>
      </c>
    </row>
    <row r="4037" spans="1:27" ht="18">
      <c r="A4037" s="2714"/>
      <c r="B4037" s="371">
        <v>105</v>
      </c>
      <c r="C4037" s="371" t="s">
        <v>2791</v>
      </c>
      <c r="D4037" s="2716">
        <f t="shared" si="447"/>
        <v>0</v>
      </c>
      <c r="E4037" s="2721">
        <v>1</v>
      </c>
      <c r="F4037" s="294"/>
      <c r="G4037" s="2406" t="s">
        <v>2792</v>
      </c>
      <c r="H4037" s="2275"/>
      <c r="I4037" s="2298"/>
      <c r="J4037" s="2298"/>
      <c r="K4037" s="2296"/>
      <c r="L4037" s="290"/>
      <c r="M4037" s="290"/>
      <c r="N4037" s="290"/>
      <c r="O4037" s="290"/>
      <c r="P4037" s="290"/>
      <c r="S4037" s="364"/>
      <c r="Z4037" s="609" t="s">
        <v>4014</v>
      </c>
      <c r="AA4037" s="609" t="s">
        <v>5686</v>
      </c>
    </row>
    <row r="4038" spans="1:27" ht="18.75" thickBot="1">
      <c r="A4038" s="2714"/>
      <c r="B4038" s="371"/>
      <c r="C4038" s="371"/>
      <c r="D4038" s="2716">
        <f t="shared" si="447"/>
        <v>1</v>
      </c>
      <c r="E4038" s="2721" t="s">
        <v>2751</v>
      </c>
      <c r="F4038" s="294"/>
      <c r="G4038" s="1529" t="s">
        <v>2752</v>
      </c>
      <c r="H4038" s="1527">
        <f>SUMPRODUCT($E4032:$E4037,H4032:H4037)</f>
        <v>0</v>
      </c>
      <c r="I4038" s="2316"/>
      <c r="J4038" s="2316"/>
      <c r="K4038" s="1528">
        <f>SUMPRODUCT($E4032:$E4037,K4032:K4037)</f>
        <v>0</v>
      </c>
      <c r="L4038" s="290"/>
      <c r="M4038" s="290"/>
      <c r="N4038" s="290"/>
      <c r="O4038" s="290"/>
      <c r="P4038" s="290"/>
      <c r="S4038" s="364"/>
      <c r="Z4038" s="609" t="s">
        <v>4014</v>
      </c>
      <c r="AA4038" s="609" t="s">
        <v>5686</v>
      </c>
    </row>
    <row r="4039" spans="1:27" ht="18">
      <c r="A4039" s="2714"/>
      <c r="B4039" s="371"/>
      <c r="C4039" s="371" t="s">
        <v>2755</v>
      </c>
      <c r="D4039" s="371"/>
      <c r="F4039" s="294"/>
      <c r="G4039" s="301"/>
      <c r="H4039" s="315" t="s">
        <v>3002</v>
      </c>
      <c r="I4039" s="393"/>
      <c r="J4039" s="393"/>
      <c r="K4039" s="566"/>
      <c r="L4039" s="290"/>
      <c r="M4039" s="290"/>
      <c r="N4039" s="290"/>
      <c r="O4039" s="290"/>
      <c r="P4039" s="290"/>
      <c r="S4039" s="364"/>
      <c r="Z4039" s="609" t="s">
        <v>4014</v>
      </c>
      <c r="AA4039" s="609" t="s">
        <v>5686</v>
      </c>
    </row>
    <row r="4040" spans="1:27" ht="18">
      <c r="A4040" s="2714" t="s">
        <v>1657</v>
      </c>
      <c r="B4040" s="371">
        <v>2</v>
      </c>
      <c r="C4040" s="371"/>
      <c r="D4040" s="2716" t="str">
        <f>VLOOKUP($A4040,Sheet_NoteList,2,0)</f>
        <v>外币长期借款</v>
      </c>
      <c r="E4040" s="2716" t="s">
        <v>6532</v>
      </c>
      <c r="F4040" s="294"/>
      <c r="G4040" s="372" t="str">
        <f>"("&amp;B4040&amp;")"&amp;D4040</f>
        <v>(2)外币长期借款</v>
      </c>
      <c r="H4040" s="1517" t="str">
        <f>$A4040</f>
        <v>2501c</v>
      </c>
      <c r="I4040" s="343" t="s">
        <v>5582</v>
      </c>
      <c r="J4040" s="301" t="s">
        <v>5580</v>
      </c>
      <c r="K4040" s="2210">
        <f>J4048</f>
        <v>0</v>
      </c>
      <c r="L4040" s="345"/>
      <c r="M4040" s="301" t="s">
        <v>5581</v>
      </c>
      <c r="N4040" s="2210">
        <f>L4048</f>
        <v>0</v>
      </c>
      <c r="O4040" s="345"/>
      <c r="P4040" s="301"/>
      <c r="Q4040" s="290" t="str">
        <f>IF($I4040="不适用","",IF(ROUND(SUM($H$4043:$J$4048),2)=0,"请输入",""))</f>
        <v>请输入</v>
      </c>
      <c r="S4040" s="364"/>
      <c r="Z4040" s="609" t="s">
        <v>4014</v>
      </c>
      <c r="AA4040" s="609" t="s">
        <v>5686</v>
      </c>
    </row>
    <row r="4041" spans="1:27" ht="0.75" customHeight="1" thickBot="1">
      <c r="A4041" s="2714"/>
      <c r="B4041" s="371"/>
      <c r="C4041" s="371"/>
      <c r="D4041" s="371"/>
      <c r="F4041" s="304"/>
      <c r="G4041" s="304" t="s">
        <v>4019</v>
      </c>
      <c r="H4041" s="304" t="s">
        <v>3073</v>
      </c>
      <c r="I4041" s="304" t="s">
        <v>3074</v>
      </c>
      <c r="J4041" s="304" t="s">
        <v>3075</v>
      </c>
      <c r="N4041" s="291"/>
      <c r="O4041" s="291"/>
      <c r="P4041" s="291"/>
      <c r="Q4041" s="367"/>
      <c r="R4041" s="367"/>
      <c r="S4041" s="364"/>
      <c r="Z4041" s="609" t="s">
        <v>4014</v>
      </c>
      <c r="AA4041" s="609" t="s">
        <v>5686</v>
      </c>
    </row>
    <row r="4042" spans="1:27" ht="24">
      <c r="A4042" s="2714"/>
      <c r="B4042" s="371"/>
      <c r="C4042" s="371"/>
      <c r="D4042" s="371"/>
      <c r="E4042" s="2716" t="s">
        <v>2749</v>
      </c>
      <c r="F4042" s="294"/>
      <c r="G4042" s="1629" t="s">
        <v>1371</v>
      </c>
      <c r="H4042" s="1627" t="s">
        <v>3076</v>
      </c>
      <c r="I4042" s="1627" t="s">
        <v>3077</v>
      </c>
      <c r="J4042" s="1628" t="s">
        <v>3078</v>
      </c>
      <c r="K4042" s="355" t="s">
        <v>5604</v>
      </c>
      <c r="L4042" s="291"/>
      <c r="N4042" s="291"/>
      <c r="O4042" s="291"/>
      <c r="P4042" s="291"/>
      <c r="Q4042" s="367"/>
      <c r="R4042" s="367"/>
      <c r="S4042" s="364"/>
      <c r="Z4042" s="609" t="s">
        <v>4014</v>
      </c>
      <c r="AA4042" s="609" t="s">
        <v>5686</v>
      </c>
    </row>
    <row r="4043" spans="1:27" ht="18">
      <c r="A4043" s="2714"/>
      <c r="B4043" s="371">
        <v>101</v>
      </c>
      <c r="C4043" s="371" t="s">
        <v>2791</v>
      </c>
      <c r="D4043" s="2716">
        <f t="shared" ref="D4043:D4048" si="448">IF(OR(G4043="*",G4043="",G4043=0),0,COUNTIF($G$4043:$G$4048,G4043))</f>
        <v>1</v>
      </c>
      <c r="E4043" s="2721">
        <v>1</v>
      </c>
      <c r="F4043" s="294"/>
      <c r="G4043" s="1626" t="s">
        <v>3079</v>
      </c>
      <c r="H4043" s="309"/>
      <c r="I4043" s="360"/>
      <c r="J4043" s="346"/>
      <c r="K4043" s="355" t="s">
        <v>5364</v>
      </c>
      <c r="L4043" s="1522" t="s">
        <v>5365</v>
      </c>
      <c r="M4043" s="291"/>
      <c r="N4043" s="291"/>
      <c r="O4043" s="291"/>
      <c r="P4043" s="291"/>
      <c r="S4043" s="364"/>
      <c r="Z4043" s="609" t="s">
        <v>4014</v>
      </c>
      <c r="AA4043" s="609" t="s">
        <v>5686</v>
      </c>
    </row>
    <row r="4044" spans="1:27" ht="18">
      <c r="A4044" s="2714"/>
      <c r="B4044" s="371">
        <v>102</v>
      </c>
      <c r="C4044" s="371" t="s">
        <v>2791</v>
      </c>
      <c r="D4044" s="2716">
        <f t="shared" si="448"/>
        <v>1</v>
      </c>
      <c r="E4044" s="2721">
        <v>1</v>
      </c>
      <c r="F4044" s="294"/>
      <c r="G4044" s="1626" t="s">
        <v>3080</v>
      </c>
      <c r="H4044" s="309"/>
      <c r="I4044" s="360"/>
      <c r="J4044" s="346"/>
      <c r="K4044" s="291"/>
      <c r="L4044" s="291"/>
      <c r="M4044" s="291"/>
      <c r="N4044" s="291"/>
      <c r="O4044" s="291"/>
      <c r="P4044" s="291"/>
      <c r="S4044" s="364"/>
      <c r="Z4044" s="609" t="s">
        <v>4014</v>
      </c>
      <c r="AA4044" s="609" t="s">
        <v>5686</v>
      </c>
    </row>
    <row r="4045" spans="1:27" ht="18">
      <c r="A4045" s="2714"/>
      <c r="B4045" s="371">
        <v>103</v>
      </c>
      <c r="C4045" s="371" t="s">
        <v>2791</v>
      </c>
      <c r="D4045" s="2716">
        <f t="shared" si="448"/>
        <v>1</v>
      </c>
      <c r="E4045" s="2721">
        <v>1</v>
      </c>
      <c r="F4045" s="294"/>
      <c r="G4045" s="1626" t="s">
        <v>3081</v>
      </c>
      <c r="H4045" s="309"/>
      <c r="I4045" s="360"/>
      <c r="J4045" s="346"/>
      <c r="K4045" s="291"/>
      <c r="L4045" s="291"/>
      <c r="M4045" s="291"/>
      <c r="N4045" s="291"/>
      <c r="O4045" s="291"/>
      <c r="P4045" s="291"/>
      <c r="S4045" s="364"/>
      <c r="Z4045" s="609" t="s">
        <v>4014</v>
      </c>
      <c r="AA4045" s="609" t="s">
        <v>5686</v>
      </c>
    </row>
    <row r="4046" spans="1:27" ht="18">
      <c r="A4046" s="2714"/>
      <c r="B4046" s="371">
        <v>104</v>
      </c>
      <c r="C4046" s="371" t="s">
        <v>2791</v>
      </c>
      <c r="D4046" s="2716">
        <f t="shared" si="448"/>
        <v>0</v>
      </c>
      <c r="E4046" s="2721">
        <v>1</v>
      </c>
      <c r="F4046" s="294"/>
      <c r="G4046" s="1626" t="s">
        <v>2792</v>
      </c>
      <c r="H4046" s="309"/>
      <c r="I4046" s="360"/>
      <c r="J4046" s="346"/>
      <c r="K4046" s="291"/>
      <c r="L4046" s="291"/>
      <c r="M4046" s="291"/>
      <c r="N4046" s="291"/>
      <c r="O4046" s="291"/>
      <c r="P4046" s="291"/>
      <c r="S4046" s="364"/>
      <c r="Z4046" s="609" t="s">
        <v>4014</v>
      </c>
      <c r="AA4046" s="609" t="s">
        <v>5686</v>
      </c>
    </row>
    <row r="4047" spans="1:27" ht="18">
      <c r="A4047" s="2714"/>
      <c r="B4047" s="371">
        <v>105</v>
      </c>
      <c r="C4047" s="371" t="s">
        <v>2791</v>
      </c>
      <c r="D4047" s="2716">
        <f t="shared" si="448"/>
        <v>0</v>
      </c>
      <c r="E4047" s="2721">
        <v>1</v>
      </c>
      <c r="F4047" s="294"/>
      <c r="G4047" s="1626" t="s">
        <v>2792</v>
      </c>
      <c r="H4047" s="309"/>
      <c r="I4047" s="360"/>
      <c r="J4047" s="346"/>
      <c r="K4047" s="291"/>
      <c r="L4047" s="291"/>
      <c r="M4047" s="291"/>
      <c r="N4047" s="291"/>
      <c r="O4047" s="291"/>
      <c r="P4047" s="291"/>
      <c r="S4047" s="364"/>
      <c r="Z4047" s="609" t="s">
        <v>4014</v>
      </c>
      <c r="AA4047" s="609" t="s">
        <v>5686</v>
      </c>
    </row>
    <row r="4048" spans="1:27" ht="18.75" thickBot="1">
      <c r="A4048" s="2714"/>
      <c r="B4048" s="371"/>
      <c r="C4048" s="371"/>
      <c r="D4048" s="2716">
        <f t="shared" si="448"/>
        <v>1</v>
      </c>
      <c r="E4048" s="2721" t="s">
        <v>2751</v>
      </c>
      <c r="F4048" s="294"/>
      <c r="G4048" s="1529" t="s">
        <v>2752</v>
      </c>
      <c r="H4048" s="1525"/>
      <c r="I4048" s="1570"/>
      <c r="J4048" s="1528">
        <f>SUMPRODUCT($E4042:$E4047,J4042:J4047)</f>
        <v>0</v>
      </c>
      <c r="K4048" s="291"/>
      <c r="L4048" s="291"/>
      <c r="M4048" s="291"/>
      <c r="N4048" s="291"/>
      <c r="O4048" s="291"/>
      <c r="P4048" s="291"/>
      <c r="S4048" s="364"/>
      <c r="Z4048" s="609" t="s">
        <v>4014</v>
      </c>
      <c r="AA4048" s="609" t="s">
        <v>5686</v>
      </c>
    </row>
    <row r="4049" spans="1:29" ht="18">
      <c r="A4049" s="2714"/>
      <c r="B4049" s="371"/>
      <c r="C4049" s="371" t="s">
        <v>2755</v>
      </c>
      <c r="D4049" s="371"/>
      <c r="F4049" s="294"/>
      <c r="G4049" s="301"/>
      <c r="H4049" s="315"/>
      <c r="I4049" s="393"/>
      <c r="J4049" s="315"/>
      <c r="K4049" s="291"/>
      <c r="L4049" s="291"/>
      <c r="M4049" s="291"/>
      <c r="N4049" s="291"/>
      <c r="O4049" s="291"/>
      <c r="P4049" s="291"/>
      <c r="S4049" s="364"/>
      <c r="Z4049" s="609" t="s">
        <v>4014</v>
      </c>
      <c r="AA4049" s="609" t="s">
        <v>5686</v>
      </c>
    </row>
    <row r="4050" spans="1:29" ht="18">
      <c r="A4050" s="2714">
        <v>2502</v>
      </c>
      <c r="B4050" s="371">
        <v>47</v>
      </c>
      <c r="C4050" s="2716" t="str">
        <f>VLOOKUP($A4050,Sheet_Items,2,0)</f>
        <v>应付债券</v>
      </c>
      <c r="D4050" s="371"/>
      <c r="E4050" s="2716" t="s">
        <v>2739</v>
      </c>
      <c r="F4050" s="294"/>
      <c r="G4050" s="535" t="str">
        <f>B4050&amp;" "&amp;C4050</f>
        <v>47 应付债券</v>
      </c>
      <c r="H4050" s="306"/>
      <c r="I4050" s="306"/>
      <c r="J4050" s="306" t="s">
        <v>2740</v>
      </c>
      <c r="K4050" s="341">
        <f>VLOOKUP($A4050,Sheet_Trialbal,6,0)</f>
        <v>0</v>
      </c>
      <c r="L4050" s="342"/>
      <c r="M4050" s="306" t="s">
        <v>2741</v>
      </c>
      <c r="N4050" s="341">
        <f>VLOOKUP($A4050,Sheet_Trialbal,10,0)</f>
        <v>0</v>
      </c>
      <c r="O4050" s="306"/>
      <c r="P4050" s="301"/>
      <c r="S4050" s="364"/>
      <c r="Z4050" s="609" t="s">
        <v>4025</v>
      </c>
      <c r="AA4050" s="609" t="s">
        <v>5687</v>
      </c>
    </row>
    <row r="4051" spans="1:29" ht="18">
      <c r="A4051" s="2714" t="s">
        <v>1662</v>
      </c>
      <c r="B4051" s="371">
        <v>1</v>
      </c>
      <c r="C4051" s="371"/>
      <c r="D4051" s="2716" t="str">
        <f>VLOOKUP($A4051,Sheet_NoteList,2,0)</f>
        <v>应付债券明细项目</v>
      </c>
      <c r="E4051" s="2716" t="s">
        <v>2742</v>
      </c>
      <c r="F4051" s="294"/>
      <c r="G4051" s="307" t="str">
        <f>"("&amp;B4051&amp;")"&amp;D4051</f>
        <v>(1)应付债券明细项目</v>
      </c>
      <c r="H4051" s="1517" t="str">
        <f>$A4051</f>
        <v>2502b</v>
      </c>
      <c r="I4051" s="343" t="s">
        <v>2743</v>
      </c>
      <c r="J4051" s="301" t="s">
        <v>2744</v>
      </c>
      <c r="K4051" s="2210">
        <f>H4059</f>
        <v>0</v>
      </c>
      <c r="L4051" s="345" t="str">
        <f>IF($I4051="适用",IF(ROUND(K4050-K4051,2)=0,"F/S",ROUND(K4050-K4051,2)),"#N/A")</f>
        <v>F/S</v>
      </c>
      <c r="M4051" s="301" t="s">
        <v>2745</v>
      </c>
      <c r="N4051" s="2210">
        <f>I4059</f>
        <v>0</v>
      </c>
      <c r="O4051" s="345" t="str">
        <f>IF($I4051="适用",IF(ROUND(N4050-N4051,2)=0,"F/S",ROUND(N4050-N4051,2)),"#N/A")</f>
        <v>F/S</v>
      </c>
      <c r="P4051" s="301"/>
      <c r="Q4051" s="290" t="str">
        <f>IF($I4051="不适用","",IF(ROUND(SUM($H$4054:$I$4059),2)=0,"请输入",""))</f>
        <v>请输入</v>
      </c>
      <c r="S4051" s="364"/>
      <c r="Z4051" s="609" t="s">
        <v>4025</v>
      </c>
      <c r="AA4051" s="609" t="s">
        <v>5687</v>
      </c>
    </row>
    <row r="4052" spans="1:29" ht="0.75" customHeight="1" thickBot="1">
      <c r="A4052" s="2714"/>
      <c r="B4052" s="371"/>
      <c r="C4052" s="371"/>
      <c r="D4052" s="371"/>
      <c r="F4052" s="304"/>
      <c r="G4052" s="304" t="s">
        <v>4026</v>
      </c>
      <c r="H4052" s="304" t="s">
        <v>2747</v>
      </c>
      <c r="I4052" s="304" t="s">
        <v>2748</v>
      </c>
      <c r="J4052" s="387"/>
      <c r="K4052" s="387"/>
      <c r="L4052" s="387"/>
      <c r="M4052" s="387"/>
      <c r="N4052" s="291"/>
      <c r="O4052" s="291"/>
      <c r="P4052" s="291"/>
      <c r="Q4052" s="367"/>
      <c r="R4052" s="367"/>
      <c r="S4052" s="364"/>
      <c r="Z4052" s="609" t="s">
        <v>4025</v>
      </c>
      <c r="AA4052" s="609" t="s">
        <v>5687</v>
      </c>
    </row>
    <row r="4053" spans="1:29" ht="18">
      <c r="A4053" s="2714"/>
      <c r="B4053" s="371"/>
      <c r="C4053" s="371"/>
      <c r="D4053" s="371"/>
      <c r="E4053" s="2716" t="s">
        <v>2749</v>
      </c>
      <c r="F4053" s="294"/>
      <c r="G4053" s="410" t="s">
        <v>47</v>
      </c>
      <c r="H4053" s="1454" t="str">
        <f>$V$2</f>
        <v>2019年12月31日</v>
      </c>
      <c r="I4053" s="1455" t="str">
        <f>$V$3</f>
        <v>2018年12月31日</v>
      </c>
      <c r="J4053" s="355" t="s">
        <v>5312</v>
      </c>
      <c r="K4053" s="291"/>
      <c r="L4053" s="291"/>
      <c r="M4053" s="291"/>
      <c r="N4053" s="291"/>
      <c r="O4053" s="291"/>
      <c r="P4053" s="291"/>
      <c r="Q4053" s="367"/>
      <c r="R4053" s="367"/>
      <c r="S4053" s="364"/>
      <c r="Z4053" s="609" t="s">
        <v>4025</v>
      </c>
      <c r="AA4053" s="609" t="s">
        <v>5687</v>
      </c>
    </row>
    <row r="4054" spans="1:29" ht="18">
      <c r="A4054" s="2714"/>
      <c r="B4054" s="371">
        <v>101</v>
      </c>
      <c r="C4054" s="371" t="s">
        <v>2791</v>
      </c>
      <c r="D4054" s="2716">
        <f t="shared" ref="D4054:D4059" si="449">IF(OR(G4054="*",G4054="",G4054=0),0,COUNTIF($G$4054:$G$4059,G4054))</f>
        <v>0</v>
      </c>
      <c r="E4054" s="2721" t="s">
        <v>2939</v>
      </c>
      <c r="F4054" s="294"/>
      <c r="G4054" s="319" t="s">
        <v>2792</v>
      </c>
      <c r="H4054" s="309"/>
      <c r="I4054" s="346"/>
      <c r="J4054" s="291"/>
      <c r="K4054" s="291"/>
      <c r="L4054" s="291"/>
      <c r="M4054" s="291"/>
      <c r="N4054" s="291"/>
      <c r="O4054" s="291"/>
      <c r="P4054" s="291"/>
      <c r="Q4054" s="367"/>
      <c r="R4054" s="367"/>
      <c r="S4054" s="364"/>
      <c r="Z4054" s="609" t="s">
        <v>4025</v>
      </c>
      <c r="AA4054" s="609" t="s">
        <v>5687</v>
      </c>
    </row>
    <row r="4055" spans="1:29" ht="18">
      <c r="A4055" s="2714"/>
      <c r="B4055" s="371">
        <v>101.001</v>
      </c>
      <c r="C4055" s="371" t="s">
        <v>2791</v>
      </c>
      <c r="D4055" s="2716">
        <f t="shared" si="449"/>
        <v>0</v>
      </c>
      <c r="E4055" s="2721" t="s">
        <v>2939</v>
      </c>
      <c r="F4055" s="294"/>
      <c r="G4055" s="319" t="s">
        <v>2792</v>
      </c>
      <c r="H4055" s="309"/>
      <c r="I4055" s="346"/>
      <c r="J4055" s="291"/>
      <c r="K4055" s="291"/>
      <c r="L4055" s="291"/>
      <c r="M4055" s="291"/>
      <c r="N4055" s="291"/>
      <c r="O4055" s="291"/>
      <c r="P4055" s="291"/>
      <c r="Q4055" s="367"/>
      <c r="R4055" s="367"/>
      <c r="S4055" s="364"/>
      <c r="Z4055" s="609" t="s">
        <v>4025</v>
      </c>
      <c r="AA4055" s="609" t="s">
        <v>5687</v>
      </c>
    </row>
    <row r="4056" spans="1:29" ht="18">
      <c r="A4056" s="2714"/>
      <c r="B4056" s="371">
        <v>101.002</v>
      </c>
      <c r="C4056" s="371" t="s">
        <v>2791</v>
      </c>
      <c r="D4056" s="2716">
        <f t="shared" si="449"/>
        <v>0</v>
      </c>
      <c r="E4056" s="2721" t="s">
        <v>2939</v>
      </c>
      <c r="F4056" s="294"/>
      <c r="G4056" s="319" t="s">
        <v>2792</v>
      </c>
      <c r="H4056" s="309"/>
      <c r="I4056" s="346"/>
      <c r="J4056" s="291"/>
      <c r="K4056" s="291"/>
      <c r="L4056" s="291"/>
      <c r="M4056" s="291"/>
      <c r="N4056" s="291"/>
      <c r="O4056" s="291"/>
      <c r="P4056" s="291"/>
      <c r="Q4056" s="367"/>
      <c r="R4056" s="367"/>
      <c r="S4056" s="364"/>
      <c r="Z4056" s="609" t="s">
        <v>4025</v>
      </c>
      <c r="AA4056" s="609" t="s">
        <v>5687</v>
      </c>
    </row>
    <row r="4057" spans="1:29" ht="18">
      <c r="A4057" s="2714"/>
      <c r="B4057" s="371">
        <v>102</v>
      </c>
      <c r="C4057" s="371" t="s">
        <v>2793</v>
      </c>
      <c r="D4057" s="2716">
        <f t="shared" si="449"/>
        <v>1</v>
      </c>
      <c r="E4057" s="2721">
        <v>1</v>
      </c>
      <c r="F4057" s="294"/>
      <c r="G4057" s="308" t="s">
        <v>2939</v>
      </c>
      <c r="H4057" s="1476">
        <f>SUMIF($E$4053:$E$4058,$G4057,H$4053:H$4058)</f>
        <v>0</v>
      </c>
      <c r="I4057" s="1477">
        <f>SUMIF($E$4053:$E$4058,$G4057,I$4053:I$4058)</f>
        <v>0</v>
      </c>
      <c r="J4057" s="291"/>
      <c r="K4057" s="291"/>
      <c r="L4057" s="291"/>
      <c r="M4057" s="291"/>
      <c r="N4057" s="291"/>
      <c r="O4057" s="291"/>
      <c r="P4057" s="291"/>
      <c r="Q4057" s="367"/>
      <c r="R4057" s="367"/>
      <c r="S4057" s="364"/>
      <c r="Z4057" s="609" t="s">
        <v>4025</v>
      </c>
      <c r="AA4057" s="609" t="s">
        <v>5687</v>
      </c>
    </row>
    <row r="4058" spans="1:29" ht="18">
      <c r="A4058" s="2714"/>
      <c r="B4058" s="371">
        <v>103</v>
      </c>
      <c r="C4058" s="371" t="s">
        <v>2791</v>
      </c>
      <c r="D4058" s="2716">
        <f t="shared" si="449"/>
        <v>1</v>
      </c>
      <c r="E4058" s="2721">
        <v>-1</v>
      </c>
      <c r="F4058" s="294"/>
      <c r="G4058" s="2568" t="s">
        <v>4027</v>
      </c>
      <c r="H4058" s="309"/>
      <c r="I4058" s="346"/>
      <c r="J4058" s="1533" t="str">
        <f ca="1">HYPERLINK("#'"&amp;$G$1&amp;"'!"&amp;ADDRESS(ROW(Notes!K3931),COLUMN(Notes!K3931),4),"* 请勿删除此行！点击往勾稽单元格，F5+Enter返回")</f>
        <v>* 请勿删除此行！点击往勾稽单元格，F5+Enter返回</v>
      </c>
      <c r="K4058" s="291"/>
      <c r="L4058" s="291"/>
      <c r="M4058" s="291"/>
      <c r="N4058" s="291"/>
      <c r="O4058" s="291"/>
      <c r="P4058" s="291"/>
      <c r="Q4058" s="367"/>
      <c r="R4058" s="367"/>
      <c r="S4058" s="364"/>
      <c r="Z4058" s="609" t="s">
        <v>4025</v>
      </c>
      <c r="AA4058" s="609" t="s">
        <v>5687</v>
      </c>
      <c r="AC4058" s="369" t="s">
        <v>6574</v>
      </c>
    </row>
    <row r="4059" spans="1:29" ht="18.75" thickBot="1">
      <c r="A4059" s="2714"/>
      <c r="B4059" s="371"/>
      <c r="C4059" s="371"/>
      <c r="D4059" s="2716">
        <f t="shared" si="449"/>
        <v>1</v>
      </c>
      <c r="E4059" s="2721" t="s">
        <v>2751</v>
      </c>
      <c r="F4059" s="294"/>
      <c r="G4059" s="374" t="s">
        <v>2752</v>
      </c>
      <c r="H4059" s="1478">
        <f>SUMPRODUCT($E4053:$E4058,H4053:H4058)</f>
        <v>0</v>
      </c>
      <c r="I4059" s="1479">
        <f>SUMPRODUCT($E4053:$E4058,I4053:I4058)</f>
        <v>0</v>
      </c>
      <c r="J4059" s="357"/>
      <c r="K4059" s="291"/>
      <c r="L4059" s="291"/>
      <c r="M4059" s="291"/>
      <c r="N4059" s="291"/>
      <c r="O4059" s="291"/>
      <c r="P4059" s="291"/>
      <c r="Q4059" s="367"/>
      <c r="R4059" s="367"/>
      <c r="S4059" s="364"/>
      <c r="Z4059" s="609" t="s">
        <v>4025</v>
      </c>
      <c r="AA4059" s="609" t="s">
        <v>5687</v>
      </c>
      <c r="AC4059" s="369" t="s">
        <v>2794</v>
      </c>
    </row>
    <row r="4060" spans="1:29" ht="18">
      <c r="A4060" s="2714"/>
      <c r="B4060" s="371"/>
      <c r="C4060" s="371" t="s">
        <v>2755</v>
      </c>
      <c r="D4060" s="371"/>
      <c r="F4060" s="294"/>
      <c r="G4060" s="301"/>
      <c r="H4060" s="315"/>
      <c r="I4060" s="315"/>
      <c r="J4060" s="350"/>
      <c r="K4060" s="349"/>
      <c r="L4060" s="349"/>
      <c r="M4060" s="350"/>
      <c r="N4060" s="291"/>
      <c r="O4060" s="291"/>
      <c r="P4060" s="291"/>
      <c r="Q4060" s="367"/>
      <c r="R4060" s="367"/>
      <c r="S4060" s="364"/>
      <c r="Z4060" s="609" t="s">
        <v>4025</v>
      </c>
      <c r="AA4060" s="609" t="s">
        <v>5687</v>
      </c>
    </row>
    <row r="4061" spans="1:29" ht="48">
      <c r="A4061" s="2714" t="s">
        <v>1667</v>
      </c>
      <c r="B4061" s="371">
        <v>2</v>
      </c>
      <c r="C4061" s="371"/>
      <c r="D4061" s="2716" t="str">
        <f>VLOOKUP($A4061,Sheet_NoteList,2,0)</f>
        <v>应付债券的增减变动（不包括划分为金融负债的优先股、永续债等其他金融工具）</v>
      </c>
      <c r="E4061" s="2716" t="s">
        <v>2742</v>
      </c>
      <c r="F4061" s="294"/>
      <c r="G4061" s="372" t="str">
        <f>"("&amp;B4061&amp;")"&amp;D4061</f>
        <v>(2)应付债券的增减变动（不包括划分为金融负债的优先股、永续债等其他金融工具）</v>
      </c>
      <c r="H4061" s="1517" t="str">
        <f>$A4061</f>
        <v>2502a</v>
      </c>
      <c r="I4061" s="343" t="s">
        <v>2743</v>
      </c>
      <c r="J4061" s="301" t="s">
        <v>2744</v>
      </c>
      <c r="K4061" s="2210">
        <f>Q4072</f>
        <v>0</v>
      </c>
      <c r="L4061" s="345"/>
      <c r="M4061" s="301" t="s">
        <v>2745</v>
      </c>
      <c r="N4061" s="2210">
        <f>L4072</f>
        <v>0</v>
      </c>
      <c r="O4061" s="345"/>
      <c r="P4061" s="301"/>
      <c r="Q4061" s="290" t="str">
        <f>IF($I4061="不适用","",IF(ROUND(SUM($H$4064:$Q$4072),2)=0,"请输入",""))</f>
        <v>请输入</v>
      </c>
      <c r="R4061" s="367"/>
      <c r="S4061" s="364"/>
      <c r="Z4061" s="609" t="s">
        <v>4025</v>
      </c>
      <c r="AA4061" s="609" t="s">
        <v>5687</v>
      </c>
    </row>
    <row r="4062" spans="1:29" ht="0.75" customHeight="1" thickBot="1">
      <c r="A4062" s="2714"/>
      <c r="B4062" s="371"/>
      <c r="C4062" s="371"/>
      <c r="D4062" s="371"/>
      <c r="F4062" s="304"/>
      <c r="G4062" s="304" t="s">
        <v>4028</v>
      </c>
      <c r="H4062" s="304" t="s">
        <v>3431</v>
      </c>
      <c r="I4062" s="304" t="s">
        <v>3991</v>
      </c>
      <c r="J4062" s="304" t="s">
        <v>3992</v>
      </c>
      <c r="K4062" s="304" t="s">
        <v>3993</v>
      </c>
      <c r="L4062" s="304" t="s">
        <v>3242</v>
      </c>
      <c r="M4062" s="304" t="s">
        <v>3994</v>
      </c>
      <c r="N4062" s="304" t="s">
        <v>3995</v>
      </c>
      <c r="O4062" s="304" t="s">
        <v>3996</v>
      </c>
      <c r="P4062" s="304" t="s">
        <v>3997</v>
      </c>
      <c r="Q4062" s="366" t="s">
        <v>3499</v>
      </c>
      <c r="R4062" s="367"/>
      <c r="S4062" s="364"/>
      <c r="T4062" s="291"/>
      <c r="Z4062" s="609" t="s">
        <v>4025</v>
      </c>
      <c r="AA4062" s="609" t="s">
        <v>5687</v>
      </c>
    </row>
    <row r="4063" spans="1:29" ht="18">
      <c r="A4063" s="2714"/>
      <c r="B4063" s="371"/>
      <c r="C4063" s="371"/>
      <c r="D4063" s="371"/>
      <c r="E4063" s="2716" t="s">
        <v>2749</v>
      </c>
      <c r="F4063" s="294"/>
      <c r="G4063" s="378" t="s">
        <v>1613</v>
      </c>
      <c r="H4063" s="398" t="s">
        <v>3319</v>
      </c>
      <c r="I4063" s="398" t="s">
        <v>3998</v>
      </c>
      <c r="J4063" s="398" t="s">
        <v>3999</v>
      </c>
      <c r="K4063" s="398" t="s">
        <v>4000</v>
      </c>
      <c r="L4063" s="2473" t="str">
        <f>$V$3</f>
        <v>2018年12月31日</v>
      </c>
      <c r="M4063" s="398" t="s">
        <v>4001</v>
      </c>
      <c r="N4063" s="398" t="s">
        <v>4002</v>
      </c>
      <c r="O4063" s="379" t="s">
        <v>4003</v>
      </c>
      <c r="P4063" s="398" t="s">
        <v>4004</v>
      </c>
      <c r="Q4063" s="1456" t="str">
        <f>$V$2</f>
        <v>2019年12月31日</v>
      </c>
      <c r="R4063" s="355" t="s">
        <v>5312</v>
      </c>
      <c r="S4063" s="364"/>
      <c r="T4063" s="291"/>
      <c r="Z4063" s="609" t="s">
        <v>4025</v>
      </c>
      <c r="AA4063" s="609" t="s">
        <v>5687</v>
      </c>
    </row>
    <row r="4064" spans="1:29" ht="18">
      <c r="A4064" s="2714"/>
      <c r="B4064" s="371">
        <v>101</v>
      </c>
      <c r="C4064" s="371"/>
      <c r="D4064" s="2716">
        <f t="shared" ref="D4064:D4072" si="450">IF(OR(G4064="*",G4064="",G4064=0),0,COUNTIF($G$4064:$G$4072,G4064))</f>
        <v>1</v>
      </c>
      <c r="E4064" s="2721" t="s">
        <v>41</v>
      </c>
      <c r="F4064" s="294"/>
      <c r="G4064" s="380" t="s">
        <v>4029</v>
      </c>
      <c r="H4064" s="383"/>
      <c r="I4064" s="469"/>
      <c r="J4064" s="469"/>
      <c r="K4064" s="383"/>
      <c r="L4064" s="383"/>
      <c r="M4064" s="383"/>
      <c r="N4064" s="383"/>
      <c r="O4064" s="381"/>
      <c r="P4064" s="383"/>
      <c r="Q4064" s="401"/>
      <c r="R4064" s="367"/>
      <c r="S4064" s="364"/>
      <c r="T4064" s="291"/>
      <c r="Z4064" s="609" t="s">
        <v>4025</v>
      </c>
      <c r="AA4064" s="609" t="s">
        <v>5687</v>
      </c>
    </row>
    <row r="4065" spans="1:27" ht="18">
      <c r="A4065" s="2714"/>
      <c r="B4065" s="371">
        <v>101.001</v>
      </c>
      <c r="C4065" s="371" t="s">
        <v>2791</v>
      </c>
      <c r="D4065" s="2716">
        <f t="shared" si="450"/>
        <v>0</v>
      </c>
      <c r="E4065" s="2721" t="s">
        <v>4017</v>
      </c>
      <c r="F4065" s="294"/>
      <c r="G4065" s="409" t="s">
        <v>2792</v>
      </c>
      <c r="H4065" s="383"/>
      <c r="I4065" s="469"/>
      <c r="J4065" s="469"/>
      <c r="K4065" s="383"/>
      <c r="L4065" s="383"/>
      <c r="M4065" s="383"/>
      <c r="N4065" s="383"/>
      <c r="O4065" s="381"/>
      <c r="P4065" s="383"/>
      <c r="Q4065" s="401">
        <f t="shared" ref="Q4065:Q4069" si="451">SUM(L4065:N4065,O4065,-P4065)</f>
        <v>0</v>
      </c>
      <c r="R4065" s="367"/>
      <c r="S4065" s="364"/>
      <c r="T4065" s="291"/>
      <c r="Z4065" s="609" t="s">
        <v>4025</v>
      </c>
      <c r="AA4065" s="609" t="s">
        <v>5687</v>
      </c>
    </row>
    <row r="4066" spans="1:27" ht="18">
      <c r="A4066" s="2714"/>
      <c r="B4066" s="371">
        <v>101.002</v>
      </c>
      <c r="C4066" s="371" t="s">
        <v>2791</v>
      </c>
      <c r="D4066" s="2716">
        <f t="shared" si="450"/>
        <v>0</v>
      </c>
      <c r="E4066" s="2721" t="s">
        <v>4017</v>
      </c>
      <c r="F4066" s="294"/>
      <c r="G4066" s="409" t="s">
        <v>2792</v>
      </c>
      <c r="H4066" s="383"/>
      <c r="I4066" s="469"/>
      <c r="J4066" s="469"/>
      <c r="K4066" s="383"/>
      <c r="L4066" s="383"/>
      <c r="M4066" s="383"/>
      <c r="N4066" s="383"/>
      <c r="O4066" s="381"/>
      <c r="P4066" s="383"/>
      <c r="Q4066" s="401">
        <f t="shared" si="451"/>
        <v>0</v>
      </c>
      <c r="R4066" s="367"/>
      <c r="S4066" s="364"/>
      <c r="T4066" s="291"/>
      <c r="Z4066" s="609" t="s">
        <v>4025</v>
      </c>
      <c r="AA4066" s="609" t="s">
        <v>5687</v>
      </c>
    </row>
    <row r="4067" spans="1:27" ht="18">
      <c r="A4067" s="2714"/>
      <c r="B4067" s="371">
        <v>101.003</v>
      </c>
      <c r="C4067" s="371" t="s">
        <v>2791</v>
      </c>
      <c r="D4067" s="2716">
        <f t="shared" si="450"/>
        <v>0</v>
      </c>
      <c r="E4067" s="2721" t="s">
        <v>4017</v>
      </c>
      <c r="F4067" s="294"/>
      <c r="G4067" s="409" t="s">
        <v>2792</v>
      </c>
      <c r="H4067" s="383"/>
      <c r="I4067" s="469"/>
      <c r="J4067" s="469"/>
      <c r="K4067" s="383"/>
      <c r="L4067" s="383"/>
      <c r="M4067" s="383"/>
      <c r="N4067" s="383"/>
      <c r="O4067" s="381"/>
      <c r="P4067" s="383"/>
      <c r="Q4067" s="401">
        <f t="shared" si="451"/>
        <v>0</v>
      </c>
      <c r="R4067" s="367"/>
      <c r="S4067" s="364"/>
      <c r="T4067" s="291"/>
      <c r="Z4067" s="609" t="s">
        <v>4025</v>
      </c>
      <c r="AA4067" s="609" t="s">
        <v>5687</v>
      </c>
    </row>
    <row r="4068" spans="1:27" ht="18">
      <c r="A4068" s="2714"/>
      <c r="B4068" s="371">
        <v>101.004</v>
      </c>
      <c r="C4068" s="371" t="s">
        <v>2791</v>
      </c>
      <c r="D4068" s="2716">
        <f t="shared" si="450"/>
        <v>0</v>
      </c>
      <c r="E4068" s="2721" t="s">
        <v>4017</v>
      </c>
      <c r="F4068" s="294"/>
      <c r="G4068" s="409" t="s">
        <v>2792</v>
      </c>
      <c r="H4068" s="383"/>
      <c r="I4068" s="469"/>
      <c r="J4068" s="469"/>
      <c r="K4068" s="383"/>
      <c r="L4068" s="383"/>
      <c r="M4068" s="383"/>
      <c r="N4068" s="383"/>
      <c r="O4068" s="381"/>
      <c r="P4068" s="383"/>
      <c r="Q4068" s="401">
        <f t="shared" si="451"/>
        <v>0</v>
      </c>
      <c r="R4068" s="367"/>
      <c r="S4068" s="364"/>
      <c r="T4068" s="291"/>
      <c r="Z4068" s="609" t="s">
        <v>4025</v>
      </c>
      <c r="AA4068" s="609" t="s">
        <v>5687</v>
      </c>
    </row>
    <row r="4069" spans="1:27" ht="18">
      <c r="A4069" s="2714"/>
      <c r="B4069" s="371">
        <v>101.005</v>
      </c>
      <c r="C4069" s="371" t="s">
        <v>2791</v>
      </c>
      <c r="D4069" s="2716">
        <f t="shared" si="450"/>
        <v>0</v>
      </c>
      <c r="E4069" s="2721" t="s">
        <v>4017</v>
      </c>
      <c r="F4069" s="294"/>
      <c r="G4069" s="409" t="s">
        <v>2792</v>
      </c>
      <c r="H4069" s="383"/>
      <c r="I4069" s="469"/>
      <c r="J4069" s="469"/>
      <c r="K4069" s="383"/>
      <c r="L4069" s="383"/>
      <c r="M4069" s="383"/>
      <c r="N4069" s="383"/>
      <c r="O4069" s="381"/>
      <c r="P4069" s="383"/>
      <c r="Q4069" s="401">
        <f t="shared" si="451"/>
        <v>0</v>
      </c>
      <c r="R4069" s="367"/>
      <c r="S4069" s="364"/>
      <c r="T4069" s="291"/>
      <c r="Z4069" s="609" t="s">
        <v>4025</v>
      </c>
      <c r="AA4069" s="609" t="s">
        <v>5687</v>
      </c>
    </row>
    <row r="4070" spans="1:27" ht="18">
      <c r="A4070" s="2714"/>
      <c r="B4070" s="371">
        <v>101.999</v>
      </c>
      <c r="C4070" s="371" t="s">
        <v>2793</v>
      </c>
      <c r="D4070" s="2716">
        <f t="shared" si="450"/>
        <v>1</v>
      </c>
      <c r="E4070" s="2721">
        <v>1</v>
      </c>
      <c r="F4070" s="294"/>
      <c r="G4070" s="385" t="s">
        <v>4017</v>
      </c>
      <c r="H4070" s="386">
        <f>SUMIF($E$4063:$E$4071,$G4070,H$4063:H$4071)</f>
        <v>0</v>
      </c>
      <c r="I4070" s="469"/>
      <c r="J4070" s="469"/>
      <c r="K4070" s="386">
        <f t="shared" ref="K4070:Q4070" si="452">SUMIF($E$4063:$E$4071,$G4070,K$4063:K$4071)</f>
        <v>0</v>
      </c>
      <c r="L4070" s="386">
        <f t="shared" si="452"/>
        <v>0</v>
      </c>
      <c r="M4070" s="386">
        <f t="shared" si="452"/>
        <v>0</v>
      </c>
      <c r="N4070" s="386">
        <f t="shared" si="452"/>
        <v>0</v>
      </c>
      <c r="O4070" s="386">
        <f t="shared" si="452"/>
        <v>0</v>
      </c>
      <c r="P4070" s="386">
        <f t="shared" si="452"/>
        <v>0</v>
      </c>
      <c r="Q4070" s="402">
        <f t="shared" si="452"/>
        <v>0</v>
      </c>
      <c r="R4070" s="367"/>
      <c r="S4070" s="364"/>
      <c r="T4070" s="291"/>
      <c r="Z4070" s="609" t="s">
        <v>4025</v>
      </c>
      <c r="AA4070" s="609" t="s">
        <v>5687</v>
      </c>
    </row>
    <row r="4071" spans="1:27" ht="18">
      <c r="A4071" s="2714"/>
      <c r="B4071" s="371">
        <v>102</v>
      </c>
      <c r="C4071" s="371" t="s">
        <v>2791</v>
      </c>
      <c r="D4071" s="2716">
        <f t="shared" si="450"/>
        <v>1</v>
      </c>
      <c r="E4071" s="2721">
        <v>-1</v>
      </c>
      <c r="F4071" s="294"/>
      <c r="G4071" s="409" t="s">
        <v>4027</v>
      </c>
      <c r="H4071" s="383"/>
      <c r="I4071" s="469"/>
      <c r="J4071" s="469"/>
      <c r="K4071" s="383"/>
      <c r="L4071" s="383"/>
      <c r="M4071" s="383"/>
      <c r="N4071" s="383"/>
      <c r="O4071" s="381"/>
      <c r="P4071" s="383"/>
      <c r="Q4071" s="401">
        <f>SUM(L4071:N4071,O4071,-P4071)</f>
        <v>0</v>
      </c>
      <c r="R4071" s="367"/>
      <c r="S4071" s="364"/>
      <c r="T4071" s="291"/>
      <c r="Z4071" s="609" t="s">
        <v>4025</v>
      </c>
      <c r="AA4071" s="609" t="s">
        <v>5687</v>
      </c>
    </row>
    <row r="4072" spans="1:27" ht="18.75" thickBot="1">
      <c r="A4072" s="2714"/>
      <c r="B4072" s="371"/>
      <c r="C4072" s="371"/>
      <c r="D4072" s="2716">
        <f t="shared" si="450"/>
        <v>1</v>
      </c>
      <c r="E4072" s="2721" t="s">
        <v>2751</v>
      </c>
      <c r="F4072" s="294"/>
      <c r="G4072" s="403" t="s">
        <v>2752</v>
      </c>
      <c r="H4072" s="404">
        <f>SUMPRODUCT($E4063:$E4071,H4063:H4071)</f>
        <v>0</v>
      </c>
      <c r="I4072" s="512"/>
      <c r="J4072" s="512"/>
      <c r="K4072" s="404">
        <f t="shared" ref="K4072:Q4072" si="453">SUMPRODUCT($E4063:$E4071,K4063:K4071)</f>
        <v>0</v>
      </c>
      <c r="L4072" s="404">
        <f t="shared" si="453"/>
        <v>0</v>
      </c>
      <c r="M4072" s="404">
        <f t="shared" si="453"/>
        <v>0</v>
      </c>
      <c r="N4072" s="404">
        <f t="shared" si="453"/>
        <v>0</v>
      </c>
      <c r="O4072" s="404">
        <f t="shared" si="453"/>
        <v>0</v>
      </c>
      <c r="P4072" s="404">
        <f t="shared" si="453"/>
        <v>0</v>
      </c>
      <c r="Q4072" s="413">
        <f t="shared" si="453"/>
        <v>0</v>
      </c>
      <c r="R4072" s="367"/>
      <c r="S4072" s="364"/>
      <c r="T4072" s="291"/>
      <c r="Z4072" s="609" t="s">
        <v>4025</v>
      </c>
      <c r="AA4072" s="609" t="s">
        <v>5687</v>
      </c>
    </row>
    <row r="4073" spans="1:27" ht="18">
      <c r="A4073" s="2714"/>
      <c r="B4073" s="371"/>
      <c r="C4073" s="371" t="s">
        <v>2755</v>
      </c>
      <c r="D4073" s="371"/>
      <c r="F4073" s="294"/>
      <c r="G4073" s="301"/>
      <c r="H4073" s="315"/>
      <c r="I4073" s="393"/>
      <c r="J4073" s="393"/>
      <c r="K4073" s="315"/>
      <c r="L4073" s="527" t="s">
        <v>3002</v>
      </c>
      <c r="M4073" s="315"/>
      <c r="N4073" s="315"/>
      <c r="O4073" s="315"/>
      <c r="P4073" s="315"/>
      <c r="Q4073" s="528" t="s">
        <v>3002</v>
      </c>
      <c r="R4073" s="367"/>
      <c r="S4073" s="364"/>
      <c r="T4073" s="291"/>
      <c r="Z4073" s="609" t="s">
        <v>4025</v>
      </c>
      <c r="AA4073" s="609" t="s">
        <v>5687</v>
      </c>
    </row>
    <row r="4074" spans="1:27" ht="48">
      <c r="A4074" s="2714" t="s">
        <v>1671</v>
      </c>
      <c r="B4074" s="371">
        <v>3</v>
      </c>
      <c r="C4074" s="371"/>
      <c r="D4074" s="2716" t="str">
        <f>VLOOKUP($A4074,Sheet_NoteList,2,0)</f>
        <v>划分为金融负债的其他金融工具说明（期末发行在外的优先股、永续债等其他金融工具的基本情况表）</v>
      </c>
      <c r="E4074" s="2716" t="s">
        <v>2742</v>
      </c>
      <c r="F4074" s="294"/>
      <c r="G4074" s="372" t="str">
        <f>"("&amp;B4074&amp;")"&amp;D4074</f>
        <v>(3)划分为金融负债的其他金融工具说明（期末发行在外的优先股、永续债等其他金融工具的基本情况表）</v>
      </c>
      <c r="H4074" s="1517" t="str">
        <f>$A4074</f>
        <v>2502d</v>
      </c>
      <c r="I4074" s="343" t="s">
        <v>2743</v>
      </c>
      <c r="J4074" s="301" t="s">
        <v>2744</v>
      </c>
      <c r="K4074" s="2210">
        <f>N4082</f>
        <v>0</v>
      </c>
      <c r="L4074" s="345"/>
      <c r="M4074" s="301"/>
      <c r="N4074" s="391"/>
      <c r="O4074" s="345"/>
      <c r="P4074" s="301"/>
      <c r="Q4074" s="290" t="str">
        <f>IF($I4074="不适用","",IF(ROUND(SUM($H$4077:$O$4082),2)=0,"请输入",""))</f>
        <v>请输入</v>
      </c>
      <c r="S4074" s="364"/>
      <c r="Z4074" s="609" t="s">
        <v>4025</v>
      </c>
      <c r="AA4074" s="609" t="s">
        <v>5687</v>
      </c>
    </row>
    <row r="4075" spans="1:27" ht="0.75" customHeight="1" thickBot="1">
      <c r="A4075" s="2714"/>
      <c r="B4075" s="371"/>
      <c r="C4075" s="371"/>
      <c r="D4075" s="371"/>
      <c r="E4075" s="586"/>
      <c r="F4075" s="586"/>
      <c r="G4075" s="586" t="s">
        <v>4030</v>
      </c>
      <c r="H4075" s="371" t="s">
        <v>4031</v>
      </c>
      <c r="I4075" s="371" t="s">
        <v>4032</v>
      </c>
      <c r="J4075" s="371" t="s">
        <v>4033</v>
      </c>
      <c r="K4075" s="371" t="s">
        <v>4034</v>
      </c>
      <c r="L4075" s="371" t="s">
        <v>4035</v>
      </c>
      <c r="M4075" s="371" t="s">
        <v>4036</v>
      </c>
      <c r="N4075" s="371" t="s">
        <v>4037</v>
      </c>
      <c r="O4075" s="371" t="s">
        <v>4038</v>
      </c>
      <c r="P4075" s="371" t="s">
        <v>4039</v>
      </c>
      <c r="S4075" s="364"/>
      <c r="Z4075" s="609" t="s">
        <v>4025</v>
      </c>
      <c r="AA4075" s="609" t="s">
        <v>5687</v>
      </c>
    </row>
    <row r="4076" spans="1:27" ht="24">
      <c r="A4076" s="2714"/>
      <c r="B4076" s="371"/>
      <c r="C4076" s="371"/>
      <c r="D4076" s="371"/>
      <c r="E4076" s="586" t="s">
        <v>2749</v>
      </c>
      <c r="F4076" s="363"/>
      <c r="G4076" s="2400" t="s">
        <v>1673</v>
      </c>
      <c r="H4076" s="2401" t="s">
        <v>4040</v>
      </c>
      <c r="I4076" s="2401" t="s">
        <v>4041</v>
      </c>
      <c r="J4076" s="2401" t="s">
        <v>4042</v>
      </c>
      <c r="K4076" s="2401" t="s">
        <v>4043</v>
      </c>
      <c r="L4076" s="2401" t="s">
        <v>2887</v>
      </c>
      <c r="M4076" s="2401" t="s">
        <v>4044</v>
      </c>
      <c r="N4076" s="2401" t="s">
        <v>4045</v>
      </c>
      <c r="O4076" s="2407" t="s">
        <v>4046</v>
      </c>
      <c r="P4076" s="355" t="s">
        <v>5312</v>
      </c>
      <c r="R4076" s="364"/>
      <c r="S4076" s="288"/>
      <c r="Z4076" s="609" t="s">
        <v>4025</v>
      </c>
      <c r="AA4076" s="609" t="s">
        <v>5687</v>
      </c>
    </row>
    <row r="4077" spans="1:27" ht="18">
      <c r="A4077" s="2714"/>
      <c r="B4077" s="371">
        <v>101</v>
      </c>
      <c r="C4077" s="371" t="s">
        <v>2791</v>
      </c>
      <c r="D4077" s="2716">
        <f t="shared" ref="D4077:D4082" si="454">IF(OR(G4077="*",G4077="",G4077=0),0,COUNTIF($G$4077:$G$4082,G4077))</f>
        <v>0</v>
      </c>
      <c r="E4077" s="2721">
        <v>1</v>
      </c>
      <c r="F4077" s="294"/>
      <c r="G4077" s="2406" t="s">
        <v>2792</v>
      </c>
      <c r="H4077" s="2298"/>
      <c r="I4077" s="2298"/>
      <c r="J4077" s="2298"/>
      <c r="K4077" s="2275"/>
      <c r="L4077" s="2595">
        <f>J4077*K4077</f>
        <v>0</v>
      </c>
      <c r="M4077" s="2275"/>
      <c r="N4077" s="2298"/>
      <c r="O4077" s="2276"/>
      <c r="P4077" s="290"/>
      <c r="S4077" s="364"/>
      <c r="Z4077" s="609" t="s">
        <v>4025</v>
      </c>
      <c r="AA4077" s="609" t="s">
        <v>5687</v>
      </c>
    </row>
    <row r="4078" spans="1:27" ht="18">
      <c r="A4078" s="2714"/>
      <c r="B4078" s="371">
        <v>102</v>
      </c>
      <c r="C4078" s="371" t="s">
        <v>2791</v>
      </c>
      <c r="D4078" s="2716">
        <f t="shared" si="454"/>
        <v>0</v>
      </c>
      <c r="E4078" s="2721">
        <v>1</v>
      </c>
      <c r="F4078" s="294"/>
      <c r="G4078" s="2406" t="s">
        <v>2792</v>
      </c>
      <c r="H4078" s="2298"/>
      <c r="I4078" s="2298"/>
      <c r="J4078" s="2298"/>
      <c r="K4078" s="2275"/>
      <c r="L4078" s="2595">
        <f>J4078*K4078</f>
        <v>0</v>
      </c>
      <c r="M4078" s="2275"/>
      <c r="N4078" s="2298"/>
      <c r="O4078" s="2276"/>
      <c r="P4078" s="290"/>
      <c r="S4078" s="364"/>
      <c r="Z4078" s="609" t="s">
        <v>4025</v>
      </c>
      <c r="AA4078" s="609" t="s">
        <v>5687</v>
      </c>
    </row>
    <row r="4079" spans="1:27" ht="18">
      <c r="A4079" s="2714"/>
      <c r="B4079" s="371">
        <v>103</v>
      </c>
      <c r="C4079" s="371" t="s">
        <v>2791</v>
      </c>
      <c r="D4079" s="2716">
        <f t="shared" si="454"/>
        <v>0</v>
      </c>
      <c r="E4079" s="2721">
        <v>1</v>
      </c>
      <c r="F4079" s="294"/>
      <c r="G4079" s="2406" t="s">
        <v>2792</v>
      </c>
      <c r="H4079" s="2298"/>
      <c r="I4079" s="2298"/>
      <c r="J4079" s="2298"/>
      <c r="K4079" s="2275"/>
      <c r="L4079" s="2595">
        <f>J4079*K4079</f>
        <v>0</v>
      </c>
      <c r="M4079" s="2275"/>
      <c r="N4079" s="2298"/>
      <c r="O4079" s="2276"/>
      <c r="P4079" s="290"/>
      <c r="S4079" s="364"/>
      <c r="Z4079" s="609" t="s">
        <v>4025</v>
      </c>
      <c r="AA4079" s="609" t="s">
        <v>5687</v>
      </c>
    </row>
    <row r="4080" spans="1:27" ht="18">
      <c r="A4080" s="2714"/>
      <c r="B4080" s="371">
        <v>104</v>
      </c>
      <c r="C4080" s="371" t="s">
        <v>2791</v>
      </c>
      <c r="D4080" s="2716">
        <f t="shared" si="454"/>
        <v>0</v>
      </c>
      <c r="E4080" s="2721">
        <v>1</v>
      </c>
      <c r="F4080" s="294"/>
      <c r="G4080" s="2406" t="s">
        <v>2792</v>
      </c>
      <c r="H4080" s="2298"/>
      <c r="I4080" s="2298"/>
      <c r="J4080" s="2298"/>
      <c r="K4080" s="2275"/>
      <c r="L4080" s="2595">
        <f>J4080*K4080</f>
        <v>0</v>
      </c>
      <c r="M4080" s="2275"/>
      <c r="N4080" s="2298"/>
      <c r="O4080" s="2276"/>
      <c r="P4080" s="290"/>
      <c r="S4080" s="364"/>
      <c r="Z4080" s="609" t="s">
        <v>4025</v>
      </c>
      <c r="AA4080" s="609" t="s">
        <v>5687</v>
      </c>
    </row>
    <row r="4081" spans="1:27" ht="18">
      <c r="A4081" s="2714"/>
      <c r="B4081" s="371">
        <v>105</v>
      </c>
      <c r="C4081" s="371" t="s">
        <v>2791</v>
      </c>
      <c r="D4081" s="2716">
        <f t="shared" si="454"/>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75" thickBot="1">
      <c r="A4082" s="2714"/>
      <c r="B4082" s="371"/>
      <c r="C4082" s="371"/>
      <c r="D4082" s="2716">
        <f t="shared" si="454"/>
        <v>1</v>
      </c>
      <c r="E4082" s="2721" t="s">
        <v>2751</v>
      </c>
      <c r="F4082" s="294"/>
      <c r="G4082" s="2234" t="s">
        <v>2752</v>
      </c>
      <c r="H4082" s="2241"/>
      <c r="I4082" s="2241"/>
      <c r="J4082" s="2241"/>
      <c r="K4082" s="2308"/>
      <c r="L4082" s="2596">
        <f>SUMPRODUCT($E4076:$E4081,L4076:L4081)</f>
        <v>0</v>
      </c>
      <c r="M4082" s="2308"/>
      <c r="N4082" s="2241"/>
      <c r="O4082" s="2244"/>
      <c r="P4082" s="290"/>
      <c r="S4082" s="364"/>
      <c r="Z4082" s="609" t="s">
        <v>4025</v>
      </c>
      <c r="AA4082" s="609" t="s">
        <v>5687</v>
      </c>
    </row>
    <row r="4083" spans="1:27" ht="18">
      <c r="A4083" s="2714"/>
      <c r="B4083" s="371"/>
      <c r="C4083" s="371" t="s">
        <v>2755</v>
      </c>
      <c r="D4083" s="371"/>
      <c r="F4083" s="294"/>
      <c r="G4083" s="301"/>
      <c r="H4083" s="393"/>
      <c r="I4083" s="393"/>
      <c r="J4083" s="393"/>
      <c r="K4083" s="315"/>
      <c r="L4083" s="393"/>
      <c r="M4083" s="315"/>
      <c r="N4083" s="393"/>
      <c r="O4083" s="393"/>
      <c r="P4083" s="393"/>
      <c r="S4083" s="364"/>
      <c r="Z4083" s="609" t="s">
        <v>4025</v>
      </c>
      <c r="AA4083" s="609" t="s">
        <v>5687</v>
      </c>
    </row>
    <row r="4084" spans="1:27" ht="48">
      <c r="A4084" s="2714" t="s">
        <v>1677</v>
      </c>
      <c r="B4084" s="371">
        <v>4</v>
      </c>
      <c r="C4084" s="371"/>
      <c r="D4084" s="2716" t="str">
        <f>VLOOKUP($A4084,Sheet_NoteList,2,0)</f>
        <v>划分为金融负债的其他金融工具说明（期末发行在外的优先股、永续债等其他金融工具变动情况表）</v>
      </c>
      <c r="E4084" s="2716" t="s">
        <v>2742</v>
      </c>
      <c r="F4084" s="294"/>
      <c r="G4084" s="372" t="str">
        <f>"("&amp;B4084&amp;")"&amp;D4084</f>
        <v>(4)划分为金融负债的其他金融工具说明（期末发行在外的优先股、永续债等其他金融工具变动情况表）</v>
      </c>
      <c r="H4084" s="1517" t="str">
        <f>$A4084</f>
        <v>2502c</v>
      </c>
      <c r="I4084" s="343" t="s">
        <v>2743</v>
      </c>
      <c r="J4084" s="301" t="s">
        <v>2744</v>
      </c>
      <c r="K4084" s="2210">
        <f>O4094</f>
        <v>0</v>
      </c>
      <c r="L4084" s="345"/>
      <c r="M4084" s="301" t="s">
        <v>2745</v>
      </c>
      <c r="N4084" s="2210">
        <f>I4094</f>
        <v>0</v>
      </c>
      <c r="O4084" s="345"/>
      <c r="P4084" s="301"/>
      <c r="Q4084" s="290" t="str">
        <f>IF($I4084="不适用","",IF(ROUND(SUM($H$4089:$O$4094),2)=0,"请输入",""))</f>
        <v>请输入</v>
      </c>
      <c r="S4084" s="364"/>
      <c r="Z4084" s="609" t="s">
        <v>4025</v>
      </c>
      <c r="AA4084" s="609" t="s">
        <v>5687</v>
      </c>
    </row>
    <row r="4085" spans="1:27" ht="0.75" customHeight="1">
      <c r="A4085" s="2714"/>
      <c r="B4085" s="371"/>
      <c r="C4085" s="371"/>
      <c r="D4085" s="371"/>
      <c r="F4085" s="371"/>
      <c r="G4085" s="371" t="s">
        <v>4047</v>
      </c>
      <c r="H4085" s="371" t="s">
        <v>4048</v>
      </c>
      <c r="I4085" s="371" t="s">
        <v>4049</v>
      </c>
      <c r="J4085" s="371" t="s">
        <v>4050</v>
      </c>
      <c r="K4085" s="371" t="s">
        <v>4051</v>
      </c>
      <c r="L4085" s="371" t="s">
        <v>4052</v>
      </c>
      <c r="M4085" s="371" t="s">
        <v>4053</v>
      </c>
      <c r="N4085" s="371" t="s">
        <v>4054</v>
      </c>
      <c r="O4085" s="371" t="s">
        <v>4055</v>
      </c>
      <c r="S4085" s="364"/>
      <c r="Z4085" s="609" t="s">
        <v>4025</v>
      </c>
      <c r="AA4085" s="609" t="s">
        <v>5687</v>
      </c>
    </row>
    <row r="4086" spans="1:27" ht="0.75" customHeight="1" thickBot="1">
      <c r="A4086" s="2714"/>
      <c r="B4086" s="371"/>
      <c r="C4086" s="371"/>
      <c r="D4086" s="371"/>
      <c r="F4086" s="371"/>
      <c r="G4086" s="371"/>
      <c r="H4086" s="371" t="s">
        <v>4056</v>
      </c>
      <c r="I4086" s="371" t="s">
        <v>3215</v>
      </c>
      <c r="J4086" s="371" t="s">
        <v>4057</v>
      </c>
      <c r="K4086" s="371" t="s">
        <v>4058</v>
      </c>
      <c r="L4086" s="371" t="s">
        <v>4059</v>
      </c>
      <c r="M4086" s="371" t="s">
        <v>4060</v>
      </c>
      <c r="N4086" s="371" t="s">
        <v>4061</v>
      </c>
      <c r="O4086" s="371" t="s">
        <v>2857</v>
      </c>
      <c r="S4086" s="364"/>
      <c r="Z4086" s="609" t="s">
        <v>4025</v>
      </c>
      <c r="AA4086" s="609" t="s">
        <v>5687</v>
      </c>
    </row>
    <row r="4087" spans="1:27" ht="16.5" customHeight="1">
      <c r="A4087" s="2714"/>
      <c r="B4087" s="371"/>
      <c r="C4087" s="371"/>
      <c r="D4087" s="371"/>
      <c r="E4087" s="2716" t="s">
        <v>2749</v>
      </c>
      <c r="F4087" s="294"/>
      <c r="G4087" s="3248" t="s">
        <v>1673</v>
      </c>
      <c r="H4087" s="3155" t="str">
        <f>$V$3</f>
        <v>2018年12月31日</v>
      </c>
      <c r="I4087" s="3157"/>
      <c r="J4087" s="3145" t="s">
        <v>3027</v>
      </c>
      <c r="K4087" s="3145"/>
      <c r="L4087" s="3145" t="s">
        <v>3028</v>
      </c>
      <c r="M4087" s="3145"/>
      <c r="N4087" s="3155" t="str">
        <f>$V$2</f>
        <v>2019年12月31日</v>
      </c>
      <c r="O4087" s="3156"/>
      <c r="P4087" s="355" t="s">
        <v>5312</v>
      </c>
      <c r="S4087" s="364"/>
      <c r="Z4087" s="609" t="s">
        <v>4025</v>
      </c>
      <c r="AA4087" s="609" t="s">
        <v>5687</v>
      </c>
    </row>
    <row r="4088" spans="1:27" ht="18">
      <c r="A4088" s="2714"/>
      <c r="B4088" s="371"/>
      <c r="C4088" s="371"/>
      <c r="D4088" s="371"/>
      <c r="E4088" s="2716" t="s">
        <v>2749</v>
      </c>
      <c r="F4088" s="294"/>
      <c r="G4088" s="3249"/>
      <c r="H4088" s="502" t="s">
        <v>4043</v>
      </c>
      <c r="I4088" s="502" t="s">
        <v>2863</v>
      </c>
      <c r="J4088" s="502" t="s">
        <v>4043</v>
      </c>
      <c r="K4088" s="502" t="s">
        <v>2863</v>
      </c>
      <c r="L4088" s="502" t="s">
        <v>4043</v>
      </c>
      <c r="M4088" s="502" t="s">
        <v>2863</v>
      </c>
      <c r="N4088" s="502" t="s">
        <v>4043</v>
      </c>
      <c r="O4088" s="508" t="s">
        <v>2863</v>
      </c>
      <c r="S4088" s="364"/>
      <c r="Z4088" s="609" t="s">
        <v>4025</v>
      </c>
      <c r="AA4088" s="609" t="s">
        <v>5687</v>
      </c>
    </row>
    <row r="4089" spans="1:27" ht="18">
      <c r="A4089" s="2714"/>
      <c r="B4089" s="371">
        <v>101</v>
      </c>
      <c r="C4089" s="371" t="s">
        <v>2791</v>
      </c>
      <c r="D4089" s="2716">
        <f t="shared" ref="D4089:D4094" si="455">IF(OR(G4089="*",G4089="",G4089=0),0,COUNTIF($G$4089:$G$4094,G4089))</f>
        <v>0</v>
      </c>
      <c r="E4089" s="2721">
        <v>1</v>
      </c>
      <c r="F4089" s="294"/>
      <c r="G4089" s="319" t="s">
        <v>2792</v>
      </c>
      <c r="H4089" s="309"/>
      <c r="I4089" s="309"/>
      <c r="J4089" s="309"/>
      <c r="K4089" s="309"/>
      <c r="L4089" s="320"/>
      <c r="M4089" s="309"/>
      <c r="N4089" s="309">
        <f t="shared" ref="N4089:O4093" si="456">SUM(H4089,J4089,-L4089)</f>
        <v>0</v>
      </c>
      <c r="O4089" s="346">
        <f t="shared" si="456"/>
        <v>0</v>
      </c>
      <c r="S4089" s="364"/>
      <c r="Z4089" s="609" t="s">
        <v>4025</v>
      </c>
      <c r="AA4089" s="609" t="s">
        <v>5687</v>
      </c>
    </row>
    <row r="4090" spans="1:27" ht="18">
      <c r="A4090" s="2714"/>
      <c r="B4090" s="371">
        <v>102</v>
      </c>
      <c r="C4090" s="371" t="s">
        <v>2791</v>
      </c>
      <c r="D4090" s="2716">
        <f t="shared" si="455"/>
        <v>0</v>
      </c>
      <c r="E4090" s="2721">
        <v>1</v>
      </c>
      <c r="F4090" s="294"/>
      <c r="G4090" s="319" t="s">
        <v>2792</v>
      </c>
      <c r="H4090" s="309"/>
      <c r="I4090" s="309"/>
      <c r="J4090" s="309"/>
      <c r="K4090" s="309"/>
      <c r="L4090" s="320"/>
      <c r="M4090" s="309"/>
      <c r="N4090" s="309">
        <f t="shared" si="456"/>
        <v>0</v>
      </c>
      <c r="O4090" s="346">
        <f t="shared" si="456"/>
        <v>0</v>
      </c>
      <c r="S4090" s="364"/>
      <c r="Z4090" s="609" t="s">
        <v>4025</v>
      </c>
      <c r="AA4090" s="609" t="s">
        <v>5687</v>
      </c>
    </row>
    <row r="4091" spans="1:27" ht="18">
      <c r="A4091" s="2714"/>
      <c r="B4091" s="371">
        <v>103</v>
      </c>
      <c r="C4091" s="371" t="s">
        <v>2791</v>
      </c>
      <c r="D4091" s="2716">
        <f t="shared" si="455"/>
        <v>0</v>
      </c>
      <c r="E4091" s="2721">
        <v>1</v>
      </c>
      <c r="F4091" s="294"/>
      <c r="G4091" s="319" t="s">
        <v>2792</v>
      </c>
      <c r="H4091" s="309"/>
      <c r="I4091" s="309"/>
      <c r="J4091" s="309"/>
      <c r="K4091" s="309"/>
      <c r="L4091" s="320"/>
      <c r="M4091" s="309"/>
      <c r="N4091" s="309">
        <f>SUM(H4091,J4091,-L4091)</f>
        <v>0</v>
      </c>
      <c r="O4091" s="346">
        <f>SUM(I4091,K4091,-M4091)</f>
        <v>0</v>
      </c>
      <c r="S4091" s="364"/>
      <c r="Z4091" s="609" t="s">
        <v>4025</v>
      </c>
      <c r="AA4091" s="609" t="s">
        <v>5687</v>
      </c>
    </row>
    <row r="4092" spans="1:27" ht="18">
      <c r="A4092" s="2714"/>
      <c r="B4092" s="371">
        <v>104</v>
      </c>
      <c r="C4092" s="371" t="s">
        <v>2791</v>
      </c>
      <c r="D4092" s="2716">
        <f t="shared" si="455"/>
        <v>0</v>
      </c>
      <c r="E4092" s="2721">
        <v>1</v>
      </c>
      <c r="F4092" s="294"/>
      <c r="G4092" s="319" t="s">
        <v>2792</v>
      </c>
      <c r="H4092" s="309"/>
      <c r="I4092" s="309"/>
      <c r="J4092" s="309"/>
      <c r="K4092" s="309"/>
      <c r="L4092" s="320"/>
      <c r="M4092" s="309"/>
      <c r="N4092" s="309">
        <f>SUM(H4092,J4092,-L4092)</f>
        <v>0</v>
      </c>
      <c r="O4092" s="346">
        <f>SUM(I4092,K4092,-M4092)</f>
        <v>0</v>
      </c>
      <c r="S4092" s="364"/>
      <c r="Z4092" s="609" t="s">
        <v>4025</v>
      </c>
      <c r="AA4092" s="609" t="s">
        <v>5687</v>
      </c>
    </row>
    <row r="4093" spans="1:27" ht="18">
      <c r="A4093" s="2714"/>
      <c r="B4093" s="371">
        <v>105</v>
      </c>
      <c r="C4093" s="371" t="s">
        <v>2791</v>
      </c>
      <c r="D4093" s="2716">
        <f t="shared" si="455"/>
        <v>0</v>
      </c>
      <c r="E4093" s="2721">
        <v>1</v>
      </c>
      <c r="F4093" s="294"/>
      <c r="G4093" s="319" t="s">
        <v>2792</v>
      </c>
      <c r="H4093" s="309"/>
      <c r="I4093" s="309"/>
      <c r="J4093" s="309"/>
      <c r="K4093" s="309"/>
      <c r="L4093" s="320"/>
      <c r="M4093" s="309"/>
      <c r="N4093" s="309">
        <f t="shared" si="456"/>
        <v>0</v>
      </c>
      <c r="O4093" s="346">
        <f t="shared" si="456"/>
        <v>0</v>
      </c>
      <c r="S4093" s="364"/>
      <c r="Z4093" s="609" t="s">
        <v>4025</v>
      </c>
      <c r="AA4093" s="609" t="s">
        <v>5687</v>
      </c>
    </row>
    <row r="4094" spans="1:27" ht="18.75" thickBot="1">
      <c r="A4094" s="2714"/>
      <c r="B4094" s="371"/>
      <c r="C4094" s="371"/>
      <c r="D4094" s="2716">
        <f t="shared" si="455"/>
        <v>1</v>
      </c>
      <c r="E4094" s="2721" t="s">
        <v>2751</v>
      </c>
      <c r="F4094" s="294"/>
      <c r="G4094" s="374" t="s">
        <v>2752</v>
      </c>
      <c r="H4094" s="607"/>
      <c r="I4094" s="607">
        <f t="shared" ref="I4094:O4094" si="457">SUMPRODUCT($E4088:$E4093,I4088:I4093)</f>
        <v>0</v>
      </c>
      <c r="J4094" s="607"/>
      <c r="K4094" s="607">
        <f t="shared" si="457"/>
        <v>0</v>
      </c>
      <c r="L4094" s="607"/>
      <c r="M4094" s="607">
        <f t="shared" si="457"/>
        <v>0</v>
      </c>
      <c r="N4094" s="607"/>
      <c r="O4094" s="608">
        <f t="shared" si="457"/>
        <v>0</v>
      </c>
      <c r="S4094" s="364"/>
      <c r="Z4094" s="609" t="s">
        <v>4025</v>
      </c>
      <c r="AA4094" s="609" t="s">
        <v>5687</v>
      </c>
    </row>
    <row r="4095" spans="1:27" ht="18">
      <c r="A4095" s="2714"/>
      <c r="B4095" s="371"/>
      <c r="C4095" s="371" t="s">
        <v>2755</v>
      </c>
      <c r="D4095" s="371"/>
      <c r="F4095" s="294"/>
      <c r="G4095" s="301"/>
      <c r="H4095" s="349"/>
      <c r="I4095" s="349"/>
      <c r="J4095" s="349"/>
      <c r="K4095" s="349"/>
      <c r="L4095" s="349"/>
      <c r="M4095" s="349"/>
      <c r="N4095" s="349"/>
      <c r="O4095" s="349"/>
      <c r="S4095" s="364"/>
      <c r="Z4095" s="609" t="s">
        <v>4025</v>
      </c>
      <c r="AA4095" s="609" t="s">
        <v>5687</v>
      </c>
    </row>
    <row r="4096" spans="1:27" ht="18">
      <c r="A4096" s="2714" t="s">
        <v>5589</v>
      </c>
      <c r="B4096" s="371">
        <v>5</v>
      </c>
      <c r="C4096" s="371"/>
      <c r="D4096" s="2716" t="str">
        <f>VLOOKUP($A4096,Sheet_NoteList,2,0)</f>
        <v>外币应付债券</v>
      </c>
      <c r="E4096" s="2716" t="s">
        <v>6532</v>
      </c>
      <c r="F4096" s="293"/>
      <c r="G4096" s="372" t="str">
        <f>"("&amp;B4096&amp;")"&amp;D4096</f>
        <v>(5)外币应付债券</v>
      </c>
      <c r="H4096" s="1517" t="str">
        <f>$A4096</f>
        <v>2502e</v>
      </c>
      <c r="I4096" s="343" t="s">
        <v>5596</v>
      </c>
      <c r="J4096" s="301" t="s">
        <v>5597</v>
      </c>
      <c r="K4096" s="2210">
        <f>H4104</f>
        <v>0</v>
      </c>
      <c r="L4096" s="349" t="str">
        <f>IF($I4096="适用",IF(ROUND(K$4050-K4096,2)=0,"F/S",ROUND(K$4050-K4096,2)),"#N/A")</f>
        <v>F/S</v>
      </c>
      <c r="M4096" s="301" t="s">
        <v>5598</v>
      </c>
      <c r="N4096" s="2210">
        <f>I4104</f>
        <v>0</v>
      </c>
      <c r="O4096" s="349" t="str">
        <f>IF($I4096="适用",IF(ROUND(N$4050-N4096,2)=0,"F/S",ROUND(N$4050-N4096,2)),"#N/A")</f>
        <v>F/S</v>
      </c>
      <c r="P4096" s="301"/>
      <c r="S4096" s="364"/>
      <c r="Z4096" s="609" t="s">
        <v>4025</v>
      </c>
      <c r="AA4096" s="609" t="s">
        <v>5687</v>
      </c>
    </row>
    <row r="4097" spans="1:29" ht="0.75" customHeight="1" thickBot="1">
      <c r="A4097" s="2714"/>
      <c r="B4097" s="371"/>
      <c r="C4097" s="371"/>
      <c r="D4097" s="2716"/>
      <c r="F4097" s="371"/>
      <c r="G4097" s="405" t="s">
        <v>5599</v>
      </c>
      <c r="H4097" s="371" t="s">
        <v>3073</v>
      </c>
      <c r="I4097" s="371" t="s">
        <v>3074</v>
      </c>
      <c r="J4097" s="371" t="s">
        <v>3075</v>
      </c>
      <c r="K4097" s="387"/>
      <c r="L4097" s="349"/>
      <c r="M4097" s="301"/>
      <c r="N4097" s="391"/>
      <c r="O4097" s="349"/>
      <c r="P4097" s="301"/>
      <c r="S4097" s="364"/>
      <c r="Z4097" s="609" t="s">
        <v>4025</v>
      </c>
      <c r="AA4097" s="609" t="s">
        <v>5687</v>
      </c>
    </row>
    <row r="4098" spans="1:29" ht="24">
      <c r="A4098" s="2714"/>
      <c r="B4098" s="371"/>
      <c r="C4098" s="371"/>
      <c r="D4098" s="2716"/>
      <c r="E4098" s="2716" t="s">
        <v>2749</v>
      </c>
      <c r="F4098" s="293"/>
      <c r="G4098" s="1635" t="s">
        <v>47</v>
      </c>
      <c r="H4098" s="1631" t="s">
        <v>3076</v>
      </c>
      <c r="I4098" s="1631" t="s">
        <v>3077</v>
      </c>
      <c r="J4098" s="1632" t="s">
        <v>3078</v>
      </c>
      <c r="K4098" s="355" t="s">
        <v>5604</v>
      </c>
      <c r="L4098" s="349"/>
      <c r="M4098" s="301"/>
      <c r="N4098" s="391"/>
      <c r="O4098" s="349"/>
      <c r="P4098" s="301"/>
      <c r="S4098" s="364"/>
      <c r="Z4098" s="609" t="s">
        <v>4025</v>
      </c>
      <c r="AA4098" s="609" t="s">
        <v>5687</v>
      </c>
    </row>
    <row r="4099" spans="1:29" ht="18">
      <c r="A4099" s="2714"/>
      <c r="B4099" s="371">
        <v>101</v>
      </c>
      <c r="C4099" s="371" t="s">
        <v>2791</v>
      </c>
      <c r="D4099" s="2716">
        <f t="shared" ref="D4099:D4104" si="458">IF(OR(G4099="*",G4099="",G4099=0),0,COUNTIF($G$4099:$G$4104,G4099))</f>
        <v>1</v>
      </c>
      <c r="E4099" s="2721">
        <v>1</v>
      </c>
      <c r="F4099" s="293"/>
      <c r="G4099" s="1634" t="s">
        <v>3079</v>
      </c>
      <c r="H4099" s="309"/>
      <c r="I4099" s="360"/>
      <c r="J4099" s="346"/>
      <c r="K4099" s="355" t="s">
        <v>5364</v>
      </c>
      <c r="L4099" s="1522" t="s">
        <v>5365</v>
      </c>
      <c r="M4099" s="301"/>
      <c r="N4099" s="391"/>
      <c r="O4099" s="349"/>
      <c r="P4099" s="301"/>
      <c r="S4099" s="364"/>
      <c r="Z4099" s="609" t="s">
        <v>4025</v>
      </c>
      <c r="AA4099" s="609" t="s">
        <v>5687</v>
      </c>
    </row>
    <row r="4100" spans="1:29" ht="18">
      <c r="A4100" s="2714"/>
      <c r="B4100" s="371">
        <v>102</v>
      </c>
      <c r="C4100" s="371" t="s">
        <v>2791</v>
      </c>
      <c r="D4100" s="2716">
        <f t="shared" si="458"/>
        <v>1</v>
      </c>
      <c r="E4100" s="2721">
        <v>1</v>
      </c>
      <c r="F4100" s="293"/>
      <c r="G4100" s="1634" t="s">
        <v>3080</v>
      </c>
      <c r="H4100" s="1577"/>
      <c r="I4100" s="430"/>
      <c r="J4100" s="346"/>
      <c r="K4100" s="391"/>
      <c r="L4100" s="349"/>
      <c r="M4100" s="301"/>
      <c r="N4100" s="391"/>
      <c r="O4100" s="349"/>
      <c r="P4100" s="301"/>
      <c r="S4100" s="364"/>
      <c r="Z4100" s="609" t="s">
        <v>4025</v>
      </c>
      <c r="AA4100" s="609" t="s">
        <v>5687</v>
      </c>
    </row>
    <row r="4101" spans="1:29" ht="18">
      <c r="A4101" s="2714"/>
      <c r="B4101" s="371">
        <v>103</v>
      </c>
      <c r="C4101" s="371" t="s">
        <v>2791</v>
      </c>
      <c r="D4101" s="2716">
        <f t="shared" si="458"/>
        <v>1</v>
      </c>
      <c r="E4101" s="2721">
        <v>1</v>
      </c>
      <c r="F4101" s="293"/>
      <c r="G4101" s="1634" t="s">
        <v>3081</v>
      </c>
      <c r="H4101" s="1577"/>
      <c r="I4101" s="430"/>
      <c r="J4101" s="346"/>
      <c r="K4101" s="391"/>
      <c r="L4101" s="349"/>
      <c r="M4101" s="301"/>
      <c r="N4101" s="391"/>
      <c r="O4101" s="349"/>
      <c r="P4101" s="301"/>
      <c r="S4101" s="364"/>
      <c r="Z4101" s="609" t="s">
        <v>4025</v>
      </c>
      <c r="AA4101" s="609" t="s">
        <v>5687</v>
      </c>
    </row>
    <row r="4102" spans="1:29" ht="18">
      <c r="A4102" s="2714"/>
      <c r="B4102" s="371">
        <v>104</v>
      </c>
      <c r="C4102" s="371" t="s">
        <v>2791</v>
      </c>
      <c r="D4102" s="2716">
        <f t="shared" si="458"/>
        <v>0</v>
      </c>
      <c r="E4102" s="2721">
        <v>1</v>
      </c>
      <c r="F4102" s="293"/>
      <c r="G4102" s="1634" t="s">
        <v>2792</v>
      </c>
      <c r="H4102" s="1577"/>
      <c r="I4102" s="430"/>
      <c r="J4102" s="346"/>
      <c r="K4102" s="391"/>
      <c r="L4102" s="349"/>
      <c r="M4102" s="301"/>
      <c r="N4102" s="391"/>
      <c r="O4102" s="349"/>
      <c r="P4102" s="301"/>
      <c r="S4102" s="364"/>
      <c r="Z4102" s="609" t="s">
        <v>4025</v>
      </c>
      <c r="AA4102" s="609" t="s">
        <v>5687</v>
      </c>
    </row>
    <row r="4103" spans="1:29" ht="18">
      <c r="A4103" s="2714"/>
      <c r="B4103" s="371">
        <v>105</v>
      </c>
      <c r="C4103" s="371" t="s">
        <v>2791</v>
      </c>
      <c r="D4103" s="2716">
        <f t="shared" si="458"/>
        <v>0</v>
      </c>
      <c r="E4103" s="2721">
        <v>1</v>
      </c>
      <c r="F4103" s="293"/>
      <c r="G4103" s="1634" t="s">
        <v>2792</v>
      </c>
      <c r="H4103" s="1577"/>
      <c r="I4103" s="430"/>
      <c r="J4103" s="346"/>
      <c r="K4103" s="391"/>
      <c r="L4103" s="349"/>
      <c r="M4103" s="301"/>
      <c r="N4103" s="391"/>
      <c r="O4103" s="349"/>
      <c r="P4103" s="301"/>
      <c r="S4103" s="364"/>
      <c r="Z4103" s="609" t="s">
        <v>4025</v>
      </c>
      <c r="AA4103" s="609" t="s">
        <v>5687</v>
      </c>
    </row>
    <row r="4104" spans="1:29" ht="18.75" thickBot="1">
      <c r="A4104" s="2714"/>
      <c r="B4104" s="371"/>
      <c r="C4104" s="371"/>
      <c r="D4104" s="2716">
        <f t="shared" si="458"/>
        <v>1</v>
      </c>
      <c r="E4104" s="2721" t="s">
        <v>2751</v>
      </c>
      <c r="F4104" s="293"/>
      <c r="G4104" s="1529" t="s">
        <v>2752</v>
      </c>
      <c r="H4104" s="1527"/>
      <c r="I4104" s="1637"/>
      <c r="J4104" s="1528">
        <f>SUMPRODUCT($E4098:$E4103,J4098:J4103)</f>
        <v>0</v>
      </c>
      <c r="K4104" s="391"/>
      <c r="L4104" s="349"/>
      <c r="M4104" s="301"/>
      <c r="N4104" s="391"/>
      <c r="O4104" s="349"/>
      <c r="P4104" s="301"/>
      <c r="S4104" s="364"/>
      <c r="Z4104" s="609" t="s">
        <v>4025</v>
      </c>
      <c r="AA4104" s="609" t="s">
        <v>5687</v>
      </c>
    </row>
    <row r="4105" spans="1:29" ht="18">
      <c r="A4105" s="2714"/>
      <c r="B4105" s="371"/>
      <c r="C4105" s="371" t="s">
        <v>2755</v>
      </c>
      <c r="D4105" s="2716"/>
      <c r="F4105" s="293"/>
      <c r="G4105" s="376"/>
      <c r="H4105" s="1576"/>
      <c r="I4105" s="432"/>
      <c r="J4105" s="315"/>
      <c r="K4105" s="391"/>
      <c r="L4105" s="349"/>
      <c r="M4105" s="301"/>
      <c r="N4105" s="391"/>
      <c r="O4105" s="349"/>
      <c r="P4105" s="301"/>
      <c r="S4105" s="364"/>
      <c r="Z4105" s="609" t="s">
        <v>4025</v>
      </c>
      <c r="AA4105" s="609" t="s">
        <v>5687</v>
      </c>
    </row>
    <row r="4106" spans="1:29" ht="24">
      <c r="A4106" s="2715">
        <v>2706</v>
      </c>
      <c r="B4106" s="371">
        <v>48</v>
      </c>
      <c r="C4106" s="2716" t="str">
        <f>VLOOKUP($A4106,Sheet_Items,2,0)</f>
        <v>长期应付款（报表项目）</v>
      </c>
      <c r="D4106" s="371"/>
      <c r="E4106" s="2716" t="s">
        <v>2739</v>
      </c>
      <c r="F4106" s="371"/>
      <c r="G4106" s="305" t="str">
        <f>B4106&amp;" "&amp;C4106</f>
        <v>48 长期应付款（报表项目）</v>
      </c>
      <c r="H4106" s="306"/>
      <c r="I4106" s="306"/>
      <c r="J4106" s="306" t="s">
        <v>2740</v>
      </c>
      <c r="K4106" s="341">
        <f>VLOOKUP($A4106,Sheet_Trialbal,6,0)</f>
        <v>0</v>
      </c>
      <c r="L4106" s="342"/>
      <c r="M4106" s="306" t="s">
        <v>2741</v>
      </c>
      <c r="N4106" s="341">
        <f>VLOOKUP($A4106,Sheet_Trialbal,10,0)</f>
        <v>0</v>
      </c>
      <c r="O4106" s="342"/>
      <c r="P4106" s="301"/>
      <c r="S4106" s="364"/>
      <c r="Z4106" s="609" t="s">
        <v>4062</v>
      </c>
      <c r="AA4106" s="609" t="s">
        <v>19</v>
      </c>
    </row>
    <row r="4107" spans="1:29" ht="18">
      <c r="A4107" s="2714" t="s">
        <v>1682</v>
      </c>
      <c r="B4107" s="371">
        <v>1</v>
      </c>
      <c r="C4107" s="371"/>
      <c r="D4107" s="2716" t="str">
        <f>VLOOKUP($A4107,Sheet_NoteList,2,0)</f>
        <v>长期应付款分类列示</v>
      </c>
      <c r="E4107" s="2716" t="s">
        <v>2742</v>
      </c>
      <c r="F4107" s="371"/>
      <c r="G4107" s="372" t="str">
        <f>"("&amp;B4107&amp;")"&amp;D4107</f>
        <v>(1)长期应付款分类列示</v>
      </c>
      <c r="H4107" s="1517" t="str">
        <f>$A4107</f>
        <v>2706a</v>
      </c>
      <c r="I4107" s="343" t="s">
        <v>2743</v>
      </c>
      <c r="J4107" s="301" t="s">
        <v>2744</v>
      </c>
      <c r="K4107" s="2210">
        <f>H4115</f>
        <v>0</v>
      </c>
      <c r="L4107" s="349"/>
      <c r="M4107" s="301" t="s">
        <v>2745</v>
      </c>
      <c r="N4107" s="2210">
        <f>I4115</f>
        <v>0</v>
      </c>
      <c r="O4107" s="349"/>
      <c r="P4107" s="301"/>
      <c r="S4107" s="364"/>
      <c r="Z4107" s="609" t="s">
        <v>4062</v>
      </c>
      <c r="AA4107" s="609" t="s">
        <v>19</v>
      </c>
    </row>
    <row r="4108" spans="1:29" ht="0.75" customHeight="1" thickBot="1">
      <c r="A4108" s="2714"/>
      <c r="B4108" s="371"/>
      <c r="C4108" s="371"/>
      <c r="D4108" s="2716"/>
      <c r="F4108" s="371"/>
      <c r="G4108" s="405" t="s">
        <v>4063</v>
      </c>
      <c r="H4108" s="371" t="s">
        <v>2747</v>
      </c>
      <c r="I4108" s="371" t="s">
        <v>2748</v>
      </c>
      <c r="J4108" s="301"/>
      <c r="K4108" s="391"/>
      <c r="L4108" s="349"/>
      <c r="M4108" s="301"/>
      <c r="N4108" s="391"/>
      <c r="O4108" s="349"/>
      <c r="P4108" s="301"/>
      <c r="S4108" s="364"/>
      <c r="Z4108" s="609" t="s">
        <v>4062</v>
      </c>
      <c r="AA4108" s="609" t="s">
        <v>19</v>
      </c>
    </row>
    <row r="4109" spans="1:29" ht="18">
      <c r="A4109" s="2714"/>
      <c r="B4109" s="371"/>
      <c r="C4109" s="371"/>
      <c r="D4109" s="2716"/>
      <c r="E4109" s="2716" t="s">
        <v>2749</v>
      </c>
      <c r="F4109" s="371"/>
      <c r="G4109" s="373" t="s">
        <v>47</v>
      </c>
      <c r="H4109" s="1454" t="str">
        <f>$V$2</f>
        <v>2019年12月31日</v>
      </c>
      <c r="I4109" s="1455" t="str">
        <f>$V$3</f>
        <v>2018年12月31日</v>
      </c>
      <c r="J4109" s="355" t="s">
        <v>5313</v>
      </c>
      <c r="K4109" s="391"/>
      <c r="L4109" s="391"/>
      <c r="M4109" s="391"/>
      <c r="N4109" s="391"/>
      <c r="O4109" s="349"/>
      <c r="P4109" s="301"/>
      <c r="S4109" s="364"/>
      <c r="Z4109" s="609" t="s">
        <v>4062</v>
      </c>
      <c r="AA4109" s="609" t="s">
        <v>19</v>
      </c>
    </row>
    <row r="4110" spans="1:29" ht="18">
      <c r="A4110" s="2714"/>
      <c r="B4110" s="371">
        <v>101</v>
      </c>
      <c r="C4110" s="371"/>
      <c r="D4110" s="2716">
        <f t="shared" ref="D4110:D4115" si="459">IF(OR(G4110="*",G4110="",G4110=0),0,COUNTIF($G$4110:$G$4115,G4110))</f>
        <v>1</v>
      </c>
      <c r="E4110" s="2721" t="s">
        <v>2939</v>
      </c>
      <c r="F4110" s="371"/>
      <c r="G4110" s="308" t="s">
        <v>554</v>
      </c>
      <c r="H4110" s="309"/>
      <c r="I4110" s="394"/>
      <c r="J4110" s="1595" t="str">
        <f ca="1">HYPERLINK("#'"&amp;$G$1&amp;"'!"&amp;ADDRESS(ROW(Notes!H4130),COLUMN(Notes!H4130),4),"* 请勿删除此行！点击往勾稽单元格，F5+Enter返回")</f>
        <v>* 请勿删除此行！点击往勾稽单元格，F5+Enter返回</v>
      </c>
      <c r="K4110" s="391"/>
      <c r="L4110" s="391"/>
      <c r="M4110" s="391"/>
      <c r="N4110" s="391"/>
      <c r="O4110" s="349"/>
      <c r="P4110" s="301"/>
      <c r="S4110" s="364"/>
      <c r="Z4110" s="609" t="s">
        <v>4062</v>
      </c>
      <c r="AA4110" s="609" t="s">
        <v>19</v>
      </c>
      <c r="AC4110" s="369" t="s">
        <v>6574</v>
      </c>
    </row>
    <row r="4111" spans="1:29" ht="18">
      <c r="A4111" s="2714"/>
      <c r="B4111" s="371">
        <v>101.001</v>
      </c>
      <c r="C4111" s="371"/>
      <c r="D4111" s="2716">
        <f t="shared" si="459"/>
        <v>1</v>
      </c>
      <c r="E4111" s="2721" t="s">
        <v>2939</v>
      </c>
      <c r="F4111" s="371"/>
      <c r="G4111" s="308" t="s">
        <v>562</v>
      </c>
      <c r="H4111" s="309"/>
      <c r="I4111" s="394"/>
      <c r="J4111" s="301"/>
      <c r="K4111" s="391"/>
      <c r="L4111" s="391"/>
      <c r="M4111" s="391"/>
      <c r="N4111" s="391"/>
      <c r="O4111" s="349"/>
      <c r="P4111" s="301"/>
      <c r="S4111" s="364"/>
      <c r="Z4111" s="609" t="s">
        <v>4062</v>
      </c>
      <c r="AA4111" s="609" t="s">
        <v>19</v>
      </c>
    </row>
    <row r="4112" spans="1:29" ht="18">
      <c r="A4112" s="2714"/>
      <c r="B4112" s="371">
        <v>101.002</v>
      </c>
      <c r="C4112" s="371" t="s">
        <v>2791</v>
      </c>
      <c r="D4112" s="2716">
        <f t="shared" si="459"/>
        <v>0</v>
      </c>
      <c r="E4112" s="2721" t="s">
        <v>2939</v>
      </c>
      <c r="F4112" s="371"/>
      <c r="G4112" s="2406" t="s">
        <v>2792</v>
      </c>
      <c r="H4112" s="309"/>
      <c r="I4112" s="394"/>
      <c r="J4112" s="301"/>
      <c r="K4112" s="391"/>
      <c r="L4112" s="391"/>
      <c r="M4112" s="391"/>
      <c r="N4112" s="391"/>
      <c r="O4112" s="349"/>
      <c r="P4112" s="301"/>
      <c r="S4112" s="364"/>
      <c r="Z4112" s="609" t="s">
        <v>4062</v>
      </c>
      <c r="AA4112" s="609" t="s">
        <v>19</v>
      </c>
    </row>
    <row r="4113" spans="1:29" ht="18">
      <c r="A4113" s="2714"/>
      <c r="B4113" s="371">
        <v>102</v>
      </c>
      <c r="C4113" s="371" t="s">
        <v>2793</v>
      </c>
      <c r="D4113" s="2716">
        <f t="shared" si="459"/>
        <v>1</v>
      </c>
      <c r="E4113" s="2721">
        <v>1</v>
      </c>
      <c r="F4113" s="371"/>
      <c r="G4113" s="308" t="s">
        <v>2939</v>
      </c>
      <c r="H4113" s="1476">
        <f>SUMIF($E$4109:$E$4114,$G4113,H$4109:H$4114)</f>
        <v>0</v>
      </c>
      <c r="I4113" s="1495">
        <f>SUMIF($E$4109:$E$4114,$G4113,I$4109:I$4114)</f>
        <v>0</v>
      </c>
      <c r="J4113" s="301"/>
      <c r="K4113" s="391"/>
      <c r="L4113" s="391"/>
      <c r="M4113" s="391"/>
      <c r="N4113" s="391"/>
      <c r="O4113" s="349"/>
      <c r="P4113" s="301"/>
      <c r="S4113" s="364"/>
      <c r="Z4113" s="609" t="s">
        <v>4062</v>
      </c>
      <c r="AA4113" s="609" t="s">
        <v>19</v>
      </c>
    </row>
    <row r="4114" spans="1:29" ht="24">
      <c r="A4114" s="2714"/>
      <c r="B4114" s="371">
        <v>103</v>
      </c>
      <c r="C4114" s="371" t="s">
        <v>2791</v>
      </c>
      <c r="D4114" s="2716">
        <f t="shared" si="459"/>
        <v>1</v>
      </c>
      <c r="E4114" s="2721">
        <v>-1</v>
      </c>
      <c r="F4114" s="371"/>
      <c r="G4114" s="2568" t="s">
        <v>6143</v>
      </c>
      <c r="H4114" s="610"/>
      <c r="I4114" s="611"/>
      <c r="J4114" s="1595" t="str">
        <f ca="1">HYPERLINK("#'"&amp;$G$1&amp;"'!"&amp;ADDRESS(ROW(Notes!K3932),COLUMN(Notes!K3932),4),"*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6574</v>
      </c>
    </row>
    <row r="4115" spans="1:29" ht="18.75" thickBot="1">
      <c r="A4115" s="2714"/>
      <c r="B4115" s="371"/>
      <c r="C4115" s="371"/>
      <c r="D4115" s="2716">
        <f t="shared" si="459"/>
        <v>1</v>
      </c>
      <c r="E4115" s="2721" t="s">
        <v>2751</v>
      </c>
      <c r="F4115" s="371"/>
      <c r="G4115" s="374" t="s">
        <v>3351</v>
      </c>
      <c r="H4115" s="1496">
        <f>SUMPRODUCT($E4109:$E4114,H4109:H4114)</f>
        <v>0</v>
      </c>
      <c r="I4115" s="1479">
        <f>SUMPRODUCT($E4109:$E4114,I4109:I4114)</f>
        <v>0</v>
      </c>
      <c r="J4115" s="301"/>
      <c r="K4115" s="391"/>
      <c r="L4115" s="391"/>
      <c r="M4115" s="391"/>
      <c r="N4115" s="391"/>
      <c r="O4115" s="349"/>
      <c r="P4115" s="301"/>
      <c r="S4115" s="364"/>
      <c r="Z4115" s="609" t="s">
        <v>4062</v>
      </c>
      <c r="AA4115" s="609" t="s">
        <v>19</v>
      </c>
    </row>
    <row r="4116" spans="1:29" ht="18">
      <c r="A4116" s="2714"/>
      <c r="B4116" s="371"/>
      <c r="C4116" s="371" t="s">
        <v>2755</v>
      </c>
      <c r="D4116" s="2716"/>
      <c r="F4116" s="371"/>
      <c r="G4116" s="376"/>
      <c r="H4116" s="315"/>
      <c r="I4116" s="396"/>
      <c r="J4116" s="301"/>
      <c r="K4116" s="391"/>
      <c r="L4116" s="391"/>
      <c r="M4116" s="391"/>
      <c r="N4116" s="391"/>
      <c r="O4116" s="349"/>
      <c r="P4116" s="301"/>
      <c r="S4116" s="364"/>
      <c r="Z4116" s="609" t="s">
        <v>4062</v>
      </c>
      <c r="AA4116" s="609" t="s">
        <v>19</v>
      </c>
    </row>
    <row r="4117" spans="1:29" ht="18">
      <c r="A4117" s="2714">
        <v>2701</v>
      </c>
      <c r="B4117" s="371">
        <v>48.1</v>
      </c>
      <c r="C4117" s="2716" t="str">
        <f>VLOOKUP($A4117,Sheet_Items,2,0)</f>
        <v>长期应付款</v>
      </c>
      <c r="D4117" s="371"/>
      <c r="E4117" s="2716" t="s">
        <v>2739</v>
      </c>
      <c r="F4117" s="294"/>
      <c r="G4117" s="535" t="str">
        <f>B4117&amp;" "&amp;C4117</f>
        <v>48.1 长期应付款</v>
      </c>
      <c r="H4117" s="306"/>
      <c r="I4117" s="306"/>
      <c r="J4117" s="306" t="s">
        <v>2740</v>
      </c>
      <c r="K4117" s="341">
        <f>VLOOKUP($A4117,Sheet_Trialbal,6,0)</f>
        <v>0</v>
      </c>
      <c r="L4117" s="342"/>
      <c r="M4117" s="306" t="s">
        <v>2741</v>
      </c>
      <c r="N4117" s="341">
        <f>VLOOKUP($A4117,Sheet_Trialbal,10,0)</f>
        <v>0</v>
      </c>
      <c r="O4117" s="306"/>
      <c r="P4117" s="301"/>
      <c r="S4117" s="364"/>
      <c r="Z4117" s="609" t="s">
        <v>4064</v>
      </c>
      <c r="AA4117" s="609" t="s">
        <v>5689</v>
      </c>
    </row>
    <row r="4118" spans="1:29" ht="24">
      <c r="A4118" s="2714" t="s">
        <v>1687</v>
      </c>
      <c r="B4118" s="371">
        <v>1</v>
      </c>
      <c r="C4118" s="371"/>
      <c r="D4118" s="2716" t="str">
        <f>VLOOKUP($A4118,Sheet_NoteList,2,0)</f>
        <v>按款项性质列示长期应付款</v>
      </c>
      <c r="E4118" s="2716" t="s">
        <v>2742</v>
      </c>
      <c r="F4118" s="294"/>
      <c r="G4118" s="372" t="str">
        <f>"("&amp;B4118&amp;")"&amp;D4118</f>
        <v>(1)按款项性质列示长期应付款</v>
      </c>
      <c r="H4118" s="1517" t="str">
        <f>$A4118</f>
        <v>2701c</v>
      </c>
      <c r="I4118" s="343" t="s">
        <v>2743</v>
      </c>
      <c r="J4118" s="301" t="s">
        <v>2744</v>
      </c>
      <c r="K4118" s="2210">
        <f>H4127</f>
        <v>0</v>
      </c>
      <c r="L4118" s="345" t="str">
        <f>IF($I4118="适用",IF(ROUND(K4117-K4118,2)=0,"F/S",ROUND(K4117-K4118,2)),"#N/A")</f>
        <v>F/S</v>
      </c>
      <c r="M4118" s="301" t="s">
        <v>2745</v>
      </c>
      <c r="N4118" s="2210">
        <f>I4127</f>
        <v>0</v>
      </c>
      <c r="O4118" s="345" t="str">
        <f>IF($I4118="适用",IF(ROUND(N4117-N4118,2)=0,"F/S",ROUND(N4117-N4118,2)),"#N/A")</f>
        <v>F/S</v>
      </c>
      <c r="P4118" s="301"/>
      <c r="Q4118" s="290" t="str">
        <f>IF($I4118="不适用","",IF(ROUND(SUM($H$4121:$I$4127),2)=0,"请输入",""))</f>
        <v>请输入</v>
      </c>
      <c r="S4118" s="364"/>
      <c r="Z4118" s="609" t="s">
        <v>4064</v>
      </c>
      <c r="AA4118" s="609" t="s">
        <v>5689</v>
      </c>
    </row>
    <row r="4119" spans="1:29" ht="0.75" customHeight="1" thickBot="1">
      <c r="A4119" s="2714"/>
      <c r="B4119" s="371"/>
      <c r="C4119" s="371"/>
      <c r="D4119" s="371"/>
      <c r="E4119" s="586"/>
      <c r="F4119" s="518"/>
      <c r="G4119" s="518" t="s">
        <v>4065</v>
      </c>
      <c r="H4119" s="304" t="s">
        <v>2747</v>
      </c>
      <c r="I4119" s="304" t="s">
        <v>2748</v>
      </c>
      <c r="N4119" s="291"/>
      <c r="O4119" s="291"/>
      <c r="P4119" s="291"/>
      <c r="Q4119" s="367"/>
      <c r="R4119" s="367"/>
      <c r="S4119" s="364"/>
      <c r="Z4119" s="609" t="s">
        <v>4064</v>
      </c>
      <c r="AA4119" s="609" t="s">
        <v>5689</v>
      </c>
    </row>
    <row r="4120" spans="1:29" ht="18">
      <c r="A4120" s="2714"/>
      <c r="B4120" s="371"/>
      <c r="C4120" s="371"/>
      <c r="D4120" s="371"/>
      <c r="E4120" s="586" t="s">
        <v>2749</v>
      </c>
      <c r="F4120" s="363"/>
      <c r="G4120" s="2408" t="s">
        <v>47</v>
      </c>
      <c r="H4120" s="2225" t="str">
        <f>$V$2</f>
        <v>2019年12月31日</v>
      </c>
      <c r="I4120" s="2226" t="str">
        <f>$V$3</f>
        <v>2018年12月31日</v>
      </c>
      <c r="J4120" s="355" t="s">
        <v>5313</v>
      </c>
      <c r="N4120" s="291"/>
      <c r="O4120" s="291"/>
      <c r="P4120" s="291"/>
      <c r="Q4120" s="367"/>
      <c r="R4120" s="367"/>
      <c r="S4120" s="364"/>
      <c r="Z4120" s="609" t="s">
        <v>4064</v>
      </c>
      <c r="AA4120" s="609" t="s">
        <v>5689</v>
      </c>
    </row>
    <row r="4121" spans="1:29" ht="18">
      <c r="A4121" s="2714"/>
      <c r="B4121" s="371">
        <v>101</v>
      </c>
      <c r="C4121" s="371"/>
      <c r="D4121" s="2716">
        <f t="shared" ref="D4121:D4127" si="460">IF(OR(G4121="*",G4121="",G4121=0),0,COUNTIF($G$4121:$G$4127,G4121))</f>
        <v>1</v>
      </c>
      <c r="E4121" s="2721" t="s">
        <v>4017</v>
      </c>
      <c r="F4121" s="294"/>
      <c r="G4121" s="1474" t="s">
        <v>4006</v>
      </c>
      <c r="H4121" s="2275"/>
      <c r="I4121" s="2296"/>
      <c r="N4121" s="291"/>
      <c r="O4121" s="291"/>
      <c r="P4121" s="291"/>
      <c r="Q4121" s="367"/>
      <c r="R4121" s="367"/>
      <c r="S4121" s="364"/>
      <c r="Z4121" s="609" t="s">
        <v>4064</v>
      </c>
      <c r="AA4121" s="609" t="s">
        <v>5689</v>
      </c>
    </row>
    <row r="4122" spans="1:29" ht="18">
      <c r="A4122" s="2714"/>
      <c r="B4122" s="371">
        <v>101.001</v>
      </c>
      <c r="C4122" s="371" t="s">
        <v>2791</v>
      </c>
      <c r="D4122" s="2716">
        <f t="shared" si="460"/>
        <v>0</v>
      </c>
      <c r="E4122" s="2721" t="s">
        <v>4017</v>
      </c>
      <c r="F4122" s="294"/>
      <c r="G4122" s="2406" t="s">
        <v>2792</v>
      </c>
      <c r="H4122" s="2275"/>
      <c r="I4122" s="2296"/>
      <c r="N4122" s="291"/>
      <c r="O4122" s="291"/>
      <c r="P4122" s="291"/>
      <c r="Q4122" s="367"/>
      <c r="R4122" s="367"/>
      <c r="S4122" s="364"/>
      <c r="Z4122" s="609" t="s">
        <v>4064</v>
      </c>
      <c r="AA4122" s="609" t="s">
        <v>5689</v>
      </c>
    </row>
    <row r="4123" spans="1:29" ht="18">
      <c r="A4123" s="2714"/>
      <c r="B4123" s="371">
        <v>101.002</v>
      </c>
      <c r="C4123" s="371" t="s">
        <v>2791</v>
      </c>
      <c r="D4123" s="2716">
        <f t="shared" si="460"/>
        <v>0</v>
      </c>
      <c r="E4123" s="2721" t="s">
        <v>4017</v>
      </c>
      <c r="F4123" s="294"/>
      <c r="G4123" s="2406" t="s">
        <v>2792</v>
      </c>
      <c r="H4123" s="2275"/>
      <c r="I4123" s="2296"/>
      <c r="N4123" s="291"/>
      <c r="O4123" s="291"/>
      <c r="P4123" s="291"/>
      <c r="Q4123" s="367"/>
      <c r="R4123" s="367"/>
      <c r="S4123" s="364"/>
      <c r="Z4123" s="609" t="s">
        <v>4064</v>
      </c>
      <c r="AA4123" s="609" t="s">
        <v>5689</v>
      </c>
    </row>
    <row r="4124" spans="1:29" ht="18">
      <c r="A4124" s="2714"/>
      <c r="B4124" s="371">
        <v>101.003</v>
      </c>
      <c r="C4124" s="371" t="s">
        <v>2791</v>
      </c>
      <c r="D4124" s="2716">
        <f t="shared" si="460"/>
        <v>0</v>
      </c>
      <c r="E4124" s="2721" t="s">
        <v>4017</v>
      </c>
      <c r="F4124" s="294"/>
      <c r="G4124" s="2406" t="s">
        <v>2792</v>
      </c>
      <c r="H4124" s="2275"/>
      <c r="I4124" s="2296"/>
      <c r="N4124" s="291"/>
      <c r="O4124" s="291"/>
      <c r="P4124" s="291"/>
      <c r="Q4124" s="367"/>
      <c r="R4124" s="367"/>
      <c r="S4124" s="364"/>
      <c r="Z4124" s="609" t="s">
        <v>4064</v>
      </c>
      <c r="AA4124" s="609" t="s">
        <v>5689</v>
      </c>
    </row>
    <row r="4125" spans="1:29" ht="18">
      <c r="A4125" s="2714"/>
      <c r="B4125" s="371">
        <v>102</v>
      </c>
      <c r="C4125" s="371" t="s">
        <v>2793</v>
      </c>
      <c r="D4125" s="2716">
        <f t="shared" si="460"/>
        <v>1</v>
      </c>
      <c r="E4125" s="2721">
        <v>1</v>
      </c>
      <c r="F4125" s="294"/>
      <c r="G4125" s="1474" t="s">
        <v>4017</v>
      </c>
      <c r="H4125" s="1476">
        <f>SUMIF($E$4120:$E$4126,$G4125,H$4120:H$4126)</f>
        <v>0</v>
      </c>
      <c r="I4125" s="1477">
        <f>SUMIF($E$4120:$E$4126,$G4125,I$4120:I$4126)</f>
        <v>0</v>
      </c>
      <c r="J4125" s="1534" t="str">
        <f ca="1">HYPERLINK("#'"&amp;$G$1&amp;"'!"&amp;ADDRESS(ROW(Notes!H4131),COLUMN(Notes!H4131),4),"* 请勿删除此行！点击往勾稽单元格，F5+Enter返回")</f>
        <v>* 请勿删除此行！点击往勾稽单元格，F5+Enter返回</v>
      </c>
      <c r="N4125" s="291"/>
      <c r="O4125" s="291"/>
      <c r="P4125" s="291"/>
      <c r="Q4125" s="367"/>
      <c r="R4125" s="367"/>
      <c r="S4125" s="364"/>
      <c r="Z4125" s="609" t="s">
        <v>4064</v>
      </c>
      <c r="AA4125" s="609" t="s">
        <v>5689</v>
      </c>
      <c r="AC4125" s="369" t="s">
        <v>6574</v>
      </c>
    </row>
    <row r="4126" spans="1:29" ht="18">
      <c r="A4126" s="2714"/>
      <c r="B4126" s="371">
        <v>103</v>
      </c>
      <c r="C4126" s="371" t="s">
        <v>2791</v>
      </c>
      <c r="D4126" s="2716">
        <f t="shared" si="460"/>
        <v>1</v>
      </c>
      <c r="E4126" s="2721">
        <v>-1</v>
      </c>
      <c r="F4126" s="294"/>
      <c r="G4126" s="2568" t="s">
        <v>4066</v>
      </c>
      <c r="H4126" s="2275"/>
      <c r="I4126" s="2296"/>
      <c r="N4126" s="291"/>
      <c r="O4126" s="291"/>
      <c r="P4126" s="291"/>
      <c r="Q4126" s="367"/>
      <c r="R4126" s="367"/>
      <c r="S4126" s="364"/>
      <c r="Z4126" s="609" t="s">
        <v>4064</v>
      </c>
      <c r="AA4126" s="609" t="s">
        <v>5689</v>
      </c>
    </row>
    <row r="4127" spans="1:29" ht="18.75" thickBot="1">
      <c r="A4127" s="2714"/>
      <c r="B4127" s="371"/>
      <c r="C4127" s="371"/>
      <c r="D4127" s="2716">
        <f t="shared" si="460"/>
        <v>1</v>
      </c>
      <c r="E4127" s="2721" t="s">
        <v>2751</v>
      </c>
      <c r="F4127" s="294"/>
      <c r="G4127" s="374" t="s">
        <v>2752</v>
      </c>
      <c r="H4127" s="1478">
        <f>SUMPRODUCT($E4120:$E4126,H4120:H4126)</f>
        <v>0</v>
      </c>
      <c r="I4127" s="1479">
        <f>SUMPRODUCT($E4120:$E4126,I4120:I4126)</f>
        <v>0</v>
      </c>
      <c r="N4127" s="291"/>
      <c r="O4127" s="291"/>
      <c r="P4127" s="291"/>
      <c r="Q4127" s="367"/>
      <c r="R4127" s="367"/>
      <c r="S4127" s="364"/>
      <c r="Z4127" s="609" t="s">
        <v>4064</v>
      </c>
      <c r="AA4127" s="609" t="s">
        <v>5689</v>
      </c>
    </row>
    <row r="4128" spans="1:29" ht="18.75" thickBot="1">
      <c r="A4128" s="2714"/>
      <c r="B4128" s="371"/>
      <c r="C4128" s="371" t="s">
        <v>2755</v>
      </c>
      <c r="D4128" s="371"/>
      <c r="F4128" s="294"/>
      <c r="G4128" s="301"/>
      <c r="H4128" s="527" t="s">
        <v>3002</v>
      </c>
      <c r="I4128" s="527" t="s">
        <v>3002</v>
      </c>
      <c r="J4128" s="349"/>
      <c r="K4128" s="349"/>
      <c r="L4128" s="315"/>
      <c r="M4128" s="393"/>
      <c r="N4128" s="291"/>
      <c r="O4128" s="291"/>
      <c r="P4128" s="291"/>
      <c r="Q4128" s="367"/>
      <c r="R4128" s="367"/>
      <c r="S4128" s="364"/>
      <c r="Z4128" s="609" t="s">
        <v>4064</v>
      </c>
      <c r="AA4128" s="609" t="s">
        <v>5689</v>
      </c>
    </row>
    <row r="4129" spans="1:27" ht="18.75" thickTop="1">
      <c r="A4129" s="2714"/>
      <c r="B4129" s="371"/>
      <c r="C4129" s="371" t="s">
        <v>2565</v>
      </c>
      <c r="D4129" s="371"/>
      <c r="F4129" s="294"/>
      <c r="G4129" s="1561" t="s">
        <v>5367</v>
      </c>
      <c r="H4129" s="1550" t="str">
        <f>G4107</f>
        <v>(1)长期应付款分类列示</v>
      </c>
      <c r="I4129" s="1552"/>
      <c r="J4129" s="1553" t="s">
        <v>5368</v>
      </c>
      <c r="K4129" s="349"/>
      <c r="L4129" s="315"/>
      <c r="M4129" s="393"/>
      <c r="N4129" s="291"/>
      <c r="O4129" s="291"/>
      <c r="P4129" s="291"/>
      <c r="Q4129" s="367"/>
      <c r="R4129" s="367"/>
      <c r="S4129" s="364"/>
      <c r="Z4129" s="609" t="s">
        <v>4064</v>
      </c>
      <c r="AA4129" s="609" t="s">
        <v>5689</v>
      </c>
    </row>
    <row r="4130" spans="1:27" ht="18">
      <c r="A4130" s="2714"/>
      <c r="B4130" s="371"/>
      <c r="C4130" s="371" t="s">
        <v>2565</v>
      </c>
      <c r="D4130" s="371"/>
      <c r="F4130" s="294"/>
      <c r="G4130" s="316" t="str">
        <f>"注释A:"&amp; G4110</f>
        <v>注释A:长期应付款</v>
      </c>
      <c r="H4130" s="2252">
        <f ca="1">HYPERLINK("#'"&amp;$G$1&amp;"'!"&amp;ADDRESS(ROW(Notes!H4110),COLUMN(Notes!H4110),4),H4110)</f>
        <v>0</v>
      </c>
      <c r="I4130" s="2252">
        <f ca="1">HYPERLINK("#'"&amp;$G$1&amp;"'!"&amp;ADDRESS(ROW(Notes!I4110),COLUMN(Notes!I4110),4),I4110)</f>
        <v>0</v>
      </c>
      <c r="J4130" s="2632" t="str">
        <f>H4107</f>
        <v>2706a</v>
      </c>
      <c r="K4130" s="349"/>
      <c r="L4130" s="315"/>
      <c r="M4130" s="393"/>
      <c r="N4130" s="291"/>
      <c r="O4130" s="291"/>
      <c r="P4130" s="291"/>
      <c r="Q4130" s="367"/>
      <c r="R4130" s="367"/>
      <c r="S4130" s="364"/>
      <c r="Z4130" s="609" t="s">
        <v>4064</v>
      </c>
      <c r="AA4130" s="609" t="s">
        <v>5689</v>
      </c>
    </row>
    <row r="4131" spans="1:27" ht="18">
      <c r="A4131" s="2714"/>
      <c r="B4131" s="371"/>
      <c r="C4131" s="371" t="s">
        <v>2565</v>
      </c>
      <c r="D4131" s="371"/>
      <c r="F4131" s="294"/>
      <c r="G4131" s="316" t="str">
        <f>"本注释B:"&amp; G4125</f>
        <v>本注释B:小    计</v>
      </c>
      <c r="H4131" s="2252">
        <f ca="1">HYPERLINK("#'"&amp;$G$1&amp;"'!"&amp;ADDRESS(ROW(Notes!H4125),COLUMN(Notes!H4125),4),H4125)</f>
        <v>0</v>
      </c>
      <c r="I4131" s="2252">
        <f ca="1">HYPERLINK("#'"&amp;$G$1&amp;"'!"&amp;ADDRESS(ROW(Notes!I4125),COLUMN(Notes!I4125),4),I4125)</f>
        <v>0</v>
      </c>
      <c r="J4131" s="2638" t="s">
        <v>1687</v>
      </c>
      <c r="K4131" s="349"/>
      <c r="L4131" s="315"/>
      <c r="M4131" s="393"/>
      <c r="N4131" s="291"/>
      <c r="O4131" s="291"/>
      <c r="P4131" s="291"/>
      <c r="Q4131" s="367"/>
      <c r="R4131" s="367"/>
      <c r="S4131" s="364"/>
      <c r="Z4131" s="609" t="s">
        <v>4064</v>
      </c>
      <c r="AA4131" s="609" t="s">
        <v>5689</v>
      </c>
    </row>
    <row r="4132" spans="1:27" ht="18.75" thickBot="1">
      <c r="A4132" s="2714"/>
      <c r="B4132" s="371"/>
      <c r="C4132" s="371" t="s">
        <v>2565</v>
      </c>
      <c r="D4132" s="371"/>
      <c r="F4132" s="294"/>
      <c r="G4132" s="1562" t="s">
        <v>2757</v>
      </c>
      <c r="H4132" s="1531">
        <f ca="1">IF(AND(H4130="",H4131=""),"",ROUND(H4130-H4131,2))</f>
        <v>0</v>
      </c>
      <c r="I4132" s="1531">
        <f ca="1">IF(AND(I4130="",I4131=""),"",ROUND(I4130-I4131,2))</f>
        <v>0</v>
      </c>
      <c r="J4132" s="1555"/>
      <c r="K4132" s="349"/>
      <c r="L4132" s="315"/>
      <c r="M4132" s="393"/>
      <c r="N4132" s="291"/>
      <c r="O4132" s="291"/>
      <c r="P4132" s="291"/>
      <c r="Q4132" s="367"/>
      <c r="R4132" s="367"/>
      <c r="S4132" s="364"/>
      <c r="Z4132" s="609" t="s">
        <v>4064</v>
      </c>
      <c r="AA4132" s="609" t="s">
        <v>5689</v>
      </c>
    </row>
    <row r="4133" spans="1:27" ht="18.75" thickTop="1">
      <c r="A4133" s="2714"/>
      <c r="B4133" s="371"/>
      <c r="C4133" s="371" t="s">
        <v>2565</v>
      </c>
      <c r="D4133" s="371"/>
      <c r="F4133" s="294"/>
      <c r="G4133" s="354"/>
      <c r="H4133" s="459" t="str">
        <f ca="1">IF(OR(H4132=0,H4132=""),"√","？")</f>
        <v>√</v>
      </c>
      <c r="I4133" s="459" t="str">
        <f ca="1">IF(OR(I4132=0,I4132=""),"√","？")</f>
        <v>√</v>
      </c>
      <c r="J4133" s="317"/>
      <c r="K4133" s="349"/>
      <c r="L4133" s="315"/>
      <c r="M4133" s="393"/>
      <c r="N4133" s="291"/>
      <c r="O4133" s="291"/>
      <c r="P4133" s="291"/>
      <c r="Q4133" s="367"/>
      <c r="R4133" s="367"/>
      <c r="S4133" s="364"/>
      <c r="Z4133" s="609" t="s">
        <v>4064</v>
      </c>
      <c r="AA4133" s="609" t="s">
        <v>5689</v>
      </c>
    </row>
    <row r="4134" spans="1:27" ht="18">
      <c r="A4134" s="2714"/>
      <c r="B4134" s="371"/>
      <c r="C4134" s="371" t="s">
        <v>2565</v>
      </c>
      <c r="D4134" s="371"/>
      <c r="F4134" s="294"/>
      <c r="G4134" s="460" t="s">
        <v>2759</v>
      </c>
      <c r="H4134" s="461"/>
      <c r="I4134" s="461"/>
      <c r="J4134" s="317"/>
      <c r="K4134" s="345">
        <f ca="1">SUMIF($H$4133:$J$4133,"&lt;&gt;√",$H$4132:$J$4132)</f>
        <v>0</v>
      </c>
      <c r="L4134" s="2670" t="str">
        <f ca="1">IF(OR(K4134=0,K4134=""),"√","？")</f>
        <v>√</v>
      </c>
      <c r="M4134" s="393"/>
      <c r="N4134" s="291"/>
      <c r="O4134" s="291"/>
      <c r="P4134" s="291"/>
      <c r="Q4134" s="367"/>
      <c r="R4134" s="367"/>
      <c r="S4134" s="364"/>
      <c r="Z4134" s="609" t="s">
        <v>4064</v>
      </c>
      <c r="AA4134" s="609" t="s">
        <v>5689</v>
      </c>
    </row>
    <row r="4135" spans="1:27" ht="18">
      <c r="A4135" s="2714"/>
      <c r="B4135" s="371"/>
      <c r="C4135" s="371" t="s">
        <v>2565</v>
      </c>
      <c r="D4135" s="371"/>
      <c r="F4135" s="294"/>
      <c r="G4135" s="354"/>
      <c r="H4135" s="461"/>
      <c r="I4135" s="461"/>
      <c r="J4135" s="317"/>
      <c r="K4135" s="349"/>
      <c r="L4135" s="315"/>
      <c r="M4135" s="393"/>
      <c r="N4135" s="291"/>
      <c r="O4135" s="291"/>
      <c r="P4135" s="291"/>
      <c r="Q4135" s="367"/>
      <c r="R4135" s="367"/>
      <c r="S4135" s="364"/>
      <c r="Z4135" s="609" t="s">
        <v>4064</v>
      </c>
      <c r="AA4135" s="609" t="s">
        <v>5689</v>
      </c>
    </row>
    <row r="4136" spans="1:27" ht="18">
      <c r="A4136" s="2714" t="s">
        <v>1692</v>
      </c>
      <c r="B4136" s="371">
        <v>2</v>
      </c>
      <c r="C4136" s="371"/>
      <c r="D4136" s="2716" t="str">
        <f>VLOOKUP($A4136,Sheet_NoteList,2,0)</f>
        <v>外币长期应付款</v>
      </c>
      <c r="E4136" s="2716" t="s">
        <v>6534</v>
      </c>
      <c r="F4136" s="294"/>
      <c r="G4136" s="307" t="str">
        <f>"("&amp;B4136&amp;")"&amp;D4136</f>
        <v>(2)外币长期应付款</v>
      </c>
      <c r="H4136" s="1517" t="str">
        <f>$A4136</f>
        <v>2701d</v>
      </c>
      <c r="I4136" s="343" t="s">
        <v>5584</v>
      </c>
      <c r="J4136" s="301" t="s">
        <v>5583</v>
      </c>
      <c r="K4136" s="2210">
        <f>J4144</f>
        <v>0</v>
      </c>
      <c r="L4136" s="345"/>
      <c r="M4136" s="301"/>
      <c r="N4136" s="391"/>
      <c r="O4136" s="345" t="str">
        <f>IF($I4136="适用",IF(ROUND(N$3442-N4136,2)&gt;=0,"","#Logical!"),"#N/A")</f>
        <v/>
      </c>
      <c r="P4136" s="301"/>
      <c r="Q4136" s="290" t="str">
        <f>IF($I4136="不适用","",IF(ROUND(SUM($H$4139:$J$4144),2)=0,"请输入",""))</f>
        <v>请输入</v>
      </c>
      <c r="S4136" s="364"/>
      <c r="Z4136" s="609" t="s">
        <v>4064</v>
      </c>
      <c r="AA4136" s="609" t="s">
        <v>5689</v>
      </c>
    </row>
    <row r="4137" spans="1:27" ht="0.75" customHeight="1" thickBot="1">
      <c r="A4137" s="2714"/>
      <c r="B4137" s="371"/>
      <c r="C4137" s="371"/>
      <c r="D4137" s="371"/>
      <c r="F4137" s="304"/>
      <c r="G4137" s="304" t="s">
        <v>4067</v>
      </c>
      <c r="H4137" s="304" t="s">
        <v>3073</v>
      </c>
      <c r="I4137" s="304" t="s">
        <v>3074</v>
      </c>
      <c r="J4137" s="304" t="s">
        <v>3075</v>
      </c>
      <c r="K4137" s="387"/>
      <c r="L4137" s="291"/>
      <c r="M4137" s="291"/>
      <c r="N4137" s="291"/>
      <c r="O4137" s="291"/>
      <c r="P4137" s="291"/>
      <c r="Q4137" s="367"/>
      <c r="R4137" s="367"/>
      <c r="S4137" s="364"/>
      <c r="Z4137" s="609" t="s">
        <v>4064</v>
      </c>
      <c r="AA4137" s="609" t="s">
        <v>5689</v>
      </c>
    </row>
    <row r="4138" spans="1:27" ht="24">
      <c r="A4138" s="2714"/>
      <c r="B4138" s="371"/>
      <c r="C4138" s="371"/>
      <c r="D4138" s="371"/>
      <c r="E4138" s="2716" t="s">
        <v>2749</v>
      </c>
      <c r="F4138" s="294"/>
      <c r="G4138" s="1629" t="s">
        <v>1371</v>
      </c>
      <c r="H4138" s="1627" t="s">
        <v>3076</v>
      </c>
      <c r="I4138" s="1627" t="s">
        <v>3077</v>
      </c>
      <c r="J4138" s="1628" t="s">
        <v>3078</v>
      </c>
      <c r="K4138" s="355" t="s">
        <v>5604</v>
      </c>
      <c r="L4138" s="291"/>
      <c r="M4138" s="291"/>
      <c r="N4138" s="291"/>
      <c r="O4138" s="291"/>
      <c r="P4138" s="291"/>
      <c r="Q4138" s="367"/>
      <c r="R4138" s="367"/>
      <c r="S4138" s="364"/>
      <c r="Z4138" s="609" t="s">
        <v>4064</v>
      </c>
      <c r="AA4138" s="609" t="s">
        <v>5689</v>
      </c>
    </row>
    <row r="4139" spans="1:27" ht="18">
      <c r="A4139" s="2714"/>
      <c r="B4139" s="371">
        <v>101</v>
      </c>
      <c r="C4139" s="371" t="s">
        <v>2791</v>
      </c>
      <c r="D4139" s="2716">
        <f t="shared" ref="D4139:D4144" si="461">IF(OR(G4139="*",G4139="",G4139=0),0,COUNTIF($G$4139:$G$4144,G4139))</f>
        <v>1</v>
      </c>
      <c r="E4139" s="2721">
        <v>1</v>
      </c>
      <c r="F4139" s="294"/>
      <c r="G4139" s="1626" t="s">
        <v>3079</v>
      </c>
      <c r="H4139" s="309"/>
      <c r="I4139" s="360"/>
      <c r="J4139" s="346"/>
      <c r="K4139" s="355" t="s">
        <v>5364</v>
      </c>
      <c r="L4139" s="1522" t="s">
        <v>5365</v>
      </c>
      <c r="M4139" s="291"/>
      <c r="N4139" s="291"/>
      <c r="O4139" s="291"/>
      <c r="P4139" s="291"/>
      <c r="Q4139" s="367"/>
      <c r="R4139" s="367"/>
      <c r="S4139" s="364"/>
      <c r="Z4139" s="609" t="s">
        <v>4064</v>
      </c>
      <c r="AA4139" s="609" t="s">
        <v>5689</v>
      </c>
    </row>
    <row r="4140" spans="1:27" ht="18">
      <c r="A4140" s="2714"/>
      <c r="B4140" s="371">
        <v>102</v>
      </c>
      <c r="C4140" s="371" t="s">
        <v>2791</v>
      </c>
      <c r="D4140" s="2716">
        <f t="shared" si="461"/>
        <v>1</v>
      </c>
      <c r="E4140" s="2721">
        <v>1</v>
      </c>
      <c r="F4140" s="294"/>
      <c r="G4140" s="1626" t="s">
        <v>3080</v>
      </c>
      <c r="H4140" s="309"/>
      <c r="I4140" s="360"/>
      <c r="J4140" s="346"/>
      <c r="K4140" s="291"/>
      <c r="L4140" s="291"/>
      <c r="M4140" s="291"/>
      <c r="N4140" s="291"/>
      <c r="O4140" s="291"/>
      <c r="P4140" s="291"/>
      <c r="Q4140" s="367"/>
      <c r="R4140" s="367"/>
      <c r="S4140" s="364"/>
      <c r="Z4140" s="609" t="s">
        <v>4064</v>
      </c>
      <c r="AA4140" s="609" t="s">
        <v>5689</v>
      </c>
    </row>
    <row r="4141" spans="1:27" ht="18">
      <c r="A4141" s="2714"/>
      <c r="B4141" s="371">
        <v>103</v>
      </c>
      <c r="C4141" s="371" t="s">
        <v>2791</v>
      </c>
      <c r="D4141" s="2716">
        <f t="shared" si="461"/>
        <v>1</v>
      </c>
      <c r="E4141" s="2721">
        <v>1</v>
      </c>
      <c r="F4141" s="294"/>
      <c r="G4141" s="1626" t="s">
        <v>3081</v>
      </c>
      <c r="H4141" s="309"/>
      <c r="I4141" s="360"/>
      <c r="J4141" s="346"/>
      <c r="K4141" s="291"/>
      <c r="L4141" s="291"/>
      <c r="M4141" s="291"/>
      <c r="N4141" s="291"/>
      <c r="O4141" s="291"/>
      <c r="P4141" s="291"/>
      <c r="Q4141" s="367"/>
      <c r="R4141" s="367"/>
      <c r="S4141" s="364"/>
      <c r="Z4141" s="609" t="s">
        <v>4064</v>
      </c>
      <c r="AA4141" s="609" t="s">
        <v>5689</v>
      </c>
    </row>
    <row r="4142" spans="1:27" ht="18">
      <c r="A4142" s="2714"/>
      <c r="B4142" s="371">
        <v>104</v>
      </c>
      <c r="C4142" s="371" t="s">
        <v>2791</v>
      </c>
      <c r="D4142" s="2716">
        <f t="shared" si="461"/>
        <v>0</v>
      </c>
      <c r="E4142" s="2721">
        <v>1</v>
      </c>
      <c r="F4142" s="294"/>
      <c r="G4142" s="1626" t="s">
        <v>2792</v>
      </c>
      <c r="H4142" s="309"/>
      <c r="I4142" s="360"/>
      <c r="J4142" s="346"/>
      <c r="K4142" s="291"/>
      <c r="L4142" s="291"/>
      <c r="M4142" s="291"/>
      <c r="N4142" s="291"/>
      <c r="O4142" s="291"/>
      <c r="P4142" s="291"/>
      <c r="Q4142" s="367"/>
      <c r="R4142" s="367"/>
      <c r="S4142" s="364"/>
      <c r="Z4142" s="609" t="s">
        <v>4064</v>
      </c>
      <c r="AA4142" s="609" t="s">
        <v>5689</v>
      </c>
    </row>
    <row r="4143" spans="1:27" ht="18">
      <c r="A4143" s="2714"/>
      <c r="B4143" s="371">
        <v>105</v>
      </c>
      <c r="C4143" s="371" t="s">
        <v>2791</v>
      </c>
      <c r="D4143" s="2716">
        <f t="shared" si="461"/>
        <v>0</v>
      </c>
      <c r="E4143" s="2721">
        <v>1</v>
      </c>
      <c r="F4143" s="294"/>
      <c r="G4143" s="1626" t="s">
        <v>2792</v>
      </c>
      <c r="H4143" s="309"/>
      <c r="I4143" s="360"/>
      <c r="J4143" s="346"/>
      <c r="K4143" s="291"/>
      <c r="L4143" s="291"/>
      <c r="M4143" s="291"/>
      <c r="N4143" s="291"/>
      <c r="O4143" s="291"/>
      <c r="P4143" s="291"/>
      <c r="Q4143" s="367"/>
      <c r="R4143" s="367"/>
      <c r="S4143" s="364"/>
      <c r="Z4143" s="609" t="s">
        <v>4064</v>
      </c>
      <c r="AA4143" s="609" t="s">
        <v>5689</v>
      </c>
    </row>
    <row r="4144" spans="1:27" ht="18.75" thickBot="1">
      <c r="A4144" s="2714"/>
      <c r="B4144" s="371"/>
      <c r="C4144" s="371"/>
      <c r="D4144" s="2716">
        <f t="shared" si="461"/>
        <v>1</v>
      </c>
      <c r="E4144" s="2721" t="s">
        <v>3032</v>
      </c>
      <c r="F4144" s="294"/>
      <c r="G4144" s="1529" t="s">
        <v>2752</v>
      </c>
      <c r="H4144" s="1525"/>
      <c r="I4144" s="1526"/>
      <c r="J4144" s="1528">
        <f>SUMPRODUCT($E4138:$E4143,J4138:J4143)</f>
        <v>0</v>
      </c>
      <c r="K4144" s="291"/>
      <c r="L4144" s="291"/>
      <c r="M4144" s="291"/>
      <c r="N4144" s="291"/>
      <c r="O4144" s="291"/>
      <c r="P4144" s="291"/>
      <c r="Q4144" s="367"/>
      <c r="R4144" s="367"/>
      <c r="S4144" s="364"/>
      <c r="Z4144" s="609" t="s">
        <v>4064</v>
      </c>
      <c r="AA4144" s="609" t="s">
        <v>5689</v>
      </c>
    </row>
    <row r="4145" spans="1:27" ht="18">
      <c r="A4145" s="2714"/>
      <c r="B4145" s="371"/>
      <c r="C4145" s="371" t="s">
        <v>2755</v>
      </c>
      <c r="D4145" s="371"/>
      <c r="F4145" s="294"/>
      <c r="G4145" s="301"/>
      <c r="H4145" s="315"/>
      <c r="I4145" s="393"/>
      <c r="J4145" s="315"/>
      <c r="K4145" s="291"/>
      <c r="L4145" s="291"/>
      <c r="M4145" s="291"/>
      <c r="N4145" s="291"/>
      <c r="O4145" s="291"/>
      <c r="P4145" s="291"/>
      <c r="Q4145" s="367"/>
      <c r="R4145" s="367"/>
      <c r="S4145" s="364"/>
      <c r="Z4145" s="609" t="s">
        <v>4064</v>
      </c>
      <c r="AA4145" s="609" t="s">
        <v>5689</v>
      </c>
    </row>
    <row r="4146" spans="1:27" ht="18">
      <c r="A4146" s="2714">
        <v>2711</v>
      </c>
      <c r="B4146" s="371">
        <v>48.2</v>
      </c>
      <c r="C4146" s="2716" t="str">
        <f>VLOOKUP($A4146,Sheet_Items,2,0)</f>
        <v>专项应付款</v>
      </c>
      <c r="D4146" s="371"/>
      <c r="E4146" s="2716" t="s">
        <v>2739</v>
      </c>
      <c r="F4146" s="294"/>
      <c r="G4146" s="535" t="str">
        <f>B4146&amp;" "&amp;C4146</f>
        <v>48.2 专项应付款</v>
      </c>
      <c r="H4146" s="306"/>
      <c r="I4146" s="306"/>
      <c r="J4146" s="306" t="s">
        <v>2740</v>
      </c>
      <c r="K4146" s="341">
        <f>VLOOKUP($A4146,Sheet_Trialbal,6,0)</f>
        <v>0</v>
      </c>
      <c r="L4146" s="342"/>
      <c r="M4146" s="306" t="s">
        <v>2741</v>
      </c>
      <c r="N4146" s="341">
        <f>VLOOKUP($A4146,Sheet_Trialbal,10,0)</f>
        <v>0</v>
      </c>
      <c r="O4146" s="306"/>
      <c r="P4146" s="301"/>
      <c r="S4146" s="364"/>
      <c r="Z4146" s="609" t="s">
        <v>4068</v>
      </c>
      <c r="AA4146" s="609" t="s">
        <v>5690</v>
      </c>
    </row>
    <row r="4147" spans="1:27" ht="18">
      <c r="A4147" s="2714" t="s">
        <v>1697</v>
      </c>
      <c r="B4147" s="371">
        <v>1</v>
      </c>
      <c r="C4147" s="371"/>
      <c r="D4147" s="2716" t="str">
        <f>VLOOKUP($A4147,Sheet_NoteList,2,0)</f>
        <v>专项应付款明细项目</v>
      </c>
      <c r="E4147" s="2716" t="s">
        <v>2742</v>
      </c>
      <c r="F4147" s="294"/>
      <c r="G4147" s="307" t="str">
        <f>"("&amp;B4147&amp;")"&amp;D4147</f>
        <v>(1)专项应付款明细项目</v>
      </c>
      <c r="H4147" s="1517" t="str">
        <f>$A4147</f>
        <v>2711a</v>
      </c>
      <c r="I4147" s="343" t="s">
        <v>2743</v>
      </c>
      <c r="J4147" s="301" t="s">
        <v>2744</v>
      </c>
      <c r="K4147" s="2210">
        <f>K4155</f>
        <v>0</v>
      </c>
      <c r="L4147" s="345" t="str">
        <f>IF($I4147="适用",IF(ROUND(K4146-K4147,2)=0,"F/S",ROUND(K4146-K4147,2)),"#N/A")</f>
        <v>F/S</v>
      </c>
      <c r="M4147" s="301" t="s">
        <v>2745</v>
      </c>
      <c r="N4147" s="2210">
        <f>H4155</f>
        <v>0</v>
      </c>
      <c r="O4147" s="345" t="str">
        <f>IF($I4147="适用",IF(ROUND(N4146-N4147,2)=0,"F/S",ROUND(N4146-N4147,2)),"#N/A")</f>
        <v>F/S</v>
      </c>
      <c r="P4147" s="301"/>
      <c r="Q4147" s="290" t="str">
        <f>IF($I4147="不适用","",IF(ROUND(SUM($H$4150:$L$4155),2)=0,"请输入",""))</f>
        <v>请输入</v>
      </c>
      <c r="S4147" s="364"/>
      <c r="Z4147" s="609" t="s">
        <v>4068</v>
      </c>
      <c r="AA4147" s="609" t="s">
        <v>5690</v>
      </c>
    </row>
    <row r="4148" spans="1:27" ht="0.75" customHeight="1" thickBot="1">
      <c r="A4148" s="2714"/>
      <c r="B4148" s="371"/>
      <c r="C4148" s="371"/>
      <c r="D4148" s="371"/>
      <c r="E4148" s="586"/>
      <c r="F4148" s="518"/>
      <c r="G4148" s="518" t="s">
        <v>4069</v>
      </c>
      <c r="H4148" s="304" t="s">
        <v>2904</v>
      </c>
      <c r="I4148" s="304" t="s">
        <v>3255</v>
      </c>
      <c r="J4148" s="304" t="s">
        <v>3256</v>
      </c>
      <c r="K4148" s="304" t="s">
        <v>3241</v>
      </c>
      <c r="L4148" s="304" t="s">
        <v>4070</v>
      </c>
      <c r="M4148" s="291"/>
      <c r="N4148" s="291"/>
      <c r="O4148" s="291"/>
      <c r="P4148" s="291"/>
      <c r="S4148" s="364"/>
      <c r="Z4148" s="609" t="s">
        <v>4068</v>
      </c>
      <c r="AA4148" s="609" t="s">
        <v>5690</v>
      </c>
    </row>
    <row r="4149" spans="1:27" ht="18">
      <c r="A4149" s="2714"/>
      <c r="B4149" s="371"/>
      <c r="C4149" s="371"/>
      <c r="D4149" s="371"/>
      <c r="E4149" s="586" t="s">
        <v>2749</v>
      </c>
      <c r="F4149" s="363"/>
      <c r="G4149" s="2408" t="s">
        <v>47</v>
      </c>
      <c r="H4149" s="2475" t="str">
        <f>$V$3</f>
        <v>2018年12月31日</v>
      </c>
      <c r="I4149" s="2405" t="s">
        <v>3027</v>
      </c>
      <c r="J4149" s="2405" t="s">
        <v>3028</v>
      </c>
      <c r="K4149" s="2475" t="str">
        <f>$V$2</f>
        <v>2019年12月31日</v>
      </c>
      <c r="L4149" s="2402" t="s">
        <v>4071</v>
      </c>
      <c r="M4149" s="355" t="s">
        <v>5313</v>
      </c>
      <c r="N4149" s="291"/>
      <c r="O4149" s="291"/>
      <c r="P4149" s="291"/>
      <c r="S4149" s="364"/>
      <c r="Z4149" s="609" t="s">
        <v>4068</v>
      </c>
      <c r="AA4149" s="609" t="s">
        <v>5690</v>
      </c>
    </row>
    <row r="4150" spans="1:27" ht="18">
      <c r="A4150" s="2714"/>
      <c r="B4150" s="371">
        <v>101</v>
      </c>
      <c r="C4150" s="371" t="s">
        <v>2791</v>
      </c>
      <c r="D4150" s="2716">
        <f t="shared" ref="D4150:D4155" si="462">IF(OR(G4150="*",G4150="",G4150=0),0,COUNTIF($G$4150:$G$4155,G4150))</f>
        <v>0</v>
      </c>
      <c r="E4150" s="2721">
        <v>1</v>
      </c>
      <c r="F4150" s="294"/>
      <c r="G4150" s="2406" t="s">
        <v>2792</v>
      </c>
      <c r="H4150" s="2275"/>
      <c r="I4150" s="2275"/>
      <c r="J4150" s="2275"/>
      <c r="K4150" s="1476">
        <f>H4150+I4150-J4150</f>
        <v>0</v>
      </c>
      <c r="L4150" s="2276"/>
      <c r="M4150" s="291"/>
      <c r="N4150" s="291"/>
      <c r="O4150" s="291"/>
      <c r="P4150" s="291"/>
      <c r="S4150" s="364"/>
      <c r="Z4150" s="609" t="s">
        <v>4068</v>
      </c>
      <c r="AA4150" s="609" t="s">
        <v>5690</v>
      </c>
    </row>
    <row r="4151" spans="1:27" ht="18">
      <c r="A4151" s="2714"/>
      <c r="B4151" s="371">
        <v>102</v>
      </c>
      <c r="C4151" s="371" t="s">
        <v>2791</v>
      </c>
      <c r="D4151" s="2716">
        <f t="shared" si="462"/>
        <v>0</v>
      </c>
      <c r="E4151" s="2721">
        <v>1</v>
      </c>
      <c r="F4151" s="294"/>
      <c r="G4151" s="2406" t="s">
        <v>2792</v>
      </c>
      <c r="H4151" s="2275"/>
      <c r="I4151" s="2275"/>
      <c r="J4151" s="2275"/>
      <c r="K4151" s="1476">
        <f>H4151+I4151-J4151</f>
        <v>0</v>
      </c>
      <c r="L4151" s="2276"/>
      <c r="M4151" s="291"/>
      <c r="N4151" s="291"/>
      <c r="O4151" s="291"/>
      <c r="P4151" s="291"/>
      <c r="S4151" s="364"/>
      <c r="Z4151" s="609" t="s">
        <v>4068</v>
      </c>
      <c r="AA4151" s="609" t="s">
        <v>5690</v>
      </c>
    </row>
    <row r="4152" spans="1:27" ht="18">
      <c r="A4152" s="2714"/>
      <c r="B4152" s="371">
        <v>103</v>
      </c>
      <c r="C4152" s="371" t="s">
        <v>2791</v>
      </c>
      <c r="D4152" s="2716">
        <f t="shared" si="462"/>
        <v>0</v>
      </c>
      <c r="E4152" s="2721">
        <v>1</v>
      </c>
      <c r="F4152" s="294"/>
      <c r="G4152" s="2406" t="s">
        <v>2792</v>
      </c>
      <c r="H4152" s="2275"/>
      <c r="I4152" s="2275"/>
      <c r="J4152" s="2275"/>
      <c r="K4152" s="1476">
        <f>H4152+I4152-J4152</f>
        <v>0</v>
      </c>
      <c r="L4152" s="2276"/>
      <c r="M4152" s="291"/>
      <c r="N4152" s="291"/>
      <c r="O4152" s="291"/>
      <c r="P4152" s="291"/>
      <c r="S4152" s="364"/>
      <c r="Z4152" s="609" t="s">
        <v>4068</v>
      </c>
      <c r="AA4152" s="609" t="s">
        <v>5690</v>
      </c>
    </row>
    <row r="4153" spans="1:27" ht="18">
      <c r="A4153" s="2714"/>
      <c r="B4153" s="371">
        <v>104</v>
      </c>
      <c r="C4153" s="371" t="s">
        <v>2791</v>
      </c>
      <c r="D4153" s="2716">
        <f t="shared" si="462"/>
        <v>0</v>
      </c>
      <c r="E4153" s="2721">
        <v>1</v>
      </c>
      <c r="F4153" s="294"/>
      <c r="G4153" s="2406" t="s">
        <v>2792</v>
      </c>
      <c r="H4153" s="2275"/>
      <c r="I4153" s="2275"/>
      <c r="J4153" s="2275"/>
      <c r="K4153" s="1476">
        <f>H4153+I4153-J4153</f>
        <v>0</v>
      </c>
      <c r="L4153" s="2276"/>
      <c r="M4153" s="291"/>
      <c r="N4153" s="291"/>
      <c r="O4153" s="291"/>
      <c r="P4153" s="291"/>
      <c r="S4153" s="364"/>
      <c r="Z4153" s="609" t="s">
        <v>4068</v>
      </c>
      <c r="AA4153" s="609" t="s">
        <v>5690</v>
      </c>
    </row>
    <row r="4154" spans="1:27" ht="18">
      <c r="A4154" s="2714"/>
      <c r="B4154" s="371">
        <v>105</v>
      </c>
      <c r="C4154" s="371" t="s">
        <v>2791</v>
      </c>
      <c r="D4154" s="2716">
        <f t="shared" si="462"/>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75" thickBot="1">
      <c r="A4155" s="2714"/>
      <c r="B4155" s="371"/>
      <c r="C4155" s="371"/>
      <c r="D4155" s="2716">
        <f t="shared" si="462"/>
        <v>1</v>
      </c>
      <c r="E4155" s="2721" t="s">
        <v>2751</v>
      </c>
      <c r="F4155" s="294"/>
      <c r="G4155" s="374" t="s">
        <v>2752</v>
      </c>
      <c r="H4155" s="1478">
        <f>SUMPRODUCT($E4149:$E4154,H4149:H4154)</f>
        <v>0</v>
      </c>
      <c r="I4155" s="1478">
        <f>SUMPRODUCT($E4149:$E4154,I4149:I4154)</f>
        <v>0</v>
      </c>
      <c r="J4155" s="1478">
        <f>SUMPRODUCT($E4149:$E4154,J4149:J4154)</f>
        <v>0</v>
      </c>
      <c r="K4155" s="1478">
        <f>SUMPRODUCT($E4149:$E4154,K4149:K4154)</f>
        <v>0</v>
      </c>
      <c r="L4155" s="2260"/>
      <c r="M4155" s="291"/>
      <c r="N4155" s="291"/>
      <c r="O4155" s="291"/>
      <c r="P4155" s="291"/>
      <c r="S4155" s="364"/>
      <c r="Z4155" s="609" t="s">
        <v>4068</v>
      </c>
      <c r="AA4155" s="609" t="s">
        <v>5690</v>
      </c>
    </row>
    <row r="4156" spans="1:27" ht="18">
      <c r="A4156" s="2714"/>
      <c r="B4156" s="371"/>
      <c r="C4156" s="371" t="s">
        <v>2755</v>
      </c>
      <c r="D4156" s="371"/>
      <c r="F4156" s="294"/>
      <c r="G4156" s="301"/>
      <c r="H4156" s="315"/>
      <c r="I4156" s="315"/>
      <c r="J4156" s="315"/>
      <c r="K4156" s="315"/>
      <c r="L4156" s="393"/>
      <c r="M4156" s="291"/>
      <c r="N4156" s="291"/>
      <c r="O4156" s="291"/>
      <c r="P4156" s="291"/>
      <c r="S4156" s="364"/>
      <c r="Z4156" s="609" t="s">
        <v>4068</v>
      </c>
      <c r="AA4156" s="609" t="s">
        <v>5690</v>
      </c>
    </row>
    <row r="4157" spans="1:27" ht="18">
      <c r="A4157" s="2714" t="s">
        <v>1702</v>
      </c>
      <c r="B4157" s="371">
        <v>2</v>
      </c>
      <c r="C4157" s="371"/>
      <c r="D4157" s="2716" t="str">
        <f>VLOOKUP($A4157,Sheet_NoteList,2,0)</f>
        <v>外币专项应付款</v>
      </c>
      <c r="E4157" s="2716" t="s">
        <v>6532</v>
      </c>
      <c r="F4157" s="294"/>
      <c r="G4157" s="307" t="str">
        <f>"("&amp;B4157&amp;")"&amp;D4157</f>
        <v>(2)外币专项应付款</v>
      </c>
      <c r="H4157" s="1517" t="str">
        <f>$A4157</f>
        <v>2711b</v>
      </c>
      <c r="I4157" s="343" t="s">
        <v>5584</v>
      </c>
      <c r="J4157" s="301" t="s">
        <v>5583</v>
      </c>
      <c r="K4157" s="2210">
        <f>J4165</f>
        <v>0</v>
      </c>
      <c r="L4157" s="345"/>
      <c r="M4157" s="301"/>
      <c r="N4157" s="391"/>
      <c r="O4157" s="345" t="str">
        <f>IF($I4157="适用",IF(ROUND(N$3442-N4157,2)&gt;=0,"","#Logical!"),"#N/A")</f>
        <v/>
      </c>
      <c r="P4157" s="301"/>
      <c r="Q4157" s="290" t="str">
        <f>IF($I4157="不适用","",IF(ROUND(SUM($H$4160:$J$4165),2)=0,"请输入",""))</f>
        <v>请输入</v>
      </c>
      <c r="S4157" s="364"/>
      <c r="Z4157" s="609" t="s">
        <v>4068</v>
      </c>
      <c r="AA4157" s="609" t="s">
        <v>5690</v>
      </c>
    </row>
    <row r="4158" spans="1:27" ht="0.75" customHeight="1" thickBot="1">
      <c r="A4158" s="2714"/>
      <c r="B4158" s="371"/>
      <c r="C4158" s="371"/>
      <c r="D4158" s="371"/>
      <c r="F4158" s="304"/>
      <c r="G4158" s="304" t="s">
        <v>4072</v>
      </c>
      <c r="H4158" s="304" t="s">
        <v>3073</v>
      </c>
      <c r="I4158" s="304" t="s">
        <v>3074</v>
      </c>
      <c r="J4158" s="304" t="s">
        <v>3075</v>
      </c>
      <c r="K4158" s="387"/>
      <c r="L4158" s="291"/>
      <c r="M4158" s="291"/>
      <c r="N4158" s="291"/>
      <c r="O4158" s="291"/>
      <c r="P4158" s="291"/>
      <c r="Q4158" s="367"/>
      <c r="R4158" s="367"/>
      <c r="S4158" s="364"/>
      <c r="Z4158" s="609" t="s">
        <v>4068</v>
      </c>
      <c r="AA4158" s="609" t="s">
        <v>5690</v>
      </c>
    </row>
    <row r="4159" spans="1:27" ht="24">
      <c r="A4159" s="2714"/>
      <c r="B4159" s="371"/>
      <c r="C4159" s="371"/>
      <c r="D4159" s="371"/>
      <c r="E4159" s="2716" t="s">
        <v>2749</v>
      </c>
      <c r="F4159" s="294"/>
      <c r="G4159" s="1629" t="s">
        <v>1371</v>
      </c>
      <c r="H4159" s="1627" t="s">
        <v>3076</v>
      </c>
      <c r="I4159" s="1627" t="s">
        <v>3077</v>
      </c>
      <c r="J4159" s="1628" t="s">
        <v>3078</v>
      </c>
      <c r="K4159" s="355" t="s">
        <v>5604</v>
      </c>
      <c r="L4159" s="291"/>
      <c r="M4159" s="291"/>
      <c r="N4159" s="291"/>
      <c r="O4159" s="291"/>
      <c r="P4159" s="291"/>
      <c r="Q4159" s="367"/>
      <c r="R4159" s="367"/>
      <c r="S4159" s="364"/>
      <c r="Z4159" s="609" t="s">
        <v>4068</v>
      </c>
      <c r="AA4159" s="609" t="s">
        <v>5690</v>
      </c>
    </row>
    <row r="4160" spans="1:27" ht="18">
      <c r="A4160" s="2714"/>
      <c r="B4160" s="371">
        <v>101</v>
      </c>
      <c r="C4160" s="371" t="s">
        <v>2791</v>
      </c>
      <c r="D4160" s="2716">
        <f t="shared" ref="D4160:D4165" si="463">IF(OR(G4160="*",G4160="",G4160=0),0,COUNTIF($G$4160:$G$4165,G4160))</f>
        <v>1</v>
      </c>
      <c r="E4160" s="2721">
        <v>1</v>
      </c>
      <c r="F4160" s="294"/>
      <c r="G4160" s="1626" t="s">
        <v>3079</v>
      </c>
      <c r="H4160" s="309"/>
      <c r="I4160" s="360"/>
      <c r="J4160" s="346"/>
      <c r="K4160" s="355" t="s">
        <v>5364</v>
      </c>
      <c r="L4160" s="1522" t="s">
        <v>5365</v>
      </c>
      <c r="M4160" s="291"/>
      <c r="N4160" s="291"/>
      <c r="O4160" s="291"/>
      <c r="P4160" s="291"/>
      <c r="Q4160" s="367"/>
      <c r="R4160" s="367"/>
      <c r="S4160" s="364"/>
      <c r="Z4160" s="609" t="s">
        <v>4068</v>
      </c>
      <c r="AA4160" s="609" t="s">
        <v>5690</v>
      </c>
    </row>
    <row r="4161" spans="1:27" ht="18">
      <c r="A4161" s="2714"/>
      <c r="B4161" s="371">
        <v>102</v>
      </c>
      <c r="C4161" s="371" t="s">
        <v>2791</v>
      </c>
      <c r="D4161" s="2716">
        <f t="shared" si="463"/>
        <v>1</v>
      </c>
      <c r="E4161" s="2721">
        <v>1</v>
      </c>
      <c r="F4161" s="294"/>
      <c r="G4161" s="1626" t="s">
        <v>3080</v>
      </c>
      <c r="H4161" s="309"/>
      <c r="I4161" s="360"/>
      <c r="J4161" s="346"/>
      <c r="K4161" s="291"/>
      <c r="L4161" s="291"/>
      <c r="M4161" s="291"/>
      <c r="N4161" s="291"/>
      <c r="O4161" s="291"/>
      <c r="P4161" s="291"/>
      <c r="Q4161" s="367"/>
      <c r="R4161" s="367"/>
      <c r="S4161" s="364"/>
      <c r="Z4161" s="609" t="s">
        <v>4068</v>
      </c>
      <c r="AA4161" s="609" t="s">
        <v>5690</v>
      </c>
    </row>
    <row r="4162" spans="1:27" ht="18">
      <c r="A4162" s="2714"/>
      <c r="B4162" s="371">
        <v>103</v>
      </c>
      <c r="C4162" s="371" t="s">
        <v>2791</v>
      </c>
      <c r="D4162" s="2716">
        <f t="shared" si="463"/>
        <v>1</v>
      </c>
      <c r="E4162" s="2721">
        <v>1</v>
      </c>
      <c r="F4162" s="294"/>
      <c r="G4162" s="1626" t="s">
        <v>3081</v>
      </c>
      <c r="H4162" s="309"/>
      <c r="I4162" s="360"/>
      <c r="J4162" s="346"/>
      <c r="K4162" s="291"/>
      <c r="L4162" s="291"/>
      <c r="M4162" s="291"/>
      <c r="N4162" s="291"/>
      <c r="O4162" s="291"/>
      <c r="P4162" s="291"/>
      <c r="Q4162" s="367"/>
      <c r="R4162" s="367"/>
      <c r="S4162" s="364"/>
      <c r="Z4162" s="609" t="s">
        <v>4068</v>
      </c>
      <c r="AA4162" s="609" t="s">
        <v>5690</v>
      </c>
    </row>
    <row r="4163" spans="1:27" ht="18">
      <c r="A4163" s="2714"/>
      <c r="B4163" s="371">
        <v>104</v>
      </c>
      <c r="C4163" s="371" t="s">
        <v>2791</v>
      </c>
      <c r="D4163" s="2716">
        <f t="shared" si="463"/>
        <v>0</v>
      </c>
      <c r="E4163" s="2721">
        <v>1</v>
      </c>
      <c r="F4163" s="294"/>
      <c r="G4163" s="1626" t="s">
        <v>2792</v>
      </c>
      <c r="H4163" s="309"/>
      <c r="I4163" s="360"/>
      <c r="J4163" s="346"/>
      <c r="K4163" s="291"/>
      <c r="L4163" s="291"/>
      <c r="M4163" s="291"/>
      <c r="N4163" s="291"/>
      <c r="O4163" s="291"/>
      <c r="P4163" s="291"/>
      <c r="Q4163" s="367"/>
      <c r="R4163" s="367"/>
      <c r="S4163" s="364"/>
      <c r="Z4163" s="609" t="s">
        <v>4068</v>
      </c>
      <c r="AA4163" s="609" t="s">
        <v>5690</v>
      </c>
    </row>
    <row r="4164" spans="1:27" ht="18">
      <c r="A4164" s="2714"/>
      <c r="B4164" s="371">
        <v>105</v>
      </c>
      <c r="C4164" s="371" t="s">
        <v>2791</v>
      </c>
      <c r="D4164" s="2716">
        <f t="shared" si="463"/>
        <v>0</v>
      </c>
      <c r="E4164" s="2721">
        <v>1</v>
      </c>
      <c r="F4164" s="294"/>
      <c r="G4164" s="1626" t="s">
        <v>2792</v>
      </c>
      <c r="H4164" s="309"/>
      <c r="I4164" s="360"/>
      <c r="J4164" s="346"/>
      <c r="K4164" s="291"/>
      <c r="L4164" s="291"/>
      <c r="M4164" s="291"/>
      <c r="N4164" s="291"/>
      <c r="O4164" s="291"/>
      <c r="P4164" s="291"/>
      <c r="Q4164" s="367"/>
      <c r="R4164" s="367"/>
      <c r="S4164" s="364"/>
      <c r="Z4164" s="609" t="s">
        <v>4068</v>
      </c>
      <c r="AA4164" s="609" t="s">
        <v>5690</v>
      </c>
    </row>
    <row r="4165" spans="1:27" ht="18.75" thickBot="1">
      <c r="A4165" s="2714"/>
      <c r="B4165" s="371"/>
      <c r="C4165" s="371"/>
      <c r="D4165" s="2716">
        <f t="shared" si="463"/>
        <v>1</v>
      </c>
      <c r="E4165" s="2721" t="s">
        <v>3032</v>
      </c>
      <c r="F4165" s="294"/>
      <c r="G4165" s="1529" t="s">
        <v>2752</v>
      </c>
      <c r="H4165" s="1525"/>
      <c r="I4165" s="1526"/>
      <c r="J4165" s="1528">
        <f>SUMPRODUCT($E4159:$E4164,J4159:J4164)</f>
        <v>0</v>
      </c>
      <c r="K4165" s="291"/>
      <c r="L4165" s="291"/>
      <c r="M4165" s="291"/>
      <c r="N4165" s="291"/>
      <c r="O4165" s="291"/>
      <c r="P4165" s="291"/>
      <c r="Q4165" s="367"/>
      <c r="R4165" s="367"/>
      <c r="S4165" s="364"/>
      <c r="Z4165" s="609" t="s">
        <v>4068</v>
      </c>
      <c r="AA4165" s="609" t="s">
        <v>5690</v>
      </c>
    </row>
    <row r="4166" spans="1:27" ht="18">
      <c r="A4166" s="2714"/>
      <c r="B4166" s="371"/>
      <c r="C4166" s="371" t="s">
        <v>2755</v>
      </c>
      <c r="D4166" s="371"/>
      <c r="F4166" s="294"/>
      <c r="G4166" s="301"/>
      <c r="H4166" s="315"/>
      <c r="I4166" s="393"/>
      <c r="J4166" s="315"/>
      <c r="K4166" s="291"/>
      <c r="L4166" s="291"/>
      <c r="M4166" s="291"/>
      <c r="N4166" s="291"/>
      <c r="O4166" s="291"/>
      <c r="P4166" s="291"/>
      <c r="Q4166" s="367"/>
      <c r="R4166" s="367"/>
      <c r="S4166" s="364"/>
      <c r="Z4166" s="609" t="s">
        <v>4068</v>
      </c>
      <c r="AA4166" s="609" t="s">
        <v>5690</v>
      </c>
    </row>
    <row r="4167" spans="1:27" ht="18">
      <c r="A4167" s="2714">
        <v>2715</v>
      </c>
      <c r="B4167" s="371">
        <v>49</v>
      </c>
      <c r="C4167" s="2716" t="str">
        <f>VLOOKUP($A4167,Sheet_Items,2,0)</f>
        <v>长期应付职工薪酬</v>
      </c>
      <c r="D4167" s="371"/>
      <c r="E4167" s="2716" t="s">
        <v>2739</v>
      </c>
      <c r="F4167" s="294"/>
      <c r="G4167" s="535" t="str">
        <f>B4167&amp;" "&amp;C4167</f>
        <v>49 长期应付职工薪酬</v>
      </c>
      <c r="H4167" s="306"/>
      <c r="I4167" s="306"/>
      <c r="J4167" s="306" t="s">
        <v>2740</v>
      </c>
      <c r="K4167" s="341">
        <f>VLOOKUP($A4167,Sheet_Trialbal,6,0)</f>
        <v>0</v>
      </c>
      <c r="L4167" s="342"/>
      <c r="M4167" s="306" t="s">
        <v>2741</v>
      </c>
      <c r="N4167" s="341">
        <f>VLOOKUP($A4167,Sheet_Trialbal,10,0)</f>
        <v>0</v>
      </c>
      <c r="O4167" s="306"/>
      <c r="P4167" s="301"/>
      <c r="S4167" s="364"/>
      <c r="Z4167" s="609" t="s">
        <v>4073</v>
      </c>
      <c r="AA4167" s="609" t="s">
        <v>5691</v>
      </c>
    </row>
    <row r="4168" spans="1:27" ht="18">
      <c r="A4168" s="2714" t="s">
        <v>1707</v>
      </c>
      <c r="B4168" s="371">
        <v>1</v>
      </c>
      <c r="C4168" s="371"/>
      <c r="D4168" s="2716" t="str">
        <f>VLOOKUP($A4168,Sheet_NoteList,2,0)</f>
        <v>长期应付职工薪酬明细</v>
      </c>
      <c r="E4168" s="2716" t="s">
        <v>2742</v>
      </c>
      <c r="F4168" s="294"/>
      <c r="G4168" s="307" t="str">
        <f>"("&amp;B4168&amp;")"&amp;D4168</f>
        <v>(1)长期应付职工薪酬明细</v>
      </c>
      <c r="H4168" s="1517" t="str">
        <f>$A4168</f>
        <v>2715a</v>
      </c>
      <c r="I4168" s="343" t="s">
        <v>2743</v>
      </c>
      <c r="J4168" s="301" t="s">
        <v>2744</v>
      </c>
      <c r="K4168" s="2210">
        <f>H4176</f>
        <v>0</v>
      </c>
      <c r="L4168" s="345" t="str">
        <f>IF($I4168="适用",IF(ROUND(K4167-K4168,2)=0,"F/S",ROUND(K4167-K4168,2)),"#N/A")</f>
        <v>F/S</v>
      </c>
      <c r="M4168" s="301" t="s">
        <v>2745</v>
      </c>
      <c r="N4168" s="2210">
        <f>I4176</f>
        <v>0</v>
      </c>
      <c r="O4168" s="345" t="str">
        <f>IF($I4168="适用",IF(ROUND(N4167-N4168,2)=0,"F/S",ROUND(N4167-N4168,2)),"#N/A")</f>
        <v>F/S</v>
      </c>
      <c r="P4168" s="301"/>
      <c r="Q4168" s="290" t="str">
        <f>IF($I4168="不适用","",IF(ROUND(SUM($H$4171:$I$4176),2)=0,"请输入",""))</f>
        <v>请输入</v>
      </c>
      <c r="S4168" s="364"/>
      <c r="Z4168" s="609" t="s">
        <v>4073</v>
      </c>
      <c r="AA4168" s="609" t="s">
        <v>5691</v>
      </c>
    </row>
    <row r="4169" spans="1:27" ht="0.75" customHeight="1" thickBot="1">
      <c r="A4169" s="2714"/>
      <c r="B4169" s="371"/>
      <c r="C4169" s="371"/>
      <c r="D4169" s="371"/>
      <c r="E4169" s="586"/>
      <c r="F4169" s="518"/>
      <c r="G4169" s="518" t="s">
        <v>4074</v>
      </c>
      <c r="H4169" s="304" t="s">
        <v>2747</v>
      </c>
      <c r="I4169" s="304" t="s">
        <v>2748</v>
      </c>
      <c r="N4169" s="291"/>
      <c r="O4169" s="291"/>
      <c r="P4169" s="291"/>
      <c r="Q4169" s="367"/>
      <c r="R4169" s="367"/>
      <c r="S4169" s="364"/>
      <c r="Z4169" s="609" t="s">
        <v>4073</v>
      </c>
      <c r="AA4169" s="609" t="s">
        <v>5691</v>
      </c>
    </row>
    <row r="4170" spans="1:27" ht="18">
      <c r="A4170" s="2714"/>
      <c r="B4170" s="371"/>
      <c r="C4170" s="371"/>
      <c r="D4170" s="371"/>
      <c r="E4170" s="586" t="s">
        <v>2749</v>
      </c>
      <c r="F4170" s="363"/>
      <c r="G4170" s="2411" t="s">
        <v>47</v>
      </c>
      <c r="H4170" s="2225" t="str">
        <f>$V$2</f>
        <v>2019年12月31日</v>
      </c>
      <c r="I4170" s="2226" t="str">
        <f>$V$3</f>
        <v>2018年12月31日</v>
      </c>
      <c r="J4170" s="355" t="s">
        <v>5314</v>
      </c>
      <c r="N4170" s="291"/>
      <c r="O4170" s="291"/>
      <c r="P4170" s="291"/>
      <c r="Q4170" s="367"/>
      <c r="R4170" s="367"/>
      <c r="S4170" s="364"/>
      <c r="Z4170" s="609" t="s">
        <v>4073</v>
      </c>
      <c r="AA4170" s="609" t="s">
        <v>5691</v>
      </c>
    </row>
    <row r="4171" spans="1:27" ht="24">
      <c r="A4171" s="2714"/>
      <c r="B4171" s="371">
        <v>101</v>
      </c>
      <c r="C4171" s="371"/>
      <c r="D4171" s="2716">
        <f t="shared" ref="D4171:D4176" si="464">IF(OR(G4171="*",G4171="",G4171=0),0,COUNTIF($G$4171:$G$4176,G4171))</f>
        <v>1</v>
      </c>
      <c r="E4171" s="2721">
        <v>1</v>
      </c>
      <c r="F4171" s="294"/>
      <c r="G4171" s="1474" t="s">
        <v>4075</v>
      </c>
      <c r="H4171" s="2275"/>
      <c r="I4171" s="2296"/>
      <c r="N4171" s="291"/>
      <c r="O4171" s="291"/>
      <c r="P4171" s="291"/>
      <c r="Q4171" s="367"/>
      <c r="R4171" s="367"/>
      <c r="S4171" s="364"/>
      <c r="Z4171" s="609" t="s">
        <v>4073</v>
      </c>
      <c r="AA4171" s="609" t="s">
        <v>5691</v>
      </c>
    </row>
    <row r="4172" spans="1:27" ht="18">
      <c r="A4172" s="2714"/>
      <c r="B4172" s="371">
        <v>102</v>
      </c>
      <c r="C4172" s="371"/>
      <c r="D4172" s="2716">
        <f t="shared" si="464"/>
        <v>1</v>
      </c>
      <c r="E4172" s="2721">
        <v>1</v>
      </c>
      <c r="F4172" s="294"/>
      <c r="G4172" s="1474" t="s">
        <v>4076</v>
      </c>
      <c r="H4172" s="2275"/>
      <c r="I4172" s="2296"/>
      <c r="N4172" s="291"/>
      <c r="O4172" s="291"/>
      <c r="P4172" s="291"/>
      <c r="Q4172" s="367"/>
      <c r="R4172" s="367"/>
      <c r="S4172" s="364"/>
      <c r="Z4172" s="609" t="s">
        <v>4073</v>
      </c>
      <c r="AA4172" s="609" t="s">
        <v>5691</v>
      </c>
    </row>
    <row r="4173" spans="1:27" ht="18">
      <c r="A4173" s="2714"/>
      <c r="B4173" s="371">
        <v>103</v>
      </c>
      <c r="C4173" s="371"/>
      <c r="D4173" s="2716">
        <f t="shared" si="464"/>
        <v>1</v>
      </c>
      <c r="E4173" s="2721">
        <v>1</v>
      </c>
      <c r="F4173" s="294"/>
      <c r="G4173" s="1474" t="s">
        <v>4077</v>
      </c>
      <c r="H4173" s="2275"/>
      <c r="I4173" s="2296"/>
      <c r="N4173" s="291"/>
      <c r="O4173" s="291"/>
      <c r="P4173" s="291"/>
      <c r="Q4173" s="367"/>
      <c r="R4173" s="367"/>
      <c r="S4173" s="364"/>
      <c r="Z4173" s="609" t="s">
        <v>4073</v>
      </c>
      <c r="AA4173" s="609" t="s">
        <v>5691</v>
      </c>
    </row>
    <row r="4174" spans="1:27" ht="18">
      <c r="A4174" s="2714"/>
      <c r="B4174" s="371">
        <v>104</v>
      </c>
      <c r="C4174" s="371" t="s">
        <v>2791</v>
      </c>
      <c r="D4174" s="2716">
        <f t="shared" si="464"/>
        <v>0</v>
      </c>
      <c r="E4174" s="2721">
        <v>1</v>
      </c>
      <c r="F4174" s="294"/>
      <c r="G4174" s="2418" t="s">
        <v>2792</v>
      </c>
      <c r="H4174" s="2275"/>
      <c r="I4174" s="2296"/>
      <c r="N4174" s="291"/>
      <c r="O4174" s="291"/>
      <c r="P4174" s="291"/>
      <c r="Q4174" s="367"/>
      <c r="R4174" s="367"/>
      <c r="S4174" s="364"/>
      <c r="Z4174" s="609" t="s">
        <v>4073</v>
      </c>
      <c r="AA4174" s="609" t="s">
        <v>5691</v>
      </c>
    </row>
    <row r="4175" spans="1:27" ht="18">
      <c r="A4175" s="2714"/>
      <c r="B4175" s="371">
        <v>105</v>
      </c>
      <c r="C4175" s="371" t="s">
        <v>2791</v>
      </c>
      <c r="D4175" s="2716">
        <f t="shared" si="464"/>
        <v>0</v>
      </c>
      <c r="E4175" s="2721">
        <v>1</v>
      </c>
      <c r="F4175" s="294"/>
      <c r="G4175" s="2418" t="s">
        <v>2792</v>
      </c>
      <c r="H4175" s="2275"/>
      <c r="I4175" s="2296"/>
      <c r="N4175" s="291"/>
      <c r="O4175" s="291"/>
      <c r="P4175" s="291"/>
      <c r="Q4175" s="367"/>
      <c r="R4175" s="367"/>
      <c r="S4175" s="364"/>
      <c r="Z4175" s="609" t="s">
        <v>4073</v>
      </c>
      <c r="AA4175" s="609" t="s">
        <v>5691</v>
      </c>
    </row>
    <row r="4176" spans="1:27" ht="18.75" thickBot="1">
      <c r="A4176" s="2714"/>
      <c r="B4176" s="371"/>
      <c r="C4176" s="371"/>
      <c r="D4176" s="2716">
        <f t="shared" si="464"/>
        <v>1</v>
      </c>
      <c r="E4176" s="2721" t="s">
        <v>2751</v>
      </c>
      <c r="F4176" s="294"/>
      <c r="G4176" s="374" t="s">
        <v>2752</v>
      </c>
      <c r="H4176" s="1478">
        <f>SUMPRODUCT($E4170:$E4175,H4170:H4175)</f>
        <v>0</v>
      </c>
      <c r="I4176" s="1479">
        <f>SUMPRODUCT($E4170:$E4175,I4170:I4175)</f>
        <v>0</v>
      </c>
      <c r="N4176" s="291"/>
      <c r="O4176" s="291"/>
      <c r="P4176" s="291"/>
      <c r="Q4176" s="367"/>
      <c r="R4176" s="367"/>
      <c r="S4176" s="364"/>
      <c r="Z4176" s="609" t="s">
        <v>4073</v>
      </c>
      <c r="AA4176" s="609" t="s">
        <v>5691</v>
      </c>
    </row>
    <row r="4177" spans="1:27" ht="18">
      <c r="A4177" s="2714"/>
      <c r="B4177" s="371"/>
      <c r="C4177" s="371" t="s">
        <v>2755</v>
      </c>
      <c r="D4177" s="371"/>
      <c r="F4177" s="294"/>
      <c r="G4177" s="301"/>
      <c r="H4177" s="315"/>
      <c r="I4177" s="315"/>
      <c r="J4177" s="349"/>
      <c r="K4177" s="349"/>
      <c r="L4177" s="315"/>
      <c r="M4177" s="393"/>
      <c r="N4177" s="291"/>
      <c r="O4177" s="291"/>
      <c r="P4177" s="291"/>
      <c r="Q4177" s="367"/>
      <c r="R4177" s="367"/>
      <c r="S4177" s="364"/>
      <c r="Z4177" s="609" t="s">
        <v>4073</v>
      </c>
      <c r="AA4177" s="609" t="s">
        <v>5691</v>
      </c>
    </row>
    <row r="4178" spans="1:27" ht="36">
      <c r="A4178" s="2714" t="s">
        <v>1712</v>
      </c>
      <c r="B4178" s="371">
        <v>2.1</v>
      </c>
      <c r="C4178" s="371"/>
      <c r="D4178" s="2716" t="str">
        <f>VLOOKUP($A4178,Sheet_NoteList,2,0)</f>
        <v>设定受益计划变动情况（设定受益计划义务现值）</v>
      </c>
      <c r="E4178" s="2716" t="s">
        <v>2742</v>
      </c>
      <c r="F4178" s="294"/>
      <c r="G4178" s="372" t="str">
        <f>"("&amp;B4178&amp;")"&amp;D4178</f>
        <v>(2.1)设定受益计划变动情况（设定受益计划义务现值）</v>
      </c>
      <c r="H4178" s="1517" t="str">
        <f>$A4178</f>
        <v>2715b</v>
      </c>
      <c r="I4178" s="343" t="s">
        <v>2743</v>
      </c>
      <c r="J4178" s="301"/>
      <c r="K4178" s="391"/>
      <c r="L4178" s="345"/>
      <c r="M4178" s="301"/>
      <c r="N4178" s="391"/>
      <c r="O4178" s="345"/>
      <c r="P4178" s="301"/>
      <c r="S4178" s="364"/>
      <c r="Z4178" s="609" t="s">
        <v>4073</v>
      </c>
      <c r="AA4178" s="609" t="s">
        <v>5691</v>
      </c>
    </row>
    <row r="4179" spans="1:27" ht="0.75" customHeight="1" thickBot="1">
      <c r="A4179" s="2714"/>
      <c r="B4179" s="371"/>
      <c r="C4179" s="371"/>
      <c r="D4179" s="371"/>
      <c r="E4179" s="586"/>
      <c r="F4179" s="518"/>
      <c r="G4179" s="518" t="s">
        <v>4078</v>
      </c>
      <c r="H4179" s="304" t="s">
        <v>3472</v>
      </c>
      <c r="I4179" s="304" t="s">
        <v>3473</v>
      </c>
      <c r="J4179" s="291"/>
      <c r="K4179" s="291"/>
      <c r="L4179" s="291"/>
      <c r="M4179" s="291"/>
      <c r="S4179" s="364"/>
      <c r="Z4179" s="609" t="s">
        <v>4073</v>
      </c>
      <c r="AA4179" s="609" t="s">
        <v>5691</v>
      </c>
    </row>
    <row r="4180" spans="1:27" ht="18">
      <c r="A4180" s="2714"/>
      <c r="B4180" s="371"/>
      <c r="C4180" s="371"/>
      <c r="D4180" s="371"/>
      <c r="E4180" s="586" t="s">
        <v>2749</v>
      </c>
      <c r="F4180" s="363"/>
      <c r="G4180" s="2410" t="s">
        <v>47</v>
      </c>
      <c r="H4180" s="2232" t="str">
        <f>$V$4</f>
        <v>2019年度</v>
      </c>
      <c r="I4180" s="2233" t="str">
        <f>$V$5</f>
        <v>2018年度</v>
      </c>
      <c r="J4180" s="355" t="s">
        <v>5314</v>
      </c>
      <c r="K4180" s="291"/>
      <c r="L4180" s="291"/>
      <c r="M4180" s="291"/>
      <c r="S4180" s="364"/>
      <c r="Z4180" s="609" t="s">
        <v>4073</v>
      </c>
      <c r="AA4180" s="609" t="s">
        <v>5691</v>
      </c>
    </row>
    <row r="4181" spans="1:27" ht="18">
      <c r="A4181" s="2714"/>
      <c r="B4181" s="371">
        <v>101</v>
      </c>
      <c r="C4181" s="371"/>
      <c r="D4181" s="2716">
        <f t="shared" ref="D4181:D4196" si="465">IF(OR(G4181="*",G4181="",G4181=0),0,COUNTIF($G$4181:$G$4196,G4181))</f>
        <v>1</v>
      </c>
      <c r="E4181" s="2721">
        <v>1</v>
      </c>
      <c r="F4181" s="294"/>
      <c r="G4181" s="1474" t="s">
        <v>3474</v>
      </c>
      <c r="H4181" s="2275"/>
      <c r="I4181" s="2296"/>
      <c r="J4181" s="291"/>
      <c r="K4181" s="291"/>
      <c r="L4181" s="291"/>
      <c r="M4181" s="291"/>
      <c r="S4181" s="364"/>
      <c r="Z4181" s="609" t="s">
        <v>4073</v>
      </c>
      <c r="AA4181" s="609" t="s">
        <v>5691</v>
      </c>
    </row>
    <row r="4182" spans="1:27" ht="24">
      <c r="A4182" s="2714"/>
      <c r="B4182" s="371">
        <v>102</v>
      </c>
      <c r="C4182" s="371"/>
      <c r="D4182" s="2716">
        <f t="shared" si="465"/>
        <v>1</v>
      </c>
      <c r="E4182" s="2721">
        <v>1</v>
      </c>
      <c r="F4182" s="294"/>
      <c r="G4182" s="1474" t="s">
        <v>3475</v>
      </c>
      <c r="H4182" s="2275"/>
      <c r="I4182" s="2296"/>
      <c r="J4182" s="355"/>
      <c r="K4182" s="291"/>
      <c r="L4182" s="291"/>
      <c r="M4182" s="291"/>
      <c r="S4182" s="364"/>
      <c r="Z4182" s="609" t="s">
        <v>4073</v>
      </c>
      <c r="AA4182" s="609" t="s">
        <v>5691</v>
      </c>
    </row>
    <row r="4183" spans="1:27" ht="18">
      <c r="A4183" s="2714"/>
      <c r="B4183" s="371">
        <v>103</v>
      </c>
      <c r="C4183" s="371"/>
      <c r="D4183" s="2716">
        <f t="shared" si="465"/>
        <v>1</v>
      </c>
      <c r="E4183" s="2721">
        <v>1</v>
      </c>
      <c r="F4183" s="294"/>
      <c r="G4183" s="1474" t="s">
        <v>4079</v>
      </c>
      <c r="H4183" s="2275"/>
      <c r="I4183" s="2296"/>
      <c r="J4183" s="291"/>
      <c r="K4183" s="291"/>
      <c r="L4183" s="291"/>
      <c r="M4183" s="291"/>
      <c r="S4183" s="364"/>
      <c r="Z4183" s="609" t="s">
        <v>4073</v>
      </c>
      <c r="AA4183" s="609" t="s">
        <v>5691</v>
      </c>
    </row>
    <row r="4184" spans="1:27" ht="18">
      <c r="A4184" s="2714"/>
      <c r="B4184" s="371">
        <v>104</v>
      </c>
      <c r="C4184" s="371"/>
      <c r="D4184" s="2716">
        <f t="shared" si="465"/>
        <v>1</v>
      </c>
      <c r="E4184" s="2721">
        <v>1</v>
      </c>
      <c r="F4184" s="294"/>
      <c r="G4184" s="1474" t="s">
        <v>4080</v>
      </c>
      <c r="H4184" s="2275"/>
      <c r="I4184" s="2296"/>
      <c r="J4184" s="291"/>
      <c r="K4184" s="291"/>
      <c r="L4184" s="291"/>
      <c r="M4184" s="291"/>
      <c r="S4184" s="364"/>
      <c r="Z4184" s="609" t="s">
        <v>4073</v>
      </c>
      <c r="AA4184" s="609" t="s">
        <v>5691</v>
      </c>
    </row>
    <row r="4185" spans="1:27" ht="24">
      <c r="A4185" s="2714"/>
      <c r="B4185" s="371">
        <v>105</v>
      </c>
      <c r="C4185" s="371"/>
      <c r="D4185" s="2716">
        <f t="shared" si="465"/>
        <v>1</v>
      </c>
      <c r="E4185" s="2721">
        <v>1</v>
      </c>
      <c r="F4185" s="294"/>
      <c r="G4185" s="1474" t="s">
        <v>4081</v>
      </c>
      <c r="H4185" s="2275"/>
      <c r="I4185" s="2296"/>
      <c r="J4185" s="291"/>
      <c r="K4185" s="291"/>
      <c r="L4185" s="291"/>
      <c r="M4185" s="291"/>
      <c r="S4185" s="364"/>
      <c r="Z4185" s="609" t="s">
        <v>4073</v>
      </c>
      <c r="AA4185" s="609" t="s">
        <v>5691</v>
      </c>
    </row>
    <row r="4186" spans="1:27" ht="18">
      <c r="A4186" s="2714"/>
      <c r="B4186" s="371">
        <v>106</v>
      </c>
      <c r="C4186" s="371"/>
      <c r="D4186" s="2716">
        <f t="shared" si="465"/>
        <v>1</v>
      </c>
      <c r="E4186" s="2721">
        <v>1</v>
      </c>
      <c r="F4186" s="294"/>
      <c r="G4186" s="1474" t="s">
        <v>4082</v>
      </c>
      <c r="H4186" s="2275"/>
      <c r="I4186" s="2296"/>
      <c r="J4186" s="291"/>
      <c r="K4186" s="291"/>
      <c r="L4186" s="291"/>
      <c r="M4186" s="291"/>
      <c r="S4186" s="364"/>
      <c r="Z4186" s="609" t="s">
        <v>4073</v>
      </c>
      <c r="AA4186" s="609" t="s">
        <v>5691</v>
      </c>
    </row>
    <row r="4187" spans="1:27" ht="18">
      <c r="A4187" s="2714"/>
      <c r="B4187" s="371">
        <v>107</v>
      </c>
      <c r="C4187" s="371" t="s">
        <v>2791</v>
      </c>
      <c r="D4187" s="2716">
        <f t="shared" si="465"/>
        <v>0</v>
      </c>
      <c r="E4187" s="2721">
        <v>1</v>
      </c>
      <c r="F4187" s="294"/>
      <c r="G4187" s="2418" t="s">
        <v>2792</v>
      </c>
      <c r="H4187" s="2275"/>
      <c r="I4187" s="2296"/>
      <c r="J4187" s="291"/>
      <c r="K4187" s="291"/>
      <c r="L4187" s="291"/>
      <c r="M4187" s="291"/>
      <c r="S4187" s="364"/>
      <c r="Z4187" s="609" t="s">
        <v>4073</v>
      </c>
      <c r="AA4187" s="609" t="s">
        <v>5691</v>
      </c>
    </row>
    <row r="4188" spans="1:27" ht="24">
      <c r="A4188" s="2714"/>
      <c r="B4188" s="371">
        <v>108</v>
      </c>
      <c r="C4188" s="371"/>
      <c r="D4188" s="2716">
        <f t="shared" si="465"/>
        <v>1</v>
      </c>
      <c r="E4188" s="2721">
        <v>1</v>
      </c>
      <c r="F4188" s="294"/>
      <c r="G4188" s="1474" t="s">
        <v>3476</v>
      </c>
      <c r="H4188" s="2275"/>
      <c r="I4188" s="2296"/>
      <c r="J4188" s="355"/>
      <c r="K4188" s="291"/>
      <c r="L4188" s="291"/>
      <c r="M4188" s="291"/>
      <c r="S4188" s="364"/>
      <c r="Z4188" s="609" t="s">
        <v>4073</v>
      </c>
      <c r="AA4188" s="609" t="s">
        <v>5691</v>
      </c>
    </row>
    <row r="4189" spans="1:27" ht="24">
      <c r="A4189" s="2714"/>
      <c r="B4189" s="371">
        <v>109</v>
      </c>
      <c r="C4189" s="371"/>
      <c r="D4189" s="2716">
        <f t="shared" si="465"/>
        <v>1</v>
      </c>
      <c r="E4189" s="2721">
        <v>1</v>
      </c>
      <c r="F4189" s="294"/>
      <c r="G4189" s="1474" t="s">
        <v>4083</v>
      </c>
      <c r="H4189" s="2275"/>
      <c r="I4189" s="2296"/>
      <c r="J4189" s="291"/>
      <c r="K4189" s="291"/>
      <c r="L4189" s="291"/>
      <c r="M4189" s="291"/>
      <c r="S4189" s="364"/>
      <c r="Z4189" s="609" t="s">
        <v>4073</v>
      </c>
      <c r="AA4189" s="609" t="s">
        <v>5691</v>
      </c>
    </row>
    <row r="4190" spans="1:27" ht="18">
      <c r="A4190" s="2714"/>
      <c r="B4190" s="371">
        <v>110</v>
      </c>
      <c r="C4190" s="371" t="s">
        <v>2791</v>
      </c>
      <c r="D4190" s="2716">
        <f t="shared" si="465"/>
        <v>0</v>
      </c>
      <c r="E4190" s="2721">
        <v>1</v>
      </c>
      <c r="F4190" s="294"/>
      <c r="G4190" s="2418" t="s">
        <v>2792</v>
      </c>
      <c r="H4190" s="2275"/>
      <c r="I4190" s="2296"/>
      <c r="J4190" s="291"/>
      <c r="K4190" s="291"/>
      <c r="L4190" s="291"/>
      <c r="M4190" s="291"/>
      <c r="S4190" s="364"/>
      <c r="Z4190" s="609" t="s">
        <v>4073</v>
      </c>
      <c r="AA4190" s="609" t="s">
        <v>5691</v>
      </c>
    </row>
    <row r="4191" spans="1:27" ht="18">
      <c r="A4191" s="2714"/>
      <c r="B4191" s="371">
        <v>111</v>
      </c>
      <c r="C4191" s="371"/>
      <c r="D4191" s="2716">
        <f t="shared" si="465"/>
        <v>1</v>
      </c>
      <c r="E4191" s="2721">
        <v>1</v>
      </c>
      <c r="F4191" s="294"/>
      <c r="G4191" s="1474" t="s">
        <v>3477</v>
      </c>
      <c r="H4191" s="2275"/>
      <c r="I4191" s="2296"/>
      <c r="J4191" s="355"/>
      <c r="K4191" s="291"/>
      <c r="L4191" s="291"/>
      <c r="M4191" s="291"/>
      <c r="S4191" s="364"/>
      <c r="Z4191" s="609" t="s">
        <v>4073</v>
      </c>
      <c r="AA4191" s="609" t="s">
        <v>5691</v>
      </c>
    </row>
    <row r="4192" spans="1:27" ht="18">
      <c r="A4192" s="2714"/>
      <c r="B4192" s="371">
        <v>112</v>
      </c>
      <c r="C4192" s="371"/>
      <c r="D4192" s="2716">
        <f t="shared" si="465"/>
        <v>1</v>
      </c>
      <c r="E4192" s="2721">
        <v>1</v>
      </c>
      <c r="F4192" s="294"/>
      <c r="G4192" s="1474" t="s">
        <v>4084</v>
      </c>
      <c r="H4192" s="2275"/>
      <c r="I4192" s="2296"/>
      <c r="J4192" s="291"/>
      <c r="K4192" s="291"/>
      <c r="L4192" s="291"/>
      <c r="M4192" s="291"/>
      <c r="S4192" s="364"/>
      <c r="Z4192" s="609" t="s">
        <v>4073</v>
      </c>
      <c r="AA4192" s="609" t="s">
        <v>5691</v>
      </c>
    </row>
    <row r="4193" spans="1:27" ht="18">
      <c r="A4193" s="2714"/>
      <c r="B4193" s="371">
        <v>113</v>
      </c>
      <c r="C4193" s="371"/>
      <c r="D4193" s="2716">
        <f t="shared" si="465"/>
        <v>1</v>
      </c>
      <c r="E4193" s="2721">
        <v>1</v>
      </c>
      <c r="F4193" s="294"/>
      <c r="G4193" s="1474" t="s">
        <v>4085</v>
      </c>
      <c r="H4193" s="2275"/>
      <c r="I4193" s="2296"/>
      <c r="J4193" s="291"/>
      <c r="K4193" s="291"/>
      <c r="L4193" s="291"/>
      <c r="M4193" s="291"/>
      <c r="S4193" s="364"/>
      <c r="Z4193" s="609" t="s">
        <v>4073</v>
      </c>
      <c r="AA4193" s="609" t="s">
        <v>5691</v>
      </c>
    </row>
    <row r="4194" spans="1:27" ht="18">
      <c r="A4194" s="2714"/>
      <c r="B4194" s="371">
        <v>114</v>
      </c>
      <c r="C4194" s="371" t="s">
        <v>2791</v>
      </c>
      <c r="D4194" s="2716">
        <f t="shared" si="465"/>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115</v>
      </c>
      <c r="C4195" s="371" t="s">
        <v>2791</v>
      </c>
      <c r="D4195" s="2716">
        <f t="shared" si="465"/>
        <v>0</v>
      </c>
      <c r="E4195" s="2721">
        <v>1</v>
      </c>
      <c r="F4195" s="294"/>
      <c r="G4195" s="2418" t="s">
        <v>2792</v>
      </c>
      <c r="H4195" s="2275"/>
      <c r="I4195" s="2296"/>
      <c r="J4195" s="291"/>
      <c r="K4195" s="291"/>
      <c r="L4195" s="291"/>
      <c r="M4195" s="291"/>
      <c r="S4195" s="364"/>
      <c r="Z4195" s="609" t="s">
        <v>4073</v>
      </c>
      <c r="AA4195" s="609" t="s">
        <v>5691</v>
      </c>
    </row>
    <row r="4196" spans="1:27" ht="18.75" thickBot="1">
      <c r="A4196" s="2714"/>
      <c r="B4196" s="371"/>
      <c r="C4196" s="371"/>
      <c r="D4196" s="2716">
        <f t="shared" si="465"/>
        <v>1</v>
      </c>
      <c r="E4196" s="2721" t="s">
        <v>2751</v>
      </c>
      <c r="F4196" s="294"/>
      <c r="G4196" s="2234" t="s">
        <v>3478</v>
      </c>
      <c r="H4196" s="2430"/>
      <c r="I4196" s="2431"/>
      <c r="J4196" s="355" t="s">
        <v>6074</v>
      </c>
      <c r="K4196" s="291"/>
      <c r="L4196" s="291"/>
      <c r="M4196" s="291"/>
      <c r="S4196" s="364"/>
      <c r="Z4196" s="609" t="s">
        <v>4073</v>
      </c>
      <c r="AA4196" s="609" t="s">
        <v>5691</v>
      </c>
    </row>
    <row r="4197" spans="1:27" ht="18">
      <c r="A4197" s="2714"/>
      <c r="B4197" s="371"/>
      <c r="C4197" s="371" t="s">
        <v>2755</v>
      </c>
      <c r="D4197" s="371"/>
      <c r="F4197" s="294"/>
      <c r="G4197" s="557"/>
      <c r="H4197" s="315"/>
      <c r="I4197" s="315"/>
      <c r="J4197" s="291"/>
      <c r="K4197" s="291"/>
      <c r="L4197" s="291"/>
      <c r="M4197" s="291"/>
      <c r="S4197" s="364"/>
      <c r="Z4197" s="609" t="s">
        <v>4073</v>
      </c>
      <c r="AA4197" s="609" t="s">
        <v>5691</v>
      </c>
    </row>
    <row r="4198" spans="1:27" ht="24">
      <c r="A4198" s="2714" t="s">
        <v>1717</v>
      </c>
      <c r="B4198" s="371">
        <v>2.2000000000000002</v>
      </c>
      <c r="C4198" s="371"/>
      <c r="D4198" s="2716" t="str">
        <f>VLOOKUP($A4198,Sheet_NoteList,2,0)</f>
        <v>设定受益计划变动情况（计划资产）</v>
      </c>
      <c r="E4198" s="2716" t="s">
        <v>2742</v>
      </c>
      <c r="F4198" s="294"/>
      <c r="G4198" s="372" t="str">
        <f>"("&amp;B4198&amp;")"&amp;D4198</f>
        <v>(2.2)设定受益计划变动情况（计划资产）</v>
      </c>
      <c r="H4198" s="1517" t="str">
        <f>$A4198</f>
        <v>2715c</v>
      </c>
      <c r="I4198" s="343" t="s">
        <v>2743</v>
      </c>
      <c r="J4198" s="301"/>
      <c r="K4198" s="391"/>
      <c r="L4198" s="345"/>
      <c r="M4198" s="301"/>
      <c r="N4198" s="391"/>
      <c r="O4198" s="345"/>
      <c r="P4198" s="301"/>
      <c r="S4198" s="364"/>
      <c r="Z4198" s="609" t="s">
        <v>4073</v>
      </c>
      <c r="AA4198" s="609" t="s">
        <v>5691</v>
      </c>
    </row>
    <row r="4199" spans="1:27" ht="0.75" customHeight="1" thickBot="1">
      <c r="A4199" s="2714"/>
      <c r="B4199" s="371"/>
      <c r="C4199" s="371"/>
      <c r="D4199" s="371"/>
      <c r="E4199" s="586"/>
      <c r="F4199" s="518"/>
      <c r="G4199" s="518" t="s">
        <v>4086</v>
      </c>
      <c r="H4199" s="304" t="s">
        <v>3472</v>
      </c>
      <c r="I4199" s="304" t="s">
        <v>3473</v>
      </c>
      <c r="J4199" s="291"/>
      <c r="K4199" s="291"/>
      <c r="L4199" s="291"/>
      <c r="M4199" s="291"/>
      <c r="S4199" s="364"/>
      <c r="Z4199" s="609" t="s">
        <v>4073</v>
      </c>
      <c r="AA4199" s="609" t="s">
        <v>5691</v>
      </c>
    </row>
    <row r="4200" spans="1:27" ht="18">
      <c r="A4200" s="2714"/>
      <c r="B4200" s="371"/>
      <c r="C4200" s="371"/>
      <c r="D4200" s="371"/>
      <c r="E4200" s="586" t="s">
        <v>2749</v>
      </c>
      <c r="F4200" s="363"/>
      <c r="G4200" s="2410" t="s">
        <v>47</v>
      </c>
      <c r="H4200" s="2432" t="str">
        <f>$V$4</f>
        <v>2019年度</v>
      </c>
      <c r="I4200" s="2433" t="str">
        <f>$V$5</f>
        <v>2018年度</v>
      </c>
      <c r="J4200" s="355" t="s">
        <v>5314</v>
      </c>
      <c r="K4200" s="291"/>
      <c r="L4200" s="291"/>
      <c r="M4200" s="291"/>
      <c r="S4200" s="364"/>
      <c r="Z4200" s="609" t="s">
        <v>4073</v>
      </c>
      <c r="AA4200" s="609" t="s">
        <v>5691</v>
      </c>
    </row>
    <row r="4201" spans="1:27" ht="18">
      <c r="A4201" s="2714"/>
      <c r="B4201" s="371">
        <v>101</v>
      </c>
      <c r="C4201" s="371"/>
      <c r="D4201" s="2716">
        <f t="shared" ref="D4201:D4211" si="466">IF(OR(G4201="*",G4201="",G4201=0),0,COUNTIF($G$4201:$G$4211,G4201))</f>
        <v>1</v>
      </c>
      <c r="E4201" s="2721">
        <v>1</v>
      </c>
      <c r="F4201" s="294"/>
      <c r="G4201" s="1474" t="s">
        <v>3474</v>
      </c>
      <c r="H4201" s="2275"/>
      <c r="I4201" s="2296"/>
      <c r="J4201" s="291"/>
      <c r="K4201" s="291"/>
      <c r="L4201" s="291"/>
      <c r="M4201" s="291"/>
      <c r="S4201" s="364"/>
      <c r="Z4201" s="609" t="s">
        <v>4073</v>
      </c>
      <c r="AA4201" s="609" t="s">
        <v>5691</v>
      </c>
    </row>
    <row r="4202" spans="1:27" ht="24">
      <c r="A4202" s="2714"/>
      <c r="B4202" s="371">
        <v>102</v>
      </c>
      <c r="C4202" s="371"/>
      <c r="D4202" s="2716">
        <f t="shared" si="466"/>
        <v>1</v>
      </c>
      <c r="E4202" s="2721">
        <v>1</v>
      </c>
      <c r="F4202" s="294"/>
      <c r="G4202" s="1474" t="s">
        <v>3475</v>
      </c>
      <c r="H4202" s="2275"/>
      <c r="I4202" s="2296"/>
      <c r="J4202" s="291"/>
      <c r="K4202" s="291"/>
      <c r="L4202" s="291"/>
      <c r="M4202" s="291"/>
      <c r="S4202" s="364"/>
      <c r="Z4202" s="609" t="s">
        <v>4073</v>
      </c>
      <c r="AA4202" s="609" t="s">
        <v>5691</v>
      </c>
    </row>
    <row r="4203" spans="1:27" ht="18">
      <c r="A4203" s="2714"/>
      <c r="B4203" s="371">
        <v>103</v>
      </c>
      <c r="C4203" s="371"/>
      <c r="D4203" s="2716">
        <f t="shared" si="466"/>
        <v>1</v>
      </c>
      <c r="E4203" s="2721">
        <v>1</v>
      </c>
      <c r="F4203" s="294"/>
      <c r="G4203" s="1474" t="s">
        <v>4087</v>
      </c>
      <c r="H4203" s="2275"/>
      <c r="I4203" s="2296"/>
      <c r="J4203" s="291"/>
      <c r="K4203" s="291"/>
      <c r="L4203" s="291"/>
      <c r="M4203" s="291"/>
      <c r="S4203" s="364"/>
      <c r="Z4203" s="609" t="s">
        <v>4073</v>
      </c>
      <c r="AA4203" s="609" t="s">
        <v>5691</v>
      </c>
    </row>
    <row r="4204" spans="1:27" ht="18">
      <c r="A4204" s="2714"/>
      <c r="B4204" s="371">
        <v>104</v>
      </c>
      <c r="C4204" s="371" t="s">
        <v>2791</v>
      </c>
      <c r="D4204" s="2716">
        <f t="shared" si="466"/>
        <v>0</v>
      </c>
      <c r="E4204" s="2721">
        <v>1</v>
      </c>
      <c r="F4204" s="294"/>
      <c r="G4204" s="2418" t="s">
        <v>2792</v>
      </c>
      <c r="H4204" s="2275"/>
      <c r="I4204" s="2296"/>
      <c r="J4204" s="291"/>
      <c r="K4204" s="291"/>
      <c r="L4204" s="291"/>
      <c r="M4204" s="291"/>
      <c r="S4204" s="364"/>
      <c r="Z4204" s="609" t="s">
        <v>4073</v>
      </c>
      <c r="AA4204" s="609" t="s">
        <v>5691</v>
      </c>
    </row>
    <row r="4205" spans="1:27" ht="24">
      <c r="A4205" s="2714"/>
      <c r="B4205" s="371">
        <v>105</v>
      </c>
      <c r="C4205" s="371"/>
      <c r="D4205" s="2716">
        <f t="shared" si="466"/>
        <v>1</v>
      </c>
      <c r="E4205" s="2721">
        <v>1</v>
      </c>
      <c r="F4205" s="294"/>
      <c r="G4205" s="1474" t="s">
        <v>3476</v>
      </c>
      <c r="H4205" s="2275"/>
      <c r="I4205" s="2296"/>
      <c r="J4205" s="291"/>
      <c r="K4205" s="291"/>
      <c r="L4205" s="291"/>
      <c r="M4205" s="291"/>
      <c r="S4205" s="364"/>
      <c r="Z4205" s="609" t="s">
        <v>4073</v>
      </c>
      <c r="AA4205" s="609" t="s">
        <v>5691</v>
      </c>
    </row>
    <row r="4206" spans="1:27" ht="24">
      <c r="A4206" s="2714"/>
      <c r="B4206" s="371">
        <v>106</v>
      </c>
      <c r="C4206" s="371"/>
      <c r="D4206" s="2716">
        <f t="shared" si="466"/>
        <v>1</v>
      </c>
      <c r="E4206" s="2721">
        <v>1</v>
      </c>
      <c r="F4206" s="294"/>
      <c r="G4206" s="1474" t="s">
        <v>4088</v>
      </c>
      <c r="H4206" s="2275"/>
      <c r="I4206" s="2296"/>
      <c r="J4206" s="291"/>
      <c r="K4206" s="291"/>
      <c r="L4206" s="291"/>
      <c r="M4206" s="291"/>
      <c r="S4206" s="364"/>
      <c r="Z4206" s="609" t="s">
        <v>4073</v>
      </c>
      <c r="AA4206" s="609" t="s">
        <v>5691</v>
      </c>
    </row>
    <row r="4207" spans="1:27" ht="24">
      <c r="A4207" s="2714"/>
      <c r="B4207" s="371">
        <v>107</v>
      </c>
      <c r="C4207" s="371"/>
      <c r="D4207" s="2716">
        <f t="shared" si="466"/>
        <v>1</v>
      </c>
      <c r="E4207" s="2721">
        <v>1</v>
      </c>
      <c r="F4207" s="294"/>
      <c r="G4207" s="1474" t="s">
        <v>4089</v>
      </c>
      <c r="H4207" s="2275"/>
      <c r="I4207" s="2296"/>
      <c r="J4207" s="291"/>
      <c r="K4207" s="291"/>
      <c r="L4207" s="291"/>
      <c r="M4207" s="291"/>
      <c r="S4207" s="364"/>
      <c r="Z4207" s="609" t="s">
        <v>4073</v>
      </c>
      <c r="AA4207" s="609" t="s">
        <v>5691</v>
      </c>
    </row>
    <row r="4208" spans="1:27" ht="18">
      <c r="A4208" s="2714"/>
      <c r="B4208" s="371">
        <v>108</v>
      </c>
      <c r="C4208" s="371" t="s">
        <v>2791</v>
      </c>
      <c r="D4208" s="2716">
        <f t="shared" si="466"/>
        <v>0</v>
      </c>
      <c r="E4208" s="2721">
        <v>1</v>
      </c>
      <c r="F4208" s="294"/>
      <c r="G4208" s="2418" t="s">
        <v>2792</v>
      </c>
      <c r="H4208" s="2275"/>
      <c r="I4208" s="2296"/>
      <c r="J4208" s="291"/>
      <c r="K4208" s="291"/>
      <c r="L4208" s="291"/>
      <c r="M4208" s="291"/>
      <c r="S4208" s="364"/>
      <c r="Z4208" s="609" t="s">
        <v>4073</v>
      </c>
      <c r="AA4208" s="609" t="s">
        <v>5691</v>
      </c>
    </row>
    <row r="4209" spans="1:27" ht="18">
      <c r="A4209" s="2714"/>
      <c r="B4209" s="371">
        <v>109</v>
      </c>
      <c r="C4209" s="371"/>
      <c r="D4209" s="2716">
        <f t="shared" si="466"/>
        <v>1</v>
      </c>
      <c r="E4209" s="2721">
        <v>1</v>
      </c>
      <c r="F4209" s="294"/>
      <c r="G4209" s="1474" t="s">
        <v>3477</v>
      </c>
      <c r="H4209" s="2275"/>
      <c r="I4209" s="2296"/>
      <c r="J4209" s="291"/>
      <c r="K4209" s="291"/>
      <c r="L4209" s="291"/>
      <c r="M4209" s="291"/>
      <c r="S4209" s="364"/>
      <c r="Z4209" s="609" t="s">
        <v>4073</v>
      </c>
      <c r="AA4209" s="609" t="s">
        <v>5691</v>
      </c>
    </row>
    <row r="4210" spans="1:27" ht="18">
      <c r="A4210" s="2714"/>
      <c r="B4210" s="371">
        <v>110</v>
      </c>
      <c r="C4210" s="371" t="s">
        <v>2791</v>
      </c>
      <c r="D4210" s="2716">
        <f t="shared" si="466"/>
        <v>0</v>
      </c>
      <c r="E4210" s="2721">
        <v>1</v>
      </c>
      <c r="F4210" s="294"/>
      <c r="G4210" s="2418" t="s">
        <v>2792</v>
      </c>
      <c r="H4210" s="2275"/>
      <c r="I4210" s="2296"/>
      <c r="J4210" s="291"/>
      <c r="K4210" s="291"/>
      <c r="L4210" s="291"/>
      <c r="M4210" s="291"/>
      <c r="S4210" s="364"/>
      <c r="Z4210" s="609" t="s">
        <v>4073</v>
      </c>
      <c r="AA4210" s="609" t="s">
        <v>5691</v>
      </c>
    </row>
    <row r="4211" spans="1:27" ht="18.75" thickBot="1">
      <c r="A4211" s="2714"/>
      <c r="B4211" s="371"/>
      <c r="C4211" s="371"/>
      <c r="D4211" s="2716">
        <f t="shared" si="466"/>
        <v>1</v>
      </c>
      <c r="E4211" s="2721" t="s">
        <v>2751</v>
      </c>
      <c r="F4211" s="294"/>
      <c r="G4211" s="2234" t="s">
        <v>3478</v>
      </c>
      <c r="H4211" s="2308"/>
      <c r="I4211" s="2309"/>
      <c r="J4211" s="355" t="s">
        <v>6074</v>
      </c>
      <c r="K4211" s="291"/>
      <c r="L4211" s="291"/>
      <c r="M4211" s="291"/>
      <c r="S4211" s="364"/>
      <c r="Z4211" s="609" t="s">
        <v>4073</v>
      </c>
      <c r="AA4211" s="609" t="s">
        <v>5691</v>
      </c>
    </row>
    <row r="4212" spans="1:27" ht="18">
      <c r="A4212" s="2714"/>
      <c r="B4212" s="371"/>
      <c r="C4212" s="371" t="s">
        <v>2755</v>
      </c>
      <c r="D4212" s="371"/>
      <c r="F4212" s="294"/>
      <c r="G4212" s="557"/>
      <c r="H4212" s="315"/>
      <c r="I4212" s="315"/>
      <c r="J4212" s="291"/>
      <c r="K4212" s="291"/>
      <c r="L4212" s="291"/>
      <c r="M4212" s="291"/>
      <c r="S4212" s="364"/>
      <c r="Z4212" s="609" t="s">
        <v>4073</v>
      </c>
      <c r="AA4212" s="609" t="s">
        <v>5691</v>
      </c>
    </row>
    <row r="4213" spans="1:27" ht="24">
      <c r="A4213" s="2714" t="s">
        <v>1722</v>
      </c>
      <c r="B4213" s="371">
        <v>2.2999999999999998</v>
      </c>
      <c r="C4213" s="371"/>
      <c r="D4213" s="2716" t="str">
        <f>VLOOKUP($A4213,Sheet_NoteList,2,0)</f>
        <v>设定受益计划净负债（净资产）</v>
      </c>
      <c r="E4213" s="2716" t="s">
        <v>2742</v>
      </c>
      <c r="F4213" s="294"/>
      <c r="G4213" s="372" t="str">
        <f>"("&amp;B4213&amp;")"&amp;D4213</f>
        <v>(2.3)设定受益计划净负债（净资产）</v>
      </c>
      <c r="H4213" s="1517" t="str">
        <f>$A4213</f>
        <v>2715d</v>
      </c>
      <c r="I4213" s="343" t="s">
        <v>2743</v>
      </c>
      <c r="J4213" s="301"/>
      <c r="K4213" s="391"/>
      <c r="L4213" s="345"/>
      <c r="M4213" s="301"/>
      <c r="N4213" s="391"/>
      <c r="O4213" s="345"/>
      <c r="P4213" s="301"/>
      <c r="S4213" s="364"/>
      <c r="Z4213" s="609" t="s">
        <v>4073</v>
      </c>
      <c r="AA4213" s="609" t="s">
        <v>5691</v>
      </c>
    </row>
    <row r="4214" spans="1:27" ht="0.75" customHeight="1" thickBot="1">
      <c r="A4214" s="2714"/>
      <c r="B4214" s="371"/>
      <c r="C4214" s="371"/>
      <c r="D4214" s="371"/>
      <c r="E4214" s="586"/>
      <c r="F4214" s="518"/>
      <c r="G4214" s="518" t="s">
        <v>4090</v>
      </c>
      <c r="H4214" s="304" t="s">
        <v>3472</v>
      </c>
      <c r="I4214" s="304" t="s">
        <v>3473</v>
      </c>
      <c r="J4214" s="291"/>
      <c r="K4214" s="291"/>
      <c r="L4214" s="291"/>
      <c r="M4214" s="291"/>
      <c r="S4214" s="364"/>
      <c r="Z4214" s="609" t="s">
        <v>4073</v>
      </c>
      <c r="AA4214" s="609" t="s">
        <v>5691</v>
      </c>
    </row>
    <row r="4215" spans="1:27" ht="18">
      <c r="A4215" s="2714"/>
      <c r="B4215" s="371"/>
      <c r="C4215" s="371"/>
      <c r="D4215" s="371"/>
      <c r="E4215" s="586" t="s">
        <v>2749</v>
      </c>
      <c r="F4215" s="363"/>
      <c r="G4215" s="2410" t="s">
        <v>47</v>
      </c>
      <c r="H4215" s="2432" t="str">
        <f>$V$4</f>
        <v>2019年度</v>
      </c>
      <c r="I4215" s="2433" t="str">
        <f>$V$5</f>
        <v>2018年度</v>
      </c>
      <c r="J4215" s="355" t="s">
        <v>5314</v>
      </c>
      <c r="K4215" s="291"/>
      <c r="L4215" s="291"/>
      <c r="M4215" s="291"/>
      <c r="S4215" s="364"/>
      <c r="Z4215" s="609" t="s">
        <v>4073</v>
      </c>
      <c r="AA4215" s="609" t="s">
        <v>5691</v>
      </c>
    </row>
    <row r="4216" spans="1:27" ht="18">
      <c r="A4216" s="2714"/>
      <c r="B4216" s="371">
        <v>101</v>
      </c>
      <c r="C4216" s="371"/>
      <c r="D4216" s="2716">
        <f>IF(OR(G4216="*",G4216="",G4216=0),0,COUNTIF($G$4216:$G$4220,G4216))</f>
        <v>1</v>
      </c>
      <c r="E4216" s="2721">
        <v>1</v>
      </c>
      <c r="F4216" s="294"/>
      <c r="G4216" s="1474" t="s">
        <v>3474</v>
      </c>
      <c r="H4216" s="2275"/>
      <c r="I4216" s="2296"/>
      <c r="J4216" s="291"/>
      <c r="K4216" s="291"/>
      <c r="L4216" s="291"/>
      <c r="M4216" s="291"/>
      <c r="S4216" s="364"/>
      <c r="Z4216" s="609" t="s">
        <v>4073</v>
      </c>
      <c r="AA4216" s="609" t="s">
        <v>5691</v>
      </c>
    </row>
    <row r="4217" spans="1:27" ht="24">
      <c r="A4217" s="2714"/>
      <c r="B4217" s="371">
        <v>102</v>
      </c>
      <c r="C4217" s="371"/>
      <c r="D4217" s="2716">
        <f>IF(OR(G4217="*",G4217="",G4217=0),0,COUNTIF($G$4216:$G$4220,G4217))</f>
        <v>1</v>
      </c>
      <c r="E4217" s="2721">
        <v>1</v>
      </c>
      <c r="F4217" s="294"/>
      <c r="G4217" s="1474" t="s">
        <v>3475</v>
      </c>
      <c r="H4217" s="2275"/>
      <c r="I4217" s="2296"/>
      <c r="J4217" s="291"/>
      <c r="K4217" s="291"/>
      <c r="L4217" s="291"/>
      <c r="M4217" s="291"/>
      <c r="S4217" s="364"/>
      <c r="Z4217" s="609" t="s">
        <v>4073</v>
      </c>
      <c r="AA4217" s="609" t="s">
        <v>5691</v>
      </c>
    </row>
    <row r="4218" spans="1:27" ht="24">
      <c r="A4218" s="2714"/>
      <c r="B4218" s="371">
        <v>103</v>
      </c>
      <c r="C4218" s="371"/>
      <c r="D4218" s="2716">
        <f>IF(OR(G4218="*",G4218="",G4218=0),0,COUNTIF($G$4216:$G$4220,G4218))</f>
        <v>1</v>
      </c>
      <c r="E4218" s="2721">
        <v>1</v>
      </c>
      <c r="F4218" s="294"/>
      <c r="G4218" s="1474" t="s">
        <v>3476</v>
      </c>
      <c r="H4218" s="2275"/>
      <c r="I4218" s="2296"/>
      <c r="J4218" s="291"/>
      <c r="K4218" s="291"/>
      <c r="L4218" s="291"/>
      <c r="M4218" s="291"/>
      <c r="S4218" s="364"/>
      <c r="Z4218" s="609" t="s">
        <v>4073</v>
      </c>
      <c r="AA4218" s="609" t="s">
        <v>5691</v>
      </c>
    </row>
    <row r="4219" spans="1:27" ht="18">
      <c r="A4219" s="2714"/>
      <c r="B4219" s="371">
        <v>104</v>
      </c>
      <c r="C4219" s="371"/>
      <c r="D4219" s="2716">
        <f>IF(OR(G4219="*",G4219="",G4219=0),0,COUNTIF($G$4216:$G$4220,G4219))</f>
        <v>1</v>
      </c>
      <c r="E4219" s="2721">
        <v>1</v>
      </c>
      <c r="F4219" s="294"/>
      <c r="G4219" s="1474" t="s">
        <v>3477</v>
      </c>
      <c r="H4219" s="2275"/>
      <c r="I4219" s="2296"/>
      <c r="J4219" s="291"/>
      <c r="K4219" s="291"/>
      <c r="L4219" s="291"/>
      <c r="M4219" s="291"/>
      <c r="S4219" s="364"/>
      <c r="Z4219" s="609" t="s">
        <v>4073</v>
      </c>
      <c r="AA4219" s="609" t="s">
        <v>5691</v>
      </c>
    </row>
    <row r="4220" spans="1:27" ht="18.75" thickBot="1">
      <c r="A4220" s="2714"/>
      <c r="B4220" s="371"/>
      <c r="C4220" s="371"/>
      <c r="D4220" s="2716">
        <f>IF(OR(G4220="*",G4220="",G4220=0),0,COUNTIF($G$4216:$G$4220,G4220))</f>
        <v>1</v>
      </c>
      <c r="E4220" s="2721" t="s">
        <v>2751</v>
      </c>
      <c r="F4220" s="294"/>
      <c r="G4220" s="2234" t="s">
        <v>3478</v>
      </c>
      <c r="H4220" s="2308"/>
      <c r="I4220" s="2309"/>
      <c r="J4220" s="355" t="s">
        <v>6074</v>
      </c>
      <c r="K4220" s="291"/>
      <c r="L4220" s="291"/>
      <c r="M4220" s="291"/>
      <c r="S4220" s="364"/>
      <c r="Z4220" s="609" t="s">
        <v>4073</v>
      </c>
      <c r="AA4220" s="609" t="s">
        <v>5691</v>
      </c>
    </row>
    <row r="4221" spans="1:27" ht="18">
      <c r="A4221" s="2714"/>
      <c r="B4221" s="371"/>
      <c r="C4221" s="371" t="s">
        <v>2755</v>
      </c>
      <c r="D4221" s="371"/>
      <c r="F4221" s="294"/>
      <c r="G4221" s="557"/>
      <c r="H4221" s="315"/>
      <c r="I4221" s="315"/>
      <c r="J4221" s="291"/>
      <c r="K4221" s="291"/>
      <c r="L4221" s="291"/>
      <c r="M4221" s="291"/>
      <c r="S4221" s="364"/>
      <c r="Z4221" s="609" t="s">
        <v>4073</v>
      </c>
      <c r="AA4221" s="609" t="s">
        <v>5691</v>
      </c>
    </row>
    <row r="4222" spans="1:27" ht="24">
      <c r="A4222" s="2714" t="s">
        <v>1736</v>
      </c>
      <c r="B4222" s="371">
        <v>2.4</v>
      </c>
      <c r="C4222" s="371"/>
      <c r="D4222" s="2716" t="str">
        <f>VLOOKUP($A4222,Sheet_NoteList,2,0)</f>
        <v>设定受益计划重大精算假设</v>
      </c>
      <c r="E4222" s="2716" t="s">
        <v>2742</v>
      </c>
      <c r="F4222" s="294"/>
      <c r="G4222" s="372" t="str">
        <f>"("&amp;B4222&amp;")"&amp;D4222</f>
        <v>(2.4)设定受益计划重大精算假设</v>
      </c>
      <c r="H4222" s="1517" t="str">
        <f>$A4222</f>
        <v>2715g</v>
      </c>
      <c r="I4222" s="343" t="s">
        <v>2743</v>
      </c>
      <c r="J4222" s="301"/>
      <c r="K4222" s="391"/>
      <c r="L4222" s="345"/>
      <c r="M4222" s="301"/>
      <c r="N4222" s="391"/>
      <c r="O4222" s="345"/>
      <c r="P4222" s="301"/>
      <c r="S4222" s="364"/>
      <c r="Z4222" s="609" t="s">
        <v>4073</v>
      </c>
      <c r="AA4222" s="609" t="s">
        <v>5691</v>
      </c>
    </row>
    <row r="4223" spans="1:27" ht="0.75" customHeight="1" thickBot="1">
      <c r="A4223" s="2714"/>
      <c r="B4223" s="371"/>
      <c r="C4223" s="371"/>
      <c r="D4223" s="371"/>
      <c r="E4223" s="586"/>
      <c r="F4223" s="518"/>
      <c r="G4223" s="518" t="s">
        <v>4091</v>
      </c>
      <c r="H4223" s="304" t="s">
        <v>3481</v>
      </c>
      <c r="I4223" s="304" t="s">
        <v>3482</v>
      </c>
      <c r="J4223" s="291"/>
      <c r="K4223" s="291"/>
      <c r="L4223" s="291"/>
      <c r="M4223" s="291"/>
      <c r="S4223" s="364"/>
      <c r="Z4223" s="609" t="s">
        <v>4073</v>
      </c>
      <c r="AA4223" s="609" t="s">
        <v>5691</v>
      </c>
    </row>
    <row r="4224" spans="1:27" ht="18">
      <c r="A4224" s="2714"/>
      <c r="B4224" s="371"/>
      <c r="C4224" s="371"/>
      <c r="D4224" s="371"/>
      <c r="E4224" s="586" t="s">
        <v>2749</v>
      </c>
      <c r="F4224" s="363"/>
      <c r="G4224" s="2410" t="s">
        <v>47</v>
      </c>
      <c r="H4224" s="2232" t="str">
        <f>$V$4</f>
        <v>2019年度</v>
      </c>
      <c r="I4224" s="2233" t="str">
        <f>$V$5</f>
        <v>2018年度</v>
      </c>
      <c r="J4224" s="355" t="s">
        <v>5314</v>
      </c>
      <c r="K4224" s="291"/>
      <c r="L4224" s="291"/>
      <c r="M4224" s="291"/>
      <c r="S4224" s="364"/>
      <c r="Z4224" s="609" t="s">
        <v>4073</v>
      </c>
      <c r="AA4224" s="609" t="s">
        <v>5691</v>
      </c>
    </row>
    <row r="4225" spans="1:27" ht="18">
      <c r="A4225" s="2714"/>
      <c r="B4225" s="371">
        <v>101</v>
      </c>
      <c r="C4225" s="371"/>
      <c r="D4225" s="2716">
        <f t="shared" ref="D4225:D4231" si="467">IF(OR(G4225="*",G4225="",G4225=0),0,COUNTIF($G$4225:$G$4231,G4225))</f>
        <v>1</v>
      </c>
      <c r="E4225" s="2721">
        <v>1</v>
      </c>
      <c r="F4225" s="294"/>
      <c r="G4225" s="1474" t="s">
        <v>3483</v>
      </c>
      <c r="H4225" s="2298"/>
      <c r="I4225" s="2276"/>
      <c r="J4225" s="291"/>
      <c r="K4225" s="291"/>
      <c r="L4225" s="291"/>
      <c r="M4225" s="291"/>
      <c r="S4225" s="364"/>
      <c r="Z4225" s="609" t="s">
        <v>4073</v>
      </c>
      <c r="AA4225" s="609" t="s">
        <v>5691</v>
      </c>
    </row>
    <row r="4226" spans="1:27" ht="18">
      <c r="A4226" s="2714"/>
      <c r="B4226" s="371">
        <v>102</v>
      </c>
      <c r="C4226" s="371"/>
      <c r="D4226" s="2716">
        <f t="shared" si="467"/>
        <v>1</v>
      </c>
      <c r="E4226" s="2721">
        <v>1</v>
      </c>
      <c r="F4226" s="294"/>
      <c r="G4226" s="1474" t="s">
        <v>3484</v>
      </c>
      <c r="H4226" s="2298"/>
      <c r="I4226" s="2276"/>
      <c r="J4226" s="291"/>
      <c r="K4226" s="291"/>
      <c r="L4226" s="291"/>
      <c r="M4226" s="291"/>
      <c r="S4226" s="364"/>
      <c r="Z4226" s="609" t="s">
        <v>4073</v>
      </c>
      <c r="AA4226" s="609" t="s">
        <v>5691</v>
      </c>
    </row>
    <row r="4227" spans="1:27" ht="18">
      <c r="A4227" s="2714"/>
      <c r="B4227" s="371">
        <v>103</v>
      </c>
      <c r="C4227" s="371"/>
      <c r="D4227" s="2716">
        <f t="shared" si="467"/>
        <v>1</v>
      </c>
      <c r="E4227" s="2721">
        <v>1</v>
      </c>
      <c r="F4227" s="294"/>
      <c r="G4227" s="1474" t="s">
        <v>3485</v>
      </c>
      <c r="H4227" s="2298"/>
      <c r="I4227" s="2276"/>
      <c r="J4227" s="291"/>
      <c r="K4227" s="291"/>
      <c r="L4227" s="291"/>
      <c r="M4227" s="291"/>
      <c r="S4227" s="364"/>
      <c r="Z4227" s="609" t="s">
        <v>4073</v>
      </c>
      <c r="AA4227" s="609" t="s">
        <v>5691</v>
      </c>
    </row>
    <row r="4228" spans="1:27" ht="18">
      <c r="A4228" s="2714"/>
      <c r="B4228" s="371">
        <v>104</v>
      </c>
      <c r="C4228" s="371"/>
      <c r="D4228" s="2716">
        <f t="shared" si="467"/>
        <v>1</v>
      </c>
      <c r="E4228" s="2721">
        <v>1</v>
      </c>
      <c r="F4228" s="294"/>
      <c r="G4228" s="1474" t="s">
        <v>3486</v>
      </c>
      <c r="H4228" s="2298"/>
      <c r="I4228" s="2276"/>
      <c r="J4228" s="291"/>
      <c r="K4228" s="291"/>
      <c r="L4228" s="291"/>
      <c r="M4228" s="291"/>
      <c r="S4228" s="364"/>
      <c r="Z4228" s="609" t="s">
        <v>4073</v>
      </c>
      <c r="AA4228" s="609" t="s">
        <v>5691</v>
      </c>
    </row>
    <row r="4229" spans="1:27" ht="18">
      <c r="A4229" s="2714"/>
      <c r="B4229" s="371">
        <v>105</v>
      </c>
      <c r="C4229" s="371"/>
      <c r="D4229" s="2716">
        <f t="shared" si="467"/>
        <v>1</v>
      </c>
      <c r="E4229" s="2721">
        <v>1</v>
      </c>
      <c r="F4229" s="294"/>
      <c r="G4229" s="1474" t="s">
        <v>3487</v>
      </c>
      <c r="H4229" s="2298"/>
      <c r="I4229" s="2276"/>
      <c r="J4229" s="291"/>
      <c r="K4229" s="291"/>
      <c r="L4229" s="291"/>
      <c r="M4229" s="291"/>
      <c r="S4229" s="364"/>
      <c r="Z4229" s="609" t="s">
        <v>4073</v>
      </c>
      <c r="AA4229" s="609" t="s">
        <v>5691</v>
      </c>
    </row>
    <row r="4230" spans="1:27" ht="18">
      <c r="A4230" s="2714"/>
      <c r="B4230" s="371">
        <v>106</v>
      </c>
      <c r="C4230" s="371" t="s">
        <v>2791</v>
      </c>
      <c r="D4230" s="2716">
        <f t="shared" si="467"/>
        <v>0</v>
      </c>
      <c r="E4230" s="2721">
        <v>1</v>
      </c>
      <c r="F4230" s="294"/>
      <c r="G4230" s="2418" t="s">
        <v>2792</v>
      </c>
      <c r="H4230" s="2298"/>
      <c r="I4230" s="2276"/>
      <c r="J4230" s="291"/>
      <c r="K4230" s="291"/>
      <c r="L4230" s="291"/>
      <c r="M4230" s="291"/>
      <c r="S4230" s="364"/>
      <c r="Z4230" s="609" t="s">
        <v>4073</v>
      </c>
      <c r="AA4230" s="609" t="s">
        <v>5691</v>
      </c>
    </row>
    <row r="4231" spans="1:27" ht="18.75" thickBot="1">
      <c r="A4231" s="2714"/>
      <c r="B4231" s="371"/>
      <c r="C4231" s="371"/>
      <c r="D4231" s="2716">
        <f t="shared" si="467"/>
        <v>0</v>
      </c>
      <c r="E4231" s="2721" t="s">
        <v>3290</v>
      </c>
      <c r="F4231" s="294"/>
      <c r="G4231" s="2429"/>
      <c r="H4231" s="2241"/>
      <c r="I4231" s="2244"/>
      <c r="J4231" s="291"/>
      <c r="K4231" s="291"/>
      <c r="L4231" s="291"/>
      <c r="M4231" s="291"/>
      <c r="S4231" s="364"/>
      <c r="Z4231" s="609" t="s">
        <v>4073</v>
      </c>
      <c r="AA4231" s="609" t="s">
        <v>5691</v>
      </c>
    </row>
    <row r="4232" spans="1:27" ht="18">
      <c r="A4232" s="2714"/>
      <c r="B4232" s="371"/>
      <c r="C4232" s="371" t="s">
        <v>2755</v>
      </c>
      <c r="D4232" s="371"/>
      <c r="F4232" s="294"/>
      <c r="G4232" s="557"/>
      <c r="H4232" s="393"/>
      <c r="I4232" s="393"/>
      <c r="J4232" s="291"/>
      <c r="K4232" s="291"/>
      <c r="L4232" s="291"/>
      <c r="M4232" s="291"/>
      <c r="S4232" s="364"/>
      <c r="Z4232" s="609" t="s">
        <v>4073</v>
      </c>
      <c r="AA4232" s="609" t="s">
        <v>5691</v>
      </c>
    </row>
    <row r="4233" spans="1:27" ht="24">
      <c r="A4233" s="2714" t="s">
        <v>1741</v>
      </c>
      <c r="B4233" s="371">
        <v>2.5</v>
      </c>
      <c r="C4233" s="371"/>
      <c r="D4233" s="2716" t="str">
        <f>VLOOKUP($A4233,Sheet_NoteList,2,0)</f>
        <v>设定受益计划重大精算假设敏感性分析</v>
      </c>
      <c r="E4233" s="2716" t="s">
        <v>2742</v>
      </c>
      <c r="F4233" s="294"/>
      <c r="G4233" s="372" t="str">
        <f>"("&amp;B4233&amp;")"&amp;D4233</f>
        <v>(2.5)设定受益计划重大精算假设敏感性分析</v>
      </c>
      <c r="H4233" s="1517" t="str">
        <f>$A4233</f>
        <v>2715h</v>
      </c>
      <c r="I4233" s="343" t="s">
        <v>2743</v>
      </c>
      <c r="J4233" s="301"/>
      <c r="K4233" s="391"/>
      <c r="L4233" s="345"/>
      <c r="M4233" s="301"/>
      <c r="N4233" s="391"/>
      <c r="O4233" s="345"/>
      <c r="P4233" s="301"/>
      <c r="S4233" s="364"/>
      <c r="Z4233" s="609" t="s">
        <v>4073</v>
      </c>
      <c r="AA4233" s="609" t="s">
        <v>5691</v>
      </c>
    </row>
    <row r="4234" spans="1:27" ht="0.75" customHeight="1">
      <c r="A4234" s="2714"/>
      <c r="B4234" s="371"/>
      <c r="C4234" s="371"/>
      <c r="D4234" s="371"/>
      <c r="E4234" s="586"/>
      <c r="F4234" s="518"/>
      <c r="G4234" s="518" t="s">
        <v>4092</v>
      </c>
      <c r="H4234" s="304" t="s">
        <v>3488</v>
      </c>
      <c r="I4234" s="304" t="s">
        <v>3489</v>
      </c>
      <c r="J4234" s="304" t="s">
        <v>3490</v>
      </c>
      <c r="K4234" s="291"/>
      <c r="L4234" s="291"/>
      <c r="M4234" s="291"/>
      <c r="S4234" s="364"/>
      <c r="Z4234" s="609" t="s">
        <v>4073</v>
      </c>
      <c r="AA4234" s="609" t="s">
        <v>5691</v>
      </c>
    </row>
    <row r="4235" spans="1:27" ht="0.75" customHeight="1" thickBot="1">
      <c r="A4235" s="2714"/>
      <c r="B4235" s="371"/>
      <c r="C4235" s="371"/>
      <c r="D4235" s="371"/>
      <c r="E4235" s="586"/>
      <c r="F4235" s="518"/>
      <c r="G4235" s="518"/>
      <c r="H4235" s="304" t="s">
        <v>3491</v>
      </c>
      <c r="I4235" s="304" t="s">
        <v>3492</v>
      </c>
      <c r="J4235" s="304" t="s">
        <v>3493</v>
      </c>
      <c r="K4235" s="291"/>
      <c r="L4235" s="291"/>
      <c r="M4235" s="291"/>
      <c r="S4235" s="364"/>
      <c r="Z4235" s="609" t="s">
        <v>4073</v>
      </c>
      <c r="AA4235" s="609" t="s">
        <v>5691</v>
      </c>
    </row>
    <row r="4236" spans="1:27" ht="24" customHeight="1">
      <c r="A4236" s="2714"/>
      <c r="B4236" s="371"/>
      <c r="C4236" s="371"/>
      <c r="D4236" s="371"/>
      <c r="E4236" s="586" t="s">
        <v>2749</v>
      </c>
      <c r="F4236" s="2343"/>
      <c r="G4236" s="3227" t="s">
        <v>47</v>
      </c>
      <c r="H4236" s="3170" t="s">
        <v>3494</v>
      </c>
      <c r="I4236" s="3170" t="s">
        <v>3495</v>
      </c>
      <c r="J4236" s="3186"/>
      <c r="K4236" s="355" t="s">
        <v>5314</v>
      </c>
      <c r="L4236" s="291"/>
      <c r="M4236" s="291"/>
      <c r="S4236" s="364"/>
      <c r="Z4236" s="609" t="s">
        <v>4073</v>
      </c>
      <c r="AA4236" s="609" t="s">
        <v>5691</v>
      </c>
    </row>
    <row r="4237" spans="1:27" ht="18">
      <c r="A4237" s="2714"/>
      <c r="B4237" s="371"/>
      <c r="C4237" s="371"/>
      <c r="D4237" s="371"/>
      <c r="E4237" s="586" t="s">
        <v>2749</v>
      </c>
      <c r="F4237" s="363"/>
      <c r="G4237" s="3228"/>
      <c r="H4237" s="3171"/>
      <c r="I4237" s="2415" t="s">
        <v>3496</v>
      </c>
      <c r="J4237" s="2417" t="s">
        <v>3497</v>
      </c>
      <c r="K4237" s="291"/>
      <c r="L4237" s="291"/>
      <c r="M4237" s="291"/>
      <c r="S4237" s="364"/>
      <c r="Z4237" s="609" t="s">
        <v>4073</v>
      </c>
      <c r="AA4237" s="609" t="s">
        <v>5691</v>
      </c>
    </row>
    <row r="4238" spans="1:27" ht="18">
      <c r="A4238" s="2714"/>
      <c r="B4238" s="371">
        <v>101</v>
      </c>
      <c r="C4238" s="371"/>
      <c r="D4238" s="2716">
        <f t="shared" ref="D4238:D4244" si="468">IF(OR(G4238="*",G4238="",G4238=0),0,COUNTIF($G$4238:$G$4244,G4238))</f>
        <v>1</v>
      </c>
      <c r="E4238" s="2721">
        <v>1</v>
      </c>
      <c r="F4238" s="294"/>
      <c r="G4238" s="1474" t="s">
        <v>3483</v>
      </c>
      <c r="H4238" s="2298"/>
      <c r="I4238" s="2298"/>
      <c r="J4238" s="2276"/>
      <c r="K4238" s="291"/>
      <c r="L4238" s="291"/>
      <c r="M4238" s="291"/>
      <c r="S4238" s="364"/>
      <c r="Z4238" s="609" t="s">
        <v>4073</v>
      </c>
      <c r="AA4238" s="609" t="s">
        <v>5691</v>
      </c>
    </row>
    <row r="4239" spans="1:27" ht="18">
      <c r="A4239" s="2714"/>
      <c r="B4239" s="371">
        <v>102</v>
      </c>
      <c r="C4239" s="371"/>
      <c r="D4239" s="2716">
        <f t="shared" si="468"/>
        <v>1</v>
      </c>
      <c r="E4239" s="2721">
        <v>1</v>
      </c>
      <c r="F4239" s="294"/>
      <c r="G4239" s="1474" t="s">
        <v>3484</v>
      </c>
      <c r="H4239" s="2298"/>
      <c r="I4239" s="2298"/>
      <c r="J4239" s="2276"/>
      <c r="K4239" s="291"/>
      <c r="L4239" s="291"/>
      <c r="M4239" s="291"/>
      <c r="S4239" s="364"/>
      <c r="Z4239" s="609" t="s">
        <v>4073</v>
      </c>
      <c r="AA4239" s="609" t="s">
        <v>5691</v>
      </c>
    </row>
    <row r="4240" spans="1:27" ht="18">
      <c r="A4240" s="2714"/>
      <c r="B4240" s="371">
        <v>103</v>
      </c>
      <c r="C4240" s="371"/>
      <c r="D4240" s="2716">
        <f t="shared" si="468"/>
        <v>1</v>
      </c>
      <c r="E4240" s="2721">
        <v>1</v>
      </c>
      <c r="F4240" s="294"/>
      <c r="G4240" s="1474" t="s">
        <v>3485</v>
      </c>
      <c r="H4240" s="2298"/>
      <c r="I4240" s="2298"/>
      <c r="J4240" s="2276"/>
      <c r="K4240" s="291"/>
      <c r="L4240" s="291"/>
      <c r="M4240" s="291"/>
      <c r="S4240" s="364"/>
      <c r="Z4240" s="609" t="s">
        <v>4073</v>
      </c>
      <c r="AA4240" s="609" t="s">
        <v>5691</v>
      </c>
    </row>
    <row r="4241" spans="1:27" ht="18">
      <c r="A4241" s="2714"/>
      <c r="B4241" s="371">
        <v>104</v>
      </c>
      <c r="C4241" s="371"/>
      <c r="D4241" s="2716">
        <f t="shared" si="468"/>
        <v>1</v>
      </c>
      <c r="E4241" s="2721">
        <v>1</v>
      </c>
      <c r="F4241" s="294"/>
      <c r="G4241" s="1474" t="s">
        <v>3486</v>
      </c>
      <c r="H4241" s="2298"/>
      <c r="I4241" s="2298"/>
      <c r="J4241" s="2276"/>
      <c r="K4241" s="291"/>
      <c r="L4241" s="291"/>
      <c r="M4241" s="291"/>
      <c r="S4241" s="364"/>
      <c r="Z4241" s="609" t="s">
        <v>4073</v>
      </c>
      <c r="AA4241" s="609" t="s">
        <v>5691</v>
      </c>
    </row>
    <row r="4242" spans="1:27" ht="18">
      <c r="A4242" s="2714"/>
      <c r="B4242" s="371">
        <v>105</v>
      </c>
      <c r="C4242" s="371"/>
      <c r="D4242" s="2716">
        <f t="shared" si="468"/>
        <v>1</v>
      </c>
      <c r="E4242" s="2721">
        <v>1</v>
      </c>
      <c r="F4242" s="294"/>
      <c r="G4242" s="1474" t="s">
        <v>3487</v>
      </c>
      <c r="H4242" s="2298"/>
      <c r="I4242" s="2298"/>
      <c r="J4242" s="2276"/>
      <c r="K4242" s="291"/>
      <c r="L4242" s="291"/>
      <c r="M4242" s="291"/>
      <c r="S4242" s="364"/>
      <c r="Z4242" s="609" t="s">
        <v>4073</v>
      </c>
      <c r="AA4242" s="609" t="s">
        <v>5691</v>
      </c>
    </row>
    <row r="4243" spans="1:27" ht="18">
      <c r="A4243" s="2714"/>
      <c r="B4243" s="371">
        <v>106</v>
      </c>
      <c r="C4243" s="371" t="s">
        <v>2791</v>
      </c>
      <c r="D4243" s="2716">
        <f t="shared" si="468"/>
        <v>0</v>
      </c>
      <c r="E4243" s="2721">
        <v>1</v>
      </c>
      <c r="F4243" s="294"/>
      <c r="G4243" s="2418" t="s">
        <v>2792</v>
      </c>
      <c r="H4243" s="2298"/>
      <c r="I4243" s="2298"/>
      <c r="J4243" s="2276"/>
      <c r="K4243" s="291"/>
      <c r="L4243" s="291"/>
      <c r="M4243" s="291"/>
      <c r="S4243" s="364"/>
      <c r="Z4243" s="609" t="s">
        <v>4073</v>
      </c>
      <c r="AA4243" s="609" t="s">
        <v>5691</v>
      </c>
    </row>
    <row r="4244" spans="1:27" ht="18.75" thickBot="1">
      <c r="A4244" s="2714"/>
      <c r="B4244" s="371"/>
      <c r="C4244" s="371"/>
      <c r="D4244" s="2716">
        <f t="shared" si="468"/>
        <v>0</v>
      </c>
      <c r="E4244" s="2721" t="s">
        <v>3290</v>
      </c>
      <c r="F4244" s="294"/>
      <c r="G4244" s="2429"/>
      <c r="H4244" s="2241"/>
      <c r="I4244" s="2241"/>
      <c r="J4244" s="2244"/>
      <c r="K4244" s="291"/>
      <c r="L4244" s="291"/>
      <c r="M4244" s="291"/>
      <c r="S4244" s="364"/>
      <c r="Z4244" s="609" t="s">
        <v>4073</v>
      </c>
      <c r="AA4244" s="609" t="s">
        <v>5691</v>
      </c>
    </row>
    <row r="4245" spans="1:27" ht="18">
      <c r="A4245" s="2714"/>
      <c r="B4245" s="371"/>
      <c r="C4245" s="371" t="s">
        <v>2755</v>
      </c>
      <c r="D4245" s="371"/>
      <c r="F4245" s="294"/>
      <c r="G4245" s="557"/>
      <c r="H4245" s="393"/>
      <c r="I4245" s="393"/>
      <c r="J4245" s="393"/>
      <c r="K4245" s="291"/>
      <c r="L4245" s="291"/>
      <c r="M4245" s="291"/>
      <c r="S4245" s="364"/>
      <c r="Z4245" s="609" t="s">
        <v>4073</v>
      </c>
      <c r="AA4245" s="609" t="s">
        <v>5691</v>
      </c>
    </row>
    <row r="4246" spans="1:27" ht="18">
      <c r="A4246" s="2714">
        <v>2801</v>
      </c>
      <c r="B4246" s="371">
        <v>50</v>
      </c>
      <c r="C4246" s="2716" t="str">
        <f>VLOOKUP($A4246,Sheet_Items,2,0)</f>
        <v>预计负债</v>
      </c>
      <c r="D4246" s="371"/>
      <c r="E4246" s="2716" t="s">
        <v>2739</v>
      </c>
      <c r="F4246" s="294"/>
      <c r="G4246" s="305" t="str">
        <f>B4246&amp;" "&amp;C4246</f>
        <v>50 预计负债</v>
      </c>
      <c r="H4246" s="306"/>
      <c r="I4246" s="306"/>
      <c r="J4246" s="306" t="s">
        <v>2740</v>
      </c>
      <c r="K4246" s="341">
        <f>VLOOKUP($A4246,Sheet_Trialbal,6,0)</f>
        <v>0</v>
      </c>
      <c r="L4246" s="342"/>
      <c r="M4246" s="306" t="s">
        <v>2741</v>
      </c>
      <c r="N4246" s="341">
        <f>VLOOKUP($A4246,Sheet_Trialbal,10,0)</f>
        <v>0</v>
      </c>
      <c r="O4246" s="306"/>
      <c r="P4246" s="301"/>
      <c r="S4246" s="364"/>
      <c r="Z4246" s="609" t="s">
        <v>4093</v>
      </c>
      <c r="AA4246" s="609" t="s">
        <v>5692</v>
      </c>
    </row>
    <row r="4247" spans="1:27" ht="18">
      <c r="A4247" s="2714" t="s">
        <v>1746</v>
      </c>
      <c r="B4247" s="371">
        <v>1</v>
      </c>
      <c r="C4247" s="371"/>
      <c r="D4247" s="2716" t="str">
        <f>VLOOKUP($A4247,Sheet_NoteList,2,0)</f>
        <v>预计负债明细项目</v>
      </c>
      <c r="E4247" s="2716" t="s">
        <v>2742</v>
      </c>
      <c r="F4247" s="294"/>
      <c r="G4247" s="307" t="str">
        <f>"("&amp;B4247&amp;")"&amp;D4247</f>
        <v>(1)预计负债明细项目</v>
      </c>
      <c r="H4247" s="1517" t="str">
        <f>$A4247</f>
        <v>2801a</v>
      </c>
      <c r="I4247" s="343" t="s">
        <v>2743</v>
      </c>
      <c r="J4247" s="301" t="s">
        <v>2744</v>
      </c>
      <c r="K4247" s="2210">
        <f>H4258</f>
        <v>0</v>
      </c>
      <c r="L4247" s="345" t="str">
        <f>IF($I4247="适用",IF(ROUND(K4246-K4247,2)=0,"F/S",ROUND(K4246-K4247,2)),"#N/A")</f>
        <v>F/S</v>
      </c>
      <c r="M4247" s="301" t="s">
        <v>2745</v>
      </c>
      <c r="N4247" s="2210">
        <f>I4258</f>
        <v>0</v>
      </c>
      <c r="O4247" s="345" t="str">
        <f>IF($I4247="适用",IF(ROUND(N4246-N4247,2)=0,"F/S",ROUND(N4246-N4247,2)),"#N/A")</f>
        <v>F/S</v>
      </c>
      <c r="P4247" s="301"/>
      <c r="Q4247" s="290" t="str">
        <f>IF($I4247="不适用","",IF(ROUND(SUM($H$4250:$J$4258),2)=0,"请输入",""))</f>
        <v>请输入</v>
      </c>
      <c r="S4247" s="364"/>
      <c r="Z4247" s="609" t="s">
        <v>4093</v>
      </c>
      <c r="AA4247" s="609" t="s">
        <v>5692</v>
      </c>
    </row>
    <row r="4248" spans="1:27" ht="0.75" customHeight="1" thickBot="1">
      <c r="A4248" s="2714"/>
      <c r="B4248" s="371"/>
      <c r="C4248" s="371"/>
      <c r="D4248" s="371"/>
      <c r="F4248" s="304"/>
      <c r="G4248" s="304" t="s">
        <v>4094</v>
      </c>
      <c r="H4248" s="304" t="s">
        <v>2747</v>
      </c>
      <c r="I4248" s="304" t="s">
        <v>2748</v>
      </c>
      <c r="J4248" s="304" t="s">
        <v>4095</v>
      </c>
      <c r="L4248" s="291"/>
      <c r="M4248" s="291"/>
      <c r="N4248" s="291"/>
      <c r="O4248" s="291"/>
      <c r="S4248" s="364"/>
      <c r="Z4248" s="609" t="s">
        <v>4093</v>
      </c>
      <c r="AA4248" s="609" t="s">
        <v>5692</v>
      </c>
    </row>
    <row r="4249" spans="1:27" ht="18">
      <c r="A4249" s="2714"/>
      <c r="B4249" s="371"/>
      <c r="C4249" s="371"/>
      <c r="D4249" s="371"/>
      <c r="E4249" s="2716" t="s">
        <v>2749</v>
      </c>
      <c r="F4249" s="294"/>
      <c r="G4249" s="410" t="s">
        <v>47</v>
      </c>
      <c r="H4249" s="1454" t="str">
        <f>$V$2</f>
        <v>2019年12月31日</v>
      </c>
      <c r="I4249" s="1454" t="str">
        <f>$V$3</f>
        <v>2018年12月31日</v>
      </c>
      <c r="J4249" s="411" t="s">
        <v>4071</v>
      </c>
      <c r="K4249" s="355" t="s">
        <v>5315</v>
      </c>
      <c r="L4249" s="291"/>
      <c r="M4249" s="291"/>
      <c r="N4249" s="291"/>
      <c r="O4249" s="291"/>
      <c r="S4249" s="364"/>
      <c r="Z4249" s="609" t="s">
        <v>4093</v>
      </c>
      <c r="AA4249" s="609" t="s">
        <v>5692</v>
      </c>
    </row>
    <row r="4250" spans="1:27" ht="18">
      <c r="A4250" s="2714"/>
      <c r="B4250" s="371">
        <v>101</v>
      </c>
      <c r="C4250" s="371"/>
      <c r="D4250" s="2716">
        <f t="shared" ref="D4250:D4258" si="469">IF(OR(G4250="*",G4250="",G4250=0),0,COUNTIF($G$4250:$G$4258,G4250))</f>
        <v>1</v>
      </c>
      <c r="E4250" s="2721">
        <v>1</v>
      </c>
      <c r="F4250" s="294"/>
      <c r="G4250" s="308" t="s">
        <v>4096</v>
      </c>
      <c r="H4250" s="320"/>
      <c r="I4250" s="309"/>
      <c r="J4250" s="2206"/>
      <c r="L4250" s="291"/>
      <c r="M4250" s="291"/>
      <c r="N4250" s="291"/>
      <c r="O4250" s="291"/>
      <c r="S4250" s="364"/>
      <c r="Z4250" s="609" t="s">
        <v>4093</v>
      </c>
      <c r="AA4250" s="609" t="s">
        <v>5692</v>
      </c>
    </row>
    <row r="4251" spans="1:27" ht="18">
      <c r="A4251" s="2714"/>
      <c r="B4251" s="371">
        <v>102</v>
      </c>
      <c r="C4251" s="371"/>
      <c r="D4251" s="2716">
        <f t="shared" si="469"/>
        <v>1</v>
      </c>
      <c r="E4251" s="2721">
        <v>1</v>
      </c>
      <c r="F4251" s="294"/>
      <c r="G4251" s="308" t="s">
        <v>4097</v>
      </c>
      <c r="H4251" s="320"/>
      <c r="I4251" s="309"/>
      <c r="J4251" s="388"/>
      <c r="L4251" s="291"/>
      <c r="M4251" s="291"/>
      <c r="N4251" s="291"/>
      <c r="O4251" s="291"/>
      <c r="S4251" s="364"/>
      <c r="Z4251" s="609" t="s">
        <v>4093</v>
      </c>
      <c r="AA4251" s="609" t="s">
        <v>5692</v>
      </c>
    </row>
    <row r="4252" spans="1:27" ht="18">
      <c r="A4252" s="2714"/>
      <c r="B4252" s="371">
        <v>103</v>
      </c>
      <c r="C4252" s="371"/>
      <c r="D4252" s="2716">
        <f t="shared" si="469"/>
        <v>1</v>
      </c>
      <c r="E4252" s="2721">
        <v>1</v>
      </c>
      <c r="F4252" s="294"/>
      <c r="G4252" s="308" t="s">
        <v>4098</v>
      </c>
      <c r="H4252" s="320"/>
      <c r="I4252" s="309"/>
      <c r="J4252" s="388"/>
      <c r="L4252" s="291"/>
      <c r="M4252" s="291"/>
      <c r="N4252" s="291"/>
      <c r="O4252" s="291"/>
      <c r="S4252" s="364"/>
      <c r="Z4252" s="609" t="s">
        <v>4093</v>
      </c>
      <c r="AA4252" s="609" t="s">
        <v>5692</v>
      </c>
    </row>
    <row r="4253" spans="1:27" ht="18">
      <c r="A4253" s="2714"/>
      <c r="B4253" s="371">
        <v>104</v>
      </c>
      <c r="C4253" s="371"/>
      <c r="D4253" s="2716">
        <f t="shared" si="469"/>
        <v>1</v>
      </c>
      <c r="E4253" s="2721">
        <v>1</v>
      </c>
      <c r="F4253" s="294"/>
      <c r="G4253" s="308" t="s">
        <v>4099</v>
      </c>
      <c r="H4253" s="320"/>
      <c r="I4253" s="309"/>
      <c r="J4253" s="388"/>
      <c r="L4253" s="291"/>
      <c r="M4253" s="291"/>
      <c r="N4253" s="291"/>
      <c r="O4253" s="291"/>
      <c r="S4253" s="364"/>
      <c r="Z4253" s="609" t="s">
        <v>4093</v>
      </c>
      <c r="AA4253" s="609" t="s">
        <v>5692</v>
      </c>
    </row>
    <row r="4254" spans="1:27" ht="18">
      <c r="A4254" s="2714"/>
      <c r="B4254" s="371">
        <v>105</v>
      </c>
      <c r="C4254" s="371"/>
      <c r="D4254" s="2716">
        <f t="shared" si="469"/>
        <v>1</v>
      </c>
      <c r="E4254" s="2721">
        <v>1</v>
      </c>
      <c r="F4254" s="294"/>
      <c r="G4254" s="308" t="s">
        <v>4100</v>
      </c>
      <c r="H4254" s="320"/>
      <c r="I4254" s="309"/>
      <c r="J4254" s="388"/>
      <c r="L4254" s="291"/>
      <c r="M4254" s="291"/>
      <c r="N4254" s="291"/>
      <c r="O4254" s="291"/>
      <c r="S4254" s="364"/>
      <c r="Z4254" s="609" t="s">
        <v>4093</v>
      </c>
      <c r="AA4254" s="609" t="s">
        <v>5692</v>
      </c>
    </row>
    <row r="4255" spans="1:27" ht="18">
      <c r="A4255" s="2714"/>
      <c r="B4255" s="371">
        <v>106</v>
      </c>
      <c r="C4255" s="371"/>
      <c r="D4255" s="2716">
        <f t="shared" si="469"/>
        <v>1</v>
      </c>
      <c r="E4255" s="2721">
        <v>1</v>
      </c>
      <c r="F4255" s="294"/>
      <c r="G4255" s="308" t="s">
        <v>932</v>
      </c>
      <c r="H4255" s="320"/>
      <c r="I4255" s="309"/>
      <c r="J4255" s="388"/>
      <c r="L4255" s="291"/>
      <c r="M4255" s="291"/>
      <c r="N4255" s="291"/>
      <c r="O4255" s="291"/>
      <c r="S4255" s="364"/>
      <c r="Z4255" s="609" t="s">
        <v>4093</v>
      </c>
      <c r="AA4255" s="609" t="s">
        <v>5692</v>
      </c>
    </row>
    <row r="4256" spans="1:27" ht="18">
      <c r="A4256" s="2714"/>
      <c r="B4256" s="371">
        <v>107</v>
      </c>
      <c r="C4256" s="371" t="s">
        <v>2791</v>
      </c>
      <c r="D4256" s="2716">
        <f t="shared" si="469"/>
        <v>0</v>
      </c>
      <c r="E4256" s="2721">
        <v>1</v>
      </c>
      <c r="F4256" s="294"/>
      <c r="G4256" s="319" t="s">
        <v>2792</v>
      </c>
      <c r="H4256" s="320"/>
      <c r="I4256" s="309"/>
      <c r="J4256" s="388"/>
      <c r="L4256" s="291"/>
      <c r="M4256" s="291"/>
      <c r="N4256" s="291"/>
      <c r="O4256" s="291"/>
      <c r="S4256" s="364"/>
      <c r="Z4256" s="609" t="s">
        <v>4093</v>
      </c>
      <c r="AA4256" s="609" t="s">
        <v>5692</v>
      </c>
    </row>
    <row r="4257" spans="1:32" ht="18">
      <c r="A4257" s="2714"/>
      <c r="B4257" s="371">
        <v>108</v>
      </c>
      <c r="C4257" s="371" t="s">
        <v>2791</v>
      </c>
      <c r="D4257" s="2716">
        <f t="shared" si="469"/>
        <v>0</v>
      </c>
      <c r="E4257" s="2721">
        <v>1</v>
      </c>
      <c r="F4257" s="294"/>
      <c r="G4257" s="319" t="s">
        <v>2792</v>
      </c>
      <c r="H4257" s="320"/>
      <c r="I4257" s="309"/>
      <c r="J4257" s="388"/>
      <c r="L4257" s="291"/>
      <c r="M4257" s="291"/>
      <c r="N4257" s="291"/>
      <c r="O4257" s="291"/>
      <c r="S4257" s="364"/>
      <c r="Z4257" s="609" t="s">
        <v>4093</v>
      </c>
      <c r="AA4257" s="609" t="s">
        <v>5692</v>
      </c>
    </row>
    <row r="4258" spans="1:32" ht="18.75" thickBot="1">
      <c r="A4258" s="2714"/>
      <c r="B4258" s="371"/>
      <c r="C4258" s="371"/>
      <c r="D4258" s="2716">
        <f t="shared" si="469"/>
        <v>1</v>
      </c>
      <c r="E4258" s="2721" t="s">
        <v>2751</v>
      </c>
      <c r="F4258" s="294"/>
      <c r="G4258" s="374" t="s">
        <v>2752</v>
      </c>
      <c r="H4258" s="596">
        <f>SUMPRODUCT($E4249:$E4257,H4249:H4257)</f>
        <v>0</v>
      </c>
      <c r="I4258" s="596">
        <f>SUMPRODUCT($E4249:$E4257,I4249:I4257)</f>
        <v>0</v>
      </c>
      <c r="J4258" s="546"/>
      <c r="L4258" s="291"/>
      <c r="M4258" s="291"/>
      <c r="N4258" s="291"/>
      <c r="O4258" s="291"/>
      <c r="S4258" s="364"/>
      <c r="Z4258" s="609" t="s">
        <v>4093</v>
      </c>
      <c r="AA4258" s="609" t="s">
        <v>5692</v>
      </c>
    </row>
    <row r="4259" spans="1:32" ht="18">
      <c r="A4259" s="2714"/>
      <c r="B4259" s="371"/>
      <c r="C4259" s="371" t="s">
        <v>2755</v>
      </c>
      <c r="D4259" s="371"/>
      <c r="F4259" s="294"/>
      <c r="G4259" s="301"/>
      <c r="H4259" s="315"/>
      <c r="I4259" s="315"/>
      <c r="J4259" s="393"/>
      <c r="K4259" s="349"/>
      <c r="L4259" s="291"/>
      <c r="M4259" s="291"/>
      <c r="N4259" s="291"/>
      <c r="O4259" s="291"/>
      <c r="S4259" s="364"/>
      <c r="Z4259" s="609" t="s">
        <v>4093</v>
      </c>
      <c r="AA4259" s="609" t="s">
        <v>5692</v>
      </c>
    </row>
    <row r="4260" spans="1:32" ht="18">
      <c r="A4260" s="2714">
        <v>2401</v>
      </c>
      <c r="B4260" s="371">
        <v>51</v>
      </c>
      <c r="C4260" s="2716" t="str">
        <f>VLOOKUP($A4260,Sheet_Items,2,0)</f>
        <v>递延收益</v>
      </c>
      <c r="D4260" s="371"/>
      <c r="E4260" s="2716" t="s">
        <v>2739</v>
      </c>
      <c r="F4260" s="294"/>
      <c r="G4260" s="305" t="str">
        <f>B4260&amp;" "&amp;C4260</f>
        <v>51 递延收益</v>
      </c>
      <c r="H4260" s="306"/>
      <c r="I4260" s="306"/>
      <c r="J4260" s="306" t="s">
        <v>2740</v>
      </c>
      <c r="K4260" s="341">
        <f>VLOOKUP($A4260,Sheet_Trialbal,6,0)</f>
        <v>0</v>
      </c>
      <c r="L4260" s="342"/>
      <c r="M4260" s="306" t="s">
        <v>2741</v>
      </c>
      <c r="N4260" s="341">
        <f>VLOOKUP($A4260,Sheet_Trialbal,10,0)</f>
        <v>0</v>
      </c>
      <c r="O4260" s="306"/>
      <c r="P4260" s="301"/>
      <c r="S4260" s="364"/>
      <c r="Z4260" s="609" t="s">
        <v>4101</v>
      </c>
      <c r="AA4260" s="609" t="s">
        <v>5693</v>
      </c>
    </row>
    <row r="4261" spans="1:32" ht="18">
      <c r="A4261" s="2714" t="s">
        <v>1751</v>
      </c>
      <c r="B4261" s="371">
        <v>1</v>
      </c>
      <c r="C4261" s="371"/>
      <c r="D4261" s="2716" t="str">
        <f>VLOOKUP($A4261,Sheet_NoteList,2,0)</f>
        <v>递延收益情况</v>
      </c>
      <c r="E4261" s="2716" t="s">
        <v>2742</v>
      </c>
      <c r="F4261" s="294"/>
      <c r="G4261" s="307" t="str">
        <f>"("&amp;B4261&amp;")"&amp;D4261</f>
        <v>(1)递延收益情况</v>
      </c>
      <c r="H4261" s="1517" t="str">
        <f>$A4261</f>
        <v>2401a</v>
      </c>
      <c r="I4261" s="343" t="s">
        <v>2743</v>
      </c>
      <c r="J4261" s="301" t="s">
        <v>2744</v>
      </c>
      <c r="K4261" s="2210">
        <f>K4267</f>
        <v>0</v>
      </c>
      <c r="L4261" s="345" t="str">
        <f>IF($I4261="适用",IF(ROUND(K4260-K4261,2)=0,"F/S",ROUND(K4260-K4261,2)),"#N/A")</f>
        <v>F/S</v>
      </c>
      <c r="M4261" s="301" t="s">
        <v>2745</v>
      </c>
      <c r="N4261" s="2210">
        <f>H4267</f>
        <v>0</v>
      </c>
      <c r="O4261" s="345" t="str">
        <f>IF($I4261="适用",IF(ROUND(N4260-N4261,2)=0,"F/S",ROUND(N4260-N4261,2)),"#N/A")</f>
        <v>F/S</v>
      </c>
      <c r="P4261" s="301"/>
      <c r="Q4261" s="290" t="str">
        <f>IF($I4261="不适用","",IF(ROUND(SUM($H$4264:$L$4267),2)=0,"请输入",""))</f>
        <v>请输入</v>
      </c>
      <c r="S4261" s="364"/>
      <c r="Z4261" s="609" t="s">
        <v>4101</v>
      </c>
      <c r="AA4261" s="609" t="s">
        <v>5693</v>
      </c>
    </row>
    <row r="4262" spans="1:32" ht="0.75" customHeight="1" thickBot="1">
      <c r="A4262" s="2714"/>
      <c r="B4262" s="371"/>
      <c r="C4262" s="371"/>
      <c r="D4262" s="371"/>
      <c r="E4262" s="586"/>
      <c r="F4262" s="586"/>
      <c r="G4262" s="586" t="s">
        <v>4102</v>
      </c>
      <c r="H4262" s="371" t="s">
        <v>2904</v>
      </c>
      <c r="I4262" s="371" t="s">
        <v>3255</v>
      </c>
      <c r="J4262" s="371" t="s">
        <v>3256</v>
      </c>
      <c r="K4262" s="371" t="s">
        <v>3241</v>
      </c>
      <c r="L4262" s="371" t="s">
        <v>4070</v>
      </c>
      <c r="M4262" s="291"/>
      <c r="N4262" s="291"/>
      <c r="O4262" s="291"/>
      <c r="S4262" s="364"/>
      <c r="Z4262" s="609" t="s">
        <v>4101</v>
      </c>
      <c r="AA4262" s="609" t="s">
        <v>5693</v>
      </c>
    </row>
    <row r="4263" spans="1:32" ht="18">
      <c r="A4263" s="2714"/>
      <c r="B4263" s="371"/>
      <c r="C4263" s="371"/>
      <c r="D4263" s="371"/>
      <c r="E4263" s="586" t="s">
        <v>2749</v>
      </c>
      <c r="F4263" s="363"/>
      <c r="G4263" s="2411" t="s">
        <v>47</v>
      </c>
      <c r="H4263" s="2475" t="str">
        <f>$V$3</f>
        <v>2018年12月31日</v>
      </c>
      <c r="I4263" s="2416" t="s">
        <v>3027</v>
      </c>
      <c r="J4263" s="2416" t="s">
        <v>3028</v>
      </c>
      <c r="K4263" s="2475" t="str">
        <f>$V$2</f>
        <v>2019年12月31日</v>
      </c>
      <c r="L4263" s="2419" t="s">
        <v>4071</v>
      </c>
      <c r="M4263" s="355" t="s">
        <v>5316</v>
      </c>
      <c r="N4263" s="291"/>
      <c r="O4263" s="291"/>
      <c r="S4263" s="364"/>
      <c r="Z4263" s="609" t="s">
        <v>4101</v>
      </c>
      <c r="AA4263" s="609" t="s">
        <v>5693</v>
      </c>
    </row>
    <row r="4264" spans="1:32" ht="18">
      <c r="A4264" s="2714"/>
      <c r="B4264" s="371">
        <v>101</v>
      </c>
      <c r="C4264" s="371"/>
      <c r="D4264" s="2716">
        <f>IF(OR(G4264="*",G4264="",G4264=0),0,COUNTIF($G$4264:$G$4267,G4264))</f>
        <v>1</v>
      </c>
      <c r="E4264" s="2721">
        <v>1</v>
      </c>
      <c r="F4264" s="294"/>
      <c r="G4264" s="1474" t="s">
        <v>905</v>
      </c>
      <c r="H4264" s="2275"/>
      <c r="I4264" s="2275"/>
      <c r="J4264" s="2275"/>
      <c r="K4264" s="1476">
        <f>H4264+I4264-J4264</f>
        <v>0</v>
      </c>
      <c r="L4264" s="2276"/>
      <c r="M4264" s="1533" t="str">
        <f ca="1">HYPERLINK("#'"&amp;$G$1&amp;"'!"&amp;ADDRESS(ROW(Notes!H4280),COLUMN(Notes!H4280),4),"* 请勿删除此行！点击往勾稽单元格，F5+Enter返回")</f>
        <v>* 请勿删除此行！点击往勾稽单元格，F5+Enter返回</v>
      </c>
      <c r="N4264" s="291"/>
      <c r="O4264" s="291"/>
      <c r="S4264" s="364"/>
      <c r="Z4264" s="609" t="s">
        <v>4101</v>
      </c>
      <c r="AA4264" s="609" t="s">
        <v>5693</v>
      </c>
      <c r="AC4264" s="369" t="s">
        <v>6574</v>
      </c>
    </row>
    <row r="4265" spans="1:32" ht="18">
      <c r="A4265" s="2714"/>
      <c r="B4265" s="371">
        <v>102</v>
      </c>
      <c r="C4265" s="371" t="s">
        <v>2791</v>
      </c>
      <c r="D4265" s="2716">
        <f>IF(OR(G4265="*",G4265="",G4265=0),0,COUNTIF($G$4264:$G$4267,G4265))</f>
        <v>0</v>
      </c>
      <c r="E4265" s="2721">
        <v>1</v>
      </c>
      <c r="F4265" s="294"/>
      <c r="G4265" s="2418" t="s">
        <v>2792</v>
      </c>
      <c r="H4265" s="2275"/>
      <c r="I4265" s="2275"/>
      <c r="J4265" s="2275"/>
      <c r="K4265" s="1476">
        <f>H4265+I4265-J4265</f>
        <v>0</v>
      </c>
      <c r="L4265" s="2276"/>
      <c r="M4265" s="291"/>
      <c r="N4265" s="291"/>
      <c r="O4265" s="291"/>
      <c r="S4265" s="364"/>
      <c r="Z4265" s="609" t="s">
        <v>4101</v>
      </c>
      <c r="AA4265" s="609" t="s">
        <v>5693</v>
      </c>
    </row>
    <row r="4266" spans="1:32" ht="18">
      <c r="A4266" s="2714"/>
      <c r="B4266" s="371">
        <v>103</v>
      </c>
      <c r="C4266" s="371" t="s">
        <v>2791</v>
      </c>
      <c r="D4266" s="2716">
        <f>IF(OR(G4266="*",G4266="",G4266=0),0,COUNTIF($G$4264:$G$4267,G4266))</f>
        <v>0</v>
      </c>
      <c r="E4266" s="2721">
        <v>1</v>
      </c>
      <c r="F4266" s="294"/>
      <c r="G4266" s="2418" t="s">
        <v>2792</v>
      </c>
      <c r="H4266" s="2275"/>
      <c r="I4266" s="2275"/>
      <c r="J4266" s="2275"/>
      <c r="K4266" s="1476">
        <f>H4266+I4266-J4266</f>
        <v>0</v>
      </c>
      <c r="L4266" s="2276"/>
      <c r="M4266" s="291"/>
      <c r="N4266" s="291"/>
      <c r="O4266" s="291"/>
      <c r="S4266" s="364"/>
      <c r="Z4266" s="609" t="s">
        <v>4101</v>
      </c>
      <c r="AA4266" s="609" t="s">
        <v>5693</v>
      </c>
    </row>
    <row r="4267" spans="1:32" ht="18.75" thickBot="1">
      <c r="A4267" s="2714"/>
      <c r="B4267" s="371"/>
      <c r="C4267" s="371"/>
      <c r="D4267" s="2716">
        <f>IF(OR(G4267="*",G4267="",G4267=0),0,COUNTIF($G$4264:$G$4267,G4267))</f>
        <v>1</v>
      </c>
      <c r="E4267" s="2721" t="s">
        <v>2751</v>
      </c>
      <c r="F4267" s="294"/>
      <c r="G4267" s="374" t="s">
        <v>2752</v>
      </c>
      <c r="H4267" s="1478">
        <f>SUMPRODUCT($E4263:$E4266,H4263:H4266)</f>
        <v>0</v>
      </c>
      <c r="I4267" s="1478">
        <f>SUMPRODUCT($E4263:$E4266,I4263:I4266)</f>
        <v>0</v>
      </c>
      <c r="J4267" s="1478">
        <f>SUMPRODUCT($E4263:$E4266,J4263:J4266)</f>
        <v>0</v>
      </c>
      <c r="K4267" s="1478">
        <f>SUMPRODUCT($E4263:$E4266,K4263:K4266)</f>
        <v>0</v>
      </c>
      <c r="L4267" s="2260"/>
      <c r="M4267" s="291"/>
      <c r="N4267" s="291"/>
      <c r="O4267" s="291"/>
      <c r="S4267" s="364"/>
      <c r="Z4267" s="609" t="s">
        <v>4101</v>
      </c>
      <c r="AA4267" s="609" t="s">
        <v>5693</v>
      </c>
    </row>
    <row r="4268" spans="1:32" ht="18">
      <c r="A4268" s="2714"/>
      <c r="B4268" s="371"/>
      <c r="C4268" s="371" t="s">
        <v>2755</v>
      </c>
      <c r="D4268" s="371"/>
      <c r="F4268" s="294"/>
      <c r="G4268" s="301"/>
      <c r="H4268" s="315"/>
      <c r="I4268" s="315"/>
      <c r="J4268" s="315"/>
      <c r="K4268" s="315"/>
      <c r="L4268" s="393"/>
      <c r="M4268" s="291"/>
      <c r="N4268" s="291"/>
      <c r="O4268" s="291"/>
      <c r="S4268" s="364"/>
      <c r="Z4268" s="609" t="s">
        <v>4101</v>
      </c>
      <c r="AA4268" s="609" t="s">
        <v>5693</v>
      </c>
    </row>
    <row r="4269" spans="1:32" ht="24">
      <c r="A4269" s="2714" t="s">
        <v>1756</v>
      </c>
      <c r="B4269" s="371">
        <v>2</v>
      </c>
      <c r="C4269" s="371"/>
      <c r="D4269" s="2716" t="str">
        <f>VLOOKUP($A4269,Sheet_NoteList,2,0)</f>
        <v>递延收益（涉及政府补助的项目）</v>
      </c>
      <c r="E4269" s="2716" t="s">
        <v>6532</v>
      </c>
      <c r="F4269" s="294"/>
      <c r="G4269" s="372" t="str">
        <f>"("&amp;B4269&amp;")"&amp;D4269</f>
        <v>(2)递延收益（涉及政府补助的项目）</v>
      </c>
      <c r="H4269" s="1517" t="str">
        <f>$A4269</f>
        <v>2401b</v>
      </c>
      <c r="I4269" s="343" t="s">
        <v>5253</v>
      </c>
      <c r="J4269" s="301"/>
      <c r="K4269" s="391"/>
      <c r="L4269" s="345"/>
      <c r="M4269" s="301"/>
      <c r="N4269" s="391"/>
      <c r="O4269" s="345"/>
      <c r="P4269" s="301"/>
      <c r="Q4269" s="290" t="str">
        <f>IF($I4269="不适用","",IF(ROUND(SUM($H$4272:$N$4277),2)=0,"请输入",""))</f>
        <v>请输入</v>
      </c>
      <c r="S4269" s="364"/>
      <c r="Z4269" s="609" t="s">
        <v>4101</v>
      </c>
      <c r="AA4269" s="609" t="s">
        <v>5693</v>
      </c>
    </row>
    <row r="4270" spans="1:32" ht="0.75" customHeight="1" thickBot="1">
      <c r="A4270" s="2714"/>
      <c r="B4270" s="371"/>
      <c r="C4270" s="371"/>
      <c r="D4270" s="371"/>
      <c r="E4270" s="586"/>
      <c r="F4270" s="586"/>
      <c r="G4270" s="586" t="s">
        <v>4103</v>
      </c>
      <c r="H4270" s="371" t="s">
        <v>6291</v>
      </c>
      <c r="I4270" s="371" t="s">
        <v>6292</v>
      </c>
      <c r="J4270" s="371" t="s">
        <v>6293</v>
      </c>
      <c r="K4270" s="371" t="s">
        <v>6294</v>
      </c>
      <c r="L4270" s="371" t="s">
        <v>6295</v>
      </c>
      <c r="M4270" s="371" t="s">
        <v>6296</v>
      </c>
      <c r="N4270" s="371" t="s">
        <v>6297</v>
      </c>
      <c r="O4270" s="1604"/>
      <c r="P4270" s="1604"/>
      <c r="Q4270" s="442"/>
      <c r="R4270" s="364"/>
      <c r="Z4270" s="609" t="s">
        <v>4101</v>
      </c>
      <c r="AA4270" s="609" t="s">
        <v>5693</v>
      </c>
    </row>
    <row r="4271" spans="1:32" ht="36">
      <c r="A4271" s="2714"/>
      <c r="B4271" s="371"/>
      <c r="C4271" s="371"/>
      <c r="D4271" s="371"/>
      <c r="E4271" s="586" t="s">
        <v>2749</v>
      </c>
      <c r="F4271" s="363"/>
      <c r="G4271" s="2529" t="s">
        <v>6075</v>
      </c>
      <c r="H4271" s="2532" t="str">
        <f>$V$3</f>
        <v>2018年12月31日</v>
      </c>
      <c r="I4271" s="2526" t="s">
        <v>4010</v>
      </c>
      <c r="J4271" s="2526" t="s">
        <v>4011</v>
      </c>
      <c r="K4271" s="2526" t="s">
        <v>4104</v>
      </c>
      <c r="L4271" s="2526" t="s">
        <v>4012</v>
      </c>
      <c r="M4271" s="2532" t="str">
        <f>$V$2</f>
        <v>2019年12月31日</v>
      </c>
      <c r="N4271" s="2525" t="s">
        <v>5237</v>
      </c>
      <c r="O4271" s="2672" t="s">
        <v>5316</v>
      </c>
      <c r="P4271" s="1604"/>
      <c r="Q4271" s="1604"/>
      <c r="S4271" s="364"/>
      <c r="Z4271" s="609" t="s">
        <v>4101</v>
      </c>
      <c r="AA4271" s="609" t="s">
        <v>5693</v>
      </c>
      <c r="AF4271" s="369" t="s">
        <v>2761</v>
      </c>
    </row>
    <row r="4272" spans="1:32" ht="18">
      <c r="A4272" s="2714"/>
      <c r="B4272" s="371">
        <v>101</v>
      </c>
      <c r="C4272" s="371" t="s">
        <v>2791</v>
      </c>
      <c r="D4272" s="2716">
        <f t="shared" ref="D4272:D4277" si="470">IF(OR(G4272="*",G4272="",G4272=0),0,COUNTIF($G$4272:$G$4277,G4272))</f>
        <v>0</v>
      </c>
      <c r="E4272" s="2721">
        <v>1</v>
      </c>
      <c r="F4272" s="294"/>
      <c r="G4272" s="2530" t="s">
        <v>2792</v>
      </c>
      <c r="H4272" s="2275"/>
      <c r="I4272" s="2275"/>
      <c r="J4272" s="2275"/>
      <c r="K4272" s="2275"/>
      <c r="L4272" s="2275"/>
      <c r="M4272" s="1476">
        <f>SUM(H4272:I4272,-J4272,-K4272,L4272)</f>
        <v>0</v>
      </c>
      <c r="N4272" s="2276"/>
      <c r="O4272" s="2672" t="s">
        <v>6362</v>
      </c>
      <c r="P4272" s="2673" t="s">
        <v>6363</v>
      </c>
      <c r="Q4272" s="1604"/>
      <c r="S4272" s="364"/>
      <c r="Z4272" s="609" t="s">
        <v>4101</v>
      </c>
      <c r="AA4272" s="609" t="s">
        <v>5693</v>
      </c>
      <c r="AF4272" s="369" t="s">
        <v>2761</v>
      </c>
    </row>
    <row r="4273" spans="1:32" ht="18">
      <c r="A4273" s="2714"/>
      <c r="B4273" s="371">
        <v>102</v>
      </c>
      <c r="C4273" s="371" t="s">
        <v>2791</v>
      </c>
      <c r="D4273" s="2716">
        <f t="shared" si="470"/>
        <v>0</v>
      </c>
      <c r="E4273" s="2721">
        <v>1</v>
      </c>
      <c r="F4273" s="294"/>
      <c r="G4273" s="2530" t="s">
        <v>2792</v>
      </c>
      <c r="H4273" s="2275"/>
      <c r="I4273" s="2275"/>
      <c r="J4273" s="2275"/>
      <c r="K4273" s="2275"/>
      <c r="L4273" s="2275"/>
      <c r="M4273" s="1476">
        <f t="shared" ref="M4273:M4276" si="471">SUM(H4273:I4273,-J4273,-K4273,L4273)</f>
        <v>0</v>
      </c>
      <c r="N4273" s="2276"/>
      <c r="O4273" s="1604"/>
      <c r="P4273" s="2673" t="s">
        <v>6364</v>
      </c>
      <c r="Q4273" s="1604"/>
      <c r="S4273" s="364"/>
      <c r="Z4273" s="609" t="s">
        <v>4101</v>
      </c>
      <c r="AA4273" s="609" t="s">
        <v>5693</v>
      </c>
      <c r="AF4273" s="369" t="s">
        <v>2761</v>
      </c>
    </row>
    <row r="4274" spans="1:32" ht="18">
      <c r="A4274" s="2714"/>
      <c r="B4274" s="371">
        <v>103</v>
      </c>
      <c r="C4274" s="371" t="s">
        <v>2791</v>
      </c>
      <c r="D4274" s="2716">
        <f t="shared" si="470"/>
        <v>0</v>
      </c>
      <c r="E4274" s="2721">
        <v>1</v>
      </c>
      <c r="F4274" s="294"/>
      <c r="G4274" s="2530" t="s">
        <v>2792</v>
      </c>
      <c r="H4274" s="2275"/>
      <c r="I4274" s="2275"/>
      <c r="J4274" s="2275"/>
      <c r="K4274" s="2275"/>
      <c r="L4274" s="2275"/>
      <c r="M4274" s="1476">
        <f t="shared" si="471"/>
        <v>0</v>
      </c>
      <c r="N4274" s="2276"/>
      <c r="O4274" s="1604"/>
      <c r="P4274" s="1604"/>
      <c r="Q4274" s="1604"/>
      <c r="S4274" s="364"/>
      <c r="Z4274" s="609" t="s">
        <v>4101</v>
      </c>
      <c r="AA4274" s="609" t="s">
        <v>5693</v>
      </c>
      <c r="AF4274" s="369" t="s">
        <v>2761</v>
      </c>
    </row>
    <row r="4275" spans="1:32" ht="18">
      <c r="A4275" s="2714"/>
      <c r="B4275" s="371">
        <v>104</v>
      </c>
      <c r="C4275" s="371" t="s">
        <v>2791</v>
      </c>
      <c r="D4275" s="2716">
        <f t="shared" si="470"/>
        <v>0</v>
      </c>
      <c r="E4275" s="2721">
        <v>1</v>
      </c>
      <c r="F4275" s="294"/>
      <c r="G4275" s="2530" t="s">
        <v>2792</v>
      </c>
      <c r="H4275" s="2275"/>
      <c r="I4275" s="2275"/>
      <c r="J4275" s="2275"/>
      <c r="K4275" s="2275"/>
      <c r="L4275" s="2275"/>
      <c r="M4275" s="1476">
        <f t="shared" si="471"/>
        <v>0</v>
      </c>
      <c r="N4275" s="2276"/>
      <c r="O4275" s="1604"/>
      <c r="P4275" s="1604"/>
      <c r="Q4275" s="1604"/>
      <c r="S4275" s="364"/>
      <c r="Z4275" s="609" t="s">
        <v>4101</v>
      </c>
      <c r="AA4275" s="609" t="s">
        <v>5693</v>
      </c>
      <c r="AF4275" s="369" t="s">
        <v>2761</v>
      </c>
    </row>
    <row r="4276" spans="1:32" ht="18">
      <c r="A4276" s="2714"/>
      <c r="B4276" s="371">
        <v>105</v>
      </c>
      <c r="C4276" s="371" t="s">
        <v>2791</v>
      </c>
      <c r="D4276" s="2716">
        <f t="shared" si="470"/>
        <v>0</v>
      </c>
      <c r="E4276" s="2721">
        <v>1</v>
      </c>
      <c r="F4276" s="294"/>
      <c r="G4276" s="2530" t="s">
        <v>2792</v>
      </c>
      <c r="H4276" s="2275"/>
      <c r="I4276" s="2275"/>
      <c r="J4276" s="2275"/>
      <c r="K4276" s="2275"/>
      <c r="L4276" s="2275"/>
      <c r="M4276" s="1476">
        <f t="shared" si="471"/>
        <v>0</v>
      </c>
      <c r="N4276" s="2276"/>
      <c r="O4276" s="1604"/>
      <c r="P4276" s="1604"/>
      <c r="Q4276" s="1604"/>
      <c r="S4276" s="364"/>
      <c r="Z4276" s="609" t="s">
        <v>4101</v>
      </c>
      <c r="AA4276" s="609" t="s">
        <v>5693</v>
      </c>
      <c r="AF4276" s="369" t="s">
        <v>2761</v>
      </c>
    </row>
    <row r="4277" spans="1:32" ht="18.75" thickBot="1">
      <c r="A4277" s="2714"/>
      <c r="B4277" s="371"/>
      <c r="C4277" s="371"/>
      <c r="D4277" s="2716">
        <f t="shared" si="470"/>
        <v>1</v>
      </c>
      <c r="E4277" s="2721" t="s">
        <v>4013</v>
      </c>
      <c r="F4277" s="294"/>
      <c r="G4277" s="374" t="s">
        <v>2752</v>
      </c>
      <c r="H4277" s="1478">
        <f t="shared" ref="H4277:M4277" si="472">SUMPRODUCT($E4271:$E4276,H4271:H4276)</f>
        <v>0</v>
      </c>
      <c r="I4277" s="1478">
        <f t="shared" si="472"/>
        <v>0</v>
      </c>
      <c r="J4277" s="1478">
        <f t="shared" si="472"/>
        <v>0</v>
      </c>
      <c r="K4277" s="1478">
        <f t="shared" si="472"/>
        <v>0</v>
      </c>
      <c r="L4277" s="1478">
        <f t="shared" si="472"/>
        <v>0</v>
      </c>
      <c r="M4277" s="1478">
        <f t="shared" si="472"/>
        <v>0</v>
      </c>
      <c r="N4277" s="2260"/>
      <c r="O4277" s="2676" t="str">
        <f ca="1">HYPERLINK("#'"&amp;$G$1&amp;"'!"&amp;ADDRESS(ROW(Notes!H4791),COLUMN(Notes!H4791),4),"* 请勿删除此行！点击往勾稽单元格，F5+Enter返回")</f>
        <v>* 请勿删除此行！点击往勾稽单元格，F5+Enter返回</v>
      </c>
      <c r="P4277" s="1604"/>
      <c r="Q4277" s="1604"/>
      <c r="S4277" s="364"/>
      <c r="Z4277" s="609" t="s">
        <v>4101</v>
      </c>
      <c r="AA4277" s="609" t="s">
        <v>5693</v>
      </c>
      <c r="AC4277" s="369" t="s">
        <v>2794</v>
      </c>
      <c r="AF4277" s="369" t="s">
        <v>2761</v>
      </c>
    </row>
    <row r="4278" spans="1:32" ht="18.75" thickBot="1">
      <c r="A4278" s="2714"/>
      <c r="B4278" s="371"/>
      <c r="C4278" s="371" t="s">
        <v>2755</v>
      </c>
      <c r="D4278" s="371"/>
      <c r="F4278" s="294"/>
      <c r="G4278" s="301"/>
      <c r="H4278" s="527" t="s">
        <v>3002</v>
      </c>
      <c r="I4278" s="315"/>
      <c r="J4278" s="315"/>
      <c r="K4278" s="315"/>
      <c r="L4278" s="315"/>
      <c r="M4278" s="527" t="s">
        <v>3002</v>
      </c>
      <c r="N4278" s="393"/>
      <c r="O4278" s="1604"/>
      <c r="P4278" s="1604"/>
      <c r="Q4278" s="442"/>
      <c r="R4278" s="442"/>
      <c r="S4278" s="364"/>
      <c r="Z4278" s="609" t="s">
        <v>4101</v>
      </c>
      <c r="AA4278" s="609" t="s">
        <v>5693</v>
      </c>
    </row>
    <row r="4279" spans="1:32" ht="18.75" thickTop="1">
      <c r="A4279" s="2714"/>
      <c r="B4279" s="371"/>
      <c r="C4279" s="371" t="s">
        <v>2565</v>
      </c>
      <c r="D4279" s="371"/>
      <c r="F4279" s="294"/>
      <c r="G4279" s="1561" t="s">
        <v>5367</v>
      </c>
      <c r="H4279" s="1550" t="str">
        <f>G4261</f>
        <v>(1)递延收益情况</v>
      </c>
      <c r="I4279" s="1551"/>
      <c r="J4279" s="1551"/>
      <c r="K4279" s="1551"/>
      <c r="L4279" s="1551"/>
      <c r="M4279" s="1552"/>
      <c r="N4279" s="1551"/>
      <c r="O4279" s="1553" t="s">
        <v>5368</v>
      </c>
      <c r="S4279" s="364"/>
      <c r="Z4279" s="609" t="s">
        <v>4101</v>
      </c>
      <c r="AA4279" s="609" t="s">
        <v>5693</v>
      </c>
    </row>
    <row r="4280" spans="1:32" ht="18">
      <c r="A4280" s="2714"/>
      <c r="B4280" s="371"/>
      <c r="C4280" s="371" t="s">
        <v>2565</v>
      </c>
      <c r="D4280" s="371"/>
      <c r="F4280" s="294"/>
      <c r="G4280" s="316" t="str">
        <f>"注释A:"&amp; G4264</f>
        <v>注释A:政府补助</v>
      </c>
      <c r="H4280" s="2252">
        <f ca="1">HYPERLINK("#'"&amp;$G$1&amp;"'!"&amp;ADDRESS(ROW(Notes!H4264),COLUMN(Notes!H4264),4),H4264)</f>
        <v>0</v>
      </c>
      <c r="I4280" s="351"/>
      <c r="J4280" s="351"/>
      <c r="K4280" s="351"/>
      <c r="L4280" s="351"/>
      <c r="M4280" s="2252">
        <f ca="1">HYPERLINK("#'"&amp;$G$1&amp;"'!"&amp;ADDRESS(ROW(Notes!K4264),COLUMN(Notes!K4264),4),K4264)</f>
        <v>0</v>
      </c>
      <c r="N4280" s="351"/>
      <c r="O4280" s="2632" t="str">
        <f>H4261</f>
        <v>2401a</v>
      </c>
      <c r="S4280" s="364"/>
      <c r="Z4280" s="609" t="s">
        <v>4101</v>
      </c>
      <c r="AA4280" s="609" t="s">
        <v>5693</v>
      </c>
    </row>
    <row r="4281" spans="1:32" ht="18">
      <c r="A4281" s="2714"/>
      <c r="B4281" s="371"/>
      <c r="C4281" s="371" t="s">
        <v>2565</v>
      </c>
      <c r="D4281" s="371"/>
      <c r="F4281" s="294"/>
      <c r="G4281" s="316" t="str">
        <f>"本注释B:"&amp; G4277</f>
        <v>本注释B:合       计</v>
      </c>
      <c r="H4281" s="456">
        <f>H4277</f>
        <v>0</v>
      </c>
      <c r="I4281" s="351"/>
      <c r="J4281" s="351"/>
      <c r="K4281" s="351"/>
      <c r="L4281" s="351"/>
      <c r="M4281" s="456">
        <f>M4277</f>
        <v>0</v>
      </c>
      <c r="N4281" s="351"/>
      <c r="O4281" s="2638" t="s">
        <v>1756</v>
      </c>
      <c r="S4281" s="364"/>
      <c r="Z4281" s="609" t="s">
        <v>4101</v>
      </c>
      <c r="AA4281" s="609" t="s">
        <v>5693</v>
      </c>
    </row>
    <row r="4282" spans="1:32" ht="18.75" thickBot="1">
      <c r="A4282" s="2714"/>
      <c r="B4282" s="371"/>
      <c r="C4282" s="371" t="s">
        <v>2565</v>
      </c>
      <c r="D4282" s="371"/>
      <c r="F4282" s="294"/>
      <c r="G4282" s="1562" t="s">
        <v>2757</v>
      </c>
      <c r="H4282" s="1531">
        <f ca="1">IF(AND(H4280="",H4281=""),"",ROUND(H4280-H4281,2))</f>
        <v>0</v>
      </c>
      <c r="I4282" s="1555"/>
      <c r="J4282" s="1555"/>
      <c r="K4282" s="1555"/>
      <c r="L4282" s="1555"/>
      <c r="M4282" s="1531">
        <f ca="1">IF(AND(M4280="",M4281=""),"",ROUND(M4280-M4281,2))</f>
        <v>0</v>
      </c>
      <c r="N4282" s="1555"/>
      <c r="O4282" s="1555"/>
      <c r="S4282" s="364"/>
      <c r="Z4282" s="609" t="s">
        <v>4101</v>
      </c>
      <c r="AA4282" s="609" t="s">
        <v>5693</v>
      </c>
    </row>
    <row r="4283" spans="1:32" ht="18.75" thickTop="1">
      <c r="A4283" s="2714"/>
      <c r="B4283" s="371"/>
      <c r="C4283" s="371" t="s">
        <v>2565</v>
      </c>
      <c r="D4283" s="371"/>
      <c r="F4283" s="294"/>
      <c r="G4283" s="354"/>
      <c r="H4283" s="459" t="str">
        <f ca="1">IF(OR(H4282=0,H4282=""),"√","？")</f>
        <v>√</v>
      </c>
      <c r="I4283" s="317"/>
      <c r="J4283" s="317"/>
      <c r="K4283" s="317"/>
      <c r="L4283" s="317"/>
      <c r="M4283" s="459" t="str">
        <f ca="1">IF(OR(M4282=0,M4282=""),"√","？")</f>
        <v>√</v>
      </c>
      <c r="N4283" s="317"/>
      <c r="O4283" s="354"/>
      <c r="S4283" s="364"/>
      <c r="Z4283" s="609" t="s">
        <v>4101</v>
      </c>
      <c r="AA4283" s="609" t="s">
        <v>5693</v>
      </c>
    </row>
    <row r="4284" spans="1:32" ht="18">
      <c r="A4284" s="2714"/>
      <c r="B4284" s="371"/>
      <c r="C4284" s="371" t="s">
        <v>2565</v>
      </c>
      <c r="D4284" s="371"/>
      <c r="F4284" s="294"/>
      <c r="G4284" s="460" t="s">
        <v>2759</v>
      </c>
      <c r="H4284" s="461"/>
      <c r="I4284" s="317"/>
      <c r="J4284" s="317"/>
      <c r="K4284" s="352">
        <f ca="1">SUMIF($H$4283:$O$4283,"&lt;&gt;√",$H$4282:$O$4282)</f>
        <v>0</v>
      </c>
      <c r="L4284" s="353" t="str">
        <f ca="1">IF(OR(K4284=0,K4284=""),"√","？")</f>
        <v>√</v>
      </c>
      <c r="M4284" s="461"/>
      <c r="N4284" s="317"/>
      <c r="O4284" s="354"/>
      <c r="S4284" s="364"/>
      <c r="Z4284" s="609" t="s">
        <v>4101</v>
      </c>
      <c r="AA4284" s="609" t="s">
        <v>5693</v>
      </c>
    </row>
    <row r="4285" spans="1:32" ht="18">
      <c r="A4285" s="2714"/>
      <c r="B4285" s="371"/>
      <c r="C4285" s="371" t="s">
        <v>2565</v>
      </c>
      <c r="D4285" s="371"/>
      <c r="F4285" s="294"/>
      <c r="G4285" s="354"/>
      <c r="H4285" s="461"/>
      <c r="I4285" s="317"/>
      <c r="J4285" s="317"/>
      <c r="K4285" s="317"/>
      <c r="L4285" s="317"/>
      <c r="M4285" s="461"/>
      <c r="N4285" s="317"/>
      <c r="O4285" s="354"/>
      <c r="S4285" s="364"/>
      <c r="Z4285" s="609" t="s">
        <v>4101</v>
      </c>
      <c r="AA4285" s="609" t="s">
        <v>5693</v>
      </c>
    </row>
    <row r="4286" spans="1:32" ht="18">
      <c r="A4286" s="2714">
        <v>2996</v>
      </c>
      <c r="B4286" s="371">
        <v>52</v>
      </c>
      <c r="C4286" s="2716" t="str">
        <f>VLOOKUP($A4286,Sheet_Items,2,0)</f>
        <v>其他非流动负债</v>
      </c>
      <c r="D4286" s="371"/>
      <c r="E4286" s="2716" t="s">
        <v>2739</v>
      </c>
      <c r="F4286" s="294"/>
      <c r="G4286" s="535" t="str">
        <f>B4286&amp;" "&amp;C4286</f>
        <v>52 其他非流动负债</v>
      </c>
      <c r="H4286" s="306"/>
      <c r="I4286" s="306"/>
      <c r="J4286" s="306" t="s">
        <v>2740</v>
      </c>
      <c r="K4286" s="341">
        <f>VLOOKUP($A4286,Sheet_Trialbal,6,0)</f>
        <v>0</v>
      </c>
      <c r="L4286" s="342"/>
      <c r="M4286" s="306" t="s">
        <v>2741</v>
      </c>
      <c r="N4286" s="341">
        <f>VLOOKUP($A4286,Sheet_Trialbal,10,0)</f>
        <v>0</v>
      </c>
      <c r="O4286" s="306"/>
      <c r="P4286" s="301"/>
      <c r="S4286" s="364"/>
      <c r="Z4286" s="609" t="s">
        <v>4105</v>
      </c>
      <c r="AA4286" s="609" t="s">
        <v>5695</v>
      </c>
    </row>
    <row r="4287" spans="1:32" ht="24">
      <c r="A4287" s="2714" t="s">
        <v>1761</v>
      </c>
      <c r="B4287" s="371">
        <v>1</v>
      </c>
      <c r="C4287" s="371"/>
      <c r="D4287" s="2716" t="str">
        <f>VLOOKUP($A4287,Sheet_NoteList,2,0)</f>
        <v>其他非流动负债明细项目</v>
      </c>
      <c r="E4287" s="2716" t="s">
        <v>2742</v>
      </c>
      <c r="F4287" s="294"/>
      <c r="G4287" s="372" t="str">
        <f>"("&amp;B4287&amp;")"&amp;D4287</f>
        <v>(1)其他非流动负债明细项目</v>
      </c>
      <c r="H4287" s="1517" t="str">
        <f>$A4287</f>
        <v>2996a</v>
      </c>
      <c r="I4287" s="343" t="s">
        <v>2743</v>
      </c>
      <c r="J4287" s="301" t="s">
        <v>2744</v>
      </c>
      <c r="K4287" s="2210">
        <f>H4295</f>
        <v>0</v>
      </c>
      <c r="L4287" s="345" t="str">
        <f>IF($I4287="适用",IF(ROUND(K4286-K4287,2)=0,"F/S",ROUND(K4286-K4287,2)),"#N/A")</f>
        <v>F/S</v>
      </c>
      <c r="M4287" s="301" t="s">
        <v>2745</v>
      </c>
      <c r="N4287" s="2210">
        <f>I4295</f>
        <v>0</v>
      </c>
      <c r="O4287" s="345" t="str">
        <f>IF($I4287="适用",IF(ROUND(N4286-N4287,2)=0,"F/S",ROUND(N4286-N4287,2)),"#N/A")</f>
        <v>F/S</v>
      </c>
      <c r="P4287" s="301"/>
      <c r="Q4287" s="290" t="str">
        <f>IF($I4287="不适用","",IF(ROUND(SUM($H$4290:$I$4295),2)=0,"请输入",""))</f>
        <v>请输入</v>
      </c>
      <c r="S4287" s="364"/>
      <c r="Z4287" s="609" t="s">
        <v>4105</v>
      </c>
      <c r="AA4287" s="609" t="s">
        <v>5695</v>
      </c>
    </row>
    <row r="4288" spans="1:32" ht="0.75" customHeight="1" thickBot="1">
      <c r="A4288" s="2714"/>
      <c r="B4288" s="371"/>
      <c r="C4288" s="371"/>
      <c r="D4288" s="371"/>
      <c r="E4288" s="586"/>
      <c r="F4288" s="518"/>
      <c r="G4288" s="518" t="s">
        <v>4106</v>
      </c>
      <c r="H4288" s="304" t="s">
        <v>2747</v>
      </c>
      <c r="I4288" s="304" t="s">
        <v>2748</v>
      </c>
      <c r="J4288" s="291"/>
      <c r="K4288" s="291"/>
      <c r="L4288" s="291"/>
      <c r="M4288" s="291"/>
      <c r="S4288" s="364"/>
      <c r="Z4288" s="609" t="s">
        <v>4105</v>
      </c>
      <c r="AA4288" s="609" t="s">
        <v>5695</v>
      </c>
    </row>
    <row r="4289" spans="1:27" ht="18">
      <c r="A4289" s="2714"/>
      <c r="B4289" s="371"/>
      <c r="C4289" s="371"/>
      <c r="D4289" s="371"/>
      <c r="E4289" s="586" t="s">
        <v>2749</v>
      </c>
      <c r="F4289" s="363"/>
      <c r="G4289" s="2411" t="s">
        <v>47</v>
      </c>
      <c r="H4289" s="2225" t="str">
        <f>$V$2</f>
        <v>2019年12月31日</v>
      </c>
      <c r="I4289" s="2226" t="str">
        <f>$V$3</f>
        <v>2018年12月31日</v>
      </c>
      <c r="J4289" s="355" t="s">
        <v>5317</v>
      </c>
      <c r="K4289" s="291"/>
      <c r="L4289" s="291"/>
      <c r="M4289" s="291"/>
      <c r="S4289" s="364"/>
      <c r="Z4289" s="609" t="s">
        <v>4105</v>
      </c>
      <c r="AA4289" s="609" t="s">
        <v>5695</v>
      </c>
    </row>
    <row r="4290" spans="1:27" ht="24">
      <c r="A4290" s="2714"/>
      <c r="B4290" s="371">
        <v>101</v>
      </c>
      <c r="C4290" s="371" t="s">
        <v>2791</v>
      </c>
      <c r="D4290" s="2716">
        <f t="shared" ref="D4290:D4295" si="473">IF(OR(G4290="*",G4290="",G4290=0),0,COUNTIF($G$4290:$G$4295,G4290))</f>
        <v>1</v>
      </c>
      <c r="E4290" s="2721">
        <v>1</v>
      </c>
      <c r="F4290" s="294"/>
      <c r="G4290" s="2568" t="s">
        <v>6076</v>
      </c>
      <c r="H4290" s="2275"/>
      <c r="I4290" s="2296"/>
      <c r="J4290" s="291"/>
      <c r="K4290" s="291"/>
      <c r="L4290" s="291"/>
      <c r="M4290" s="291"/>
      <c r="S4290" s="364"/>
      <c r="Z4290" s="609" t="s">
        <v>4105</v>
      </c>
      <c r="AA4290" s="609" t="s">
        <v>5695</v>
      </c>
    </row>
    <row r="4291" spans="1:27" ht="18">
      <c r="A4291" s="2714"/>
      <c r="B4291" s="371">
        <v>102</v>
      </c>
      <c r="C4291" s="371" t="s">
        <v>2791</v>
      </c>
      <c r="D4291" s="2716">
        <f t="shared" si="473"/>
        <v>0</v>
      </c>
      <c r="E4291" s="2721">
        <v>1</v>
      </c>
      <c r="F4291" s="294"/>
      <c r="G4291" s="2418" t="s">
        <v>2792</v>
      </c>
      <c r="H4291" s="2275"/>
      <c r="I4291" s="2296"/>
      <c r="J4291" s="291"/>
      <c r="K4291" s="291"/>
      <c r="L4291" s="291"/>
      <c r="M4291" s="291"/>
      <c r="S4291" s="364"/>
      <c r="Z4291" s="609" t="s">
        <v>4105</v>
      </c>
      <c r="AA4291" s="609" t="s">
        <v>5695</v>
      </c>
    </row>
    <row r="4292" spans="1:27" ht="18">
      <c r="A4292" s="2714"/>
      <c r="B4292" s="371">
        <v>103</v>
      </c>
      <c r="C4292" s="371" t="s">
        <v>2791</v>
      </c>
      <c r="D4292" s="2716">
        <f t="shared" si="473"/>
        <v>0</v>
      </c>
      <c r="E4292" s="2721">
        <v>1</v>
      </c>
      <c r="F4292" s="294"/>
      <c r="G4292" s="2418" t="s">
        <v>2792</v>
      </c>
      <c r="H4292" s="2275"/>
      <c r="I4292" s="2296"/>
      <c r="J4292" s="291"/>
      <c r="K4292" s="291"/>
      <c r="L4292" s="291"/>
      <c r="M4292" s="291"/>
      <c r="S4292" s="364"/>
      <c r="Z4292" s="609" t="s">
        <v>4105</v>
      </c>
      <c r="AA4292" s="609" t="s">
        <v>5695</v>
      </c>
    </row>
    <row r="4293" spans="1:27" ht="18">
      <c r="A4293" s="2714"/>
      <c r="B4293" s="371">
        <v>104</v>
      </c>
      <c r="C4293" s="371" t="s">
        <v>2791</v>
      </c>
      <c r="D4293" s="2716">
        <f t="shared" si="473"/>
        <v>0</v>
      </c>
      <c r="E4293" s="2721">
        <v>1</v>
      </c>
      <c r="F4293" s="294"/>
      <c r="G4293" s="2418" t="s">
        <v>2792</v>
      </c>
      <c r="H4293" s="2275"/>
      <c r="I4293" s="2296"/>
      <c r="J4293" s="291"/>
      <c r="K4293" s="291"/>
      <c r="L4293" s="291"/>
      <c r="M4293" s="291"/>
      <c r="S4293" s="364"/>
      <c r="Z4293" s="609" t="s">
        <v>4105</v>
      </c>
      <c r="AA4293" s="609" t="s">
        <v>5695</v>
      </c>
    </row>
    <row r="4294" spans="1:27" ht="18">
      <c r="A4294" s="2714"/>
      <c r="B4294" s="371">
        <v>105</v>
      </c>
      <c r="C4294" s="371" t="s">
        <v>2791</v>
      </c>
      <c r="D4294" s="2716">
        <f t="shared" si="473"/>
        <v>0</v>
      </c>
      <c r="E4294" s="2721">
        <v>1</v>
      </c>
      <c r="F4294" s="294"/>
      <c r="G4294" s="2418" t="s">
        <v>2792</v>
      </c>
      <c r="H4294" s="2275"/>
      <c r="I4294" s="2296"/>
      <c r="J4294" s="291"/>
      <c r="K4294" s="291"/>
      <c r="L4294" s="291"/>
      <c r="M4294" s="291"/>
      <c r="S4294" s="364"/>
      <c r="Z4294" s="609" t="s">
        <v>4105</v>
      </c>
      <c r="AA4294" s="609" t="s">
        <v>5695</v>
      </c>
    </row>
    <row r="4295" spans="1:27" ht="18.75" thickBot="1">
      <c r="A4295" s="2714"/>
      <c r="B4295" s="371"/>
      <c r="C4295" s="371"/>
      <c r="D4295" s="2716">
        <f t="shared" si="473"/>
        <v>1</v>
      </c>
      <c r="E4295" s="2721" t="s">
        <v>2751</v>
      </c>
      <c r="F4295" s="294"/>
      <c r="G4295" s="374" t="s">
        <v>2752</v>
      </c>
      <c r="H4295" s="1478">
        <f>SUMPRODUCT($E4289:$E4294,H4289:H4294)</f>
        <v>0</v>
      </c>
      <c r="I4295" s="1479">
        <f>SUMPRODUCT($E4289:$E4294,I4289:I4294)</f>
        <v>0</v>
      </c>
      <c r="J4295" s="291"/>
      <c r="K4295" s="291"/>
      <c r="L4295" s="291"/>
      <c r="M4295" s="291"/>
      <c r="S4295" s="364"/>
      <c r="Z4295" s="609" t="s">
        <v>4105</v>
      </c>
      <c r="AA4295" s="609" t="s">
        <v>5695</v>
      </c>
    </row>
    <row r="4296" spans="1:27" ht="18">
      <c r="A4296" s="2714"/>
      <c r="B4296" s="371"/>
      <c r="C4296" s="371" t="s">
        <v>2755</v>
      </c>
      <c r="D4296" s="371"/>
      <c r="F4296" s="294"/>
      <c r="G4296" s="301"/>
      <c r="H4296" s="315"/>
      <c r="I4296" s="315"/>
      <c r="J4296" s="291"/>
      <c r="K4296" s="291"/>
      <c r="L4296" s="291"/>
      <c r="M4296" s="291"/>
      <c r="S4296" s="364"/>
      <c r="Z4296" s="609" t="s">
        <v>4105</v>
      </c>
      <c r="AA4296" s="609" t="s">
        <v>5695</v>
      </c>
    </row>
    <row r="4297" spans="1:27" ht="24">
      <c r="A4297" s="2714" t="s">
        <v>1766</v>
      </c>
      <c r="B4297" s="371">
        <v>2</v>
      </c>
      <c r="C4297" s="371"/>
      <c r="D4297" s="2716" t="str">
        <f>VLOOKUP($A4297,Sheet_NoteList,2,0)</f>
        <v>其他非流动负债补充资料</v>
      </c>
      <c r="E4297" s="2716" t="s">
        <v>6532</v>
      </c>
      <c r="F4297" s="294"/>
      <c r="G4297" s="372" t="str">
        <f>"("&amp;B4297&amp;")"&amp;D4297</f>
        <v>(2)其他非流动负债补充资料</v>
      </c>
      <c r="H4297" s="1517" t="str">
        <f>$A4297</f>
        <v>2996x</v>
      </c>
      <c r="I4297" s="343" t="s">
        <v>5965</v>
      </c>
      <c r="J4297" s="301" t="s">
        <v>5968</v>
      </c>
      <c r="K4297" s="2210">
        <f>K4305</f>
        <v>0</v>
      </c>
      <c r="L4297" s="345"/>
      <c r="M4297" s="301" t="s">
        <v>5964</v>
      </c>
      <c r="N4297" s="2210">
        <f>H4305</f>
        <v>0</v>
      </c>
      <c r="O4297" s="345"/>
      <c r="P4297" s="301"/>
      <c r="S4297" s="364"/>
      <c r="Z4297" s="609" t="s">
        <v>4105</v>
      </c>
      <c r="AA4297" s="609" t="s">
        <v>5695</v>
      </c>
    </row>
    <row r="4298" spans="1:27" ht="0.75" customHeight="1" thickBot="1">
      <c r="A4298" s="2714"/>
      <c r="B4298" s="371"/>
      <c r="C4298" s="371"/>
      <c r="D4298" s="371"/>
      <c r="E4298" s="586"/>
      <c r="F4298" s="586"/>
      <c r="G4298" s="586" t="s">
        <v>4107</v>
      </c>
      <c r="H4298" s="371" t="s">
        <v>2904</v>
      </c>
      <c r="I4298" s="371" t="s">
        <v>3255</v>
      </c>
      <c r="J4298" s="371" t="s">
        <v>3256</v>
      </c>
      <c r="K4298" s="371" t="s">
        <v>3241</v>
      </c>
      <c r="L4298" s="371" t="s">
        <v>3267</v>
      </c>
      <c r="M4298" s="371" t="s">
        <v>3268</v>
      </c>
      <c r="N4298" s="371" t="s">
        <v>3269</v>
      </c>
      <c r="O4298" s="371" t="s">
        <v>3270</v>
      </c>
      <c r="P4298" s="371" t="s">
        <v>3271</v>
      </c>
      <c r="Q4298" s="543" t="s">
        <v>3272</v>
      </c>
      <c r="R4298" s="367"/>
      <c r="S4298" s="364"/>
      <c r="Z4298" s="609" t="s">
        <v>4105</v>
      </c>
      <c r="AA4298" s="609" t="s">
        <v>5695</v>
      </c>
    </row>
    <row r="4299" spans="1:27" ht="18" customHeight="1">
      <c r="A4299" s="2714"/>
      <c r="B4299" s="371"/>
      <c r="C4299" s="371"/>
      <c r="D4299" s="371"/>
      <c r="E4299" s="586" t="s">
        <v>2749</v>
      </c>
      <c r="F4299" s="363"/>
      <c r="G4299" s="2412" t="s">
        <v>47</v>
      </c>
      <c r="H4299" s="2413" t="s">
        <v>3273</v>
      </c>
      <c r="I4299" s="2413" t="s">
        <v>3274</v>
      </c>
      <c r="J4299" s="2413" t="s">
        <v>3275</v>
      </c>
      <c r="K4299" s="2413" t="s">
        <v>3276</v>
      </c>
      <c r="L4299" s="2413" t="s">
        <v>2544</v>
      </c>
      <c r="M4299" s="2413" t="s">
        <v>2549</v>
      </c>
      <c r="N4299" s="2413" t="s">
        <v>3277</v>
      </c>
      <c r="O4299" s="2413" t="s">
        <v>3278</v>
      </c>
      <c r="P4299" s="2413" t="s">
        <v>3279</v>
      </c>
      <c r="Q4299" s="2414" t="s">
        <v>3280</v>
      </c>
      <c r="R4299" s="355" t="s">
        <v>6141</v>
      </c>
      <c r="S4299" s="364"/>
      <c r="Z4299" s="609" t="s">
        <v>4105</v>
      </c>
      <c r="AA4299" s="609" t="s">
        <v>5695</v>
      </c>
    </row>
    <row r="4300" spans="1:27" ht="18" customHeight="1">
      <c r="A4300" s="2714"/>
      <c r="B4300" s="371">
        <v>101</v>
      </c>
      <c r="C4300" s="371" t="s">
        <v>2791</v>
      </c>
      <c r="D4300" s="371">
        <f t="shared" ref="D4300:D4305" si="474">IF(OR(G4300="*",G4300="",G4300=0),0,COUNTIF($G$4300:$G$4305,G4300))</f>
        <v>0</v>
      </c>
      <c r="E4300" s="2721">
        <v>1</v>
      </c>
      <c r="F4300" s="294"/>
      <c r="G4300" s="2418" t="s">
        <v>2792</v>
      </c>
      <c r="H4300" s="2275"/>
      <c r="I4300" s="2275"/>
      <c r="J4300" s="2275"/>
      <c r="K4300" s="1476">
        <f>H4300+I4300-J4300</f>
        <v>0</v>
      </c>
      <c r="L4300" s="2275"/>
      <c r="M4300" s="2275"/>
      <c r="N4300" s="2275"/>
      <c r="O4300" s="2298"/>
      <c r="P4300" s="2298"/>
      <c r="Q4300" s="2276"/>
      <c r="R4300" s="613"/>
      <c r="S4300" s="364"/>
      <c r="Z4300" s="609" t="s">
        <v>4105</v>
      </c>
      <c r="AA4300" s="609" t="s">
        <v>5695</v>
      </c>
    </row>
    <row r="4301" spans="1:27" ht="18" customHeight="1">
      <c r="A4301" s="2714"/>
      <c r="B4301" s="371">
        <v>102</v>
      </c>
      <c r="C4301" s="371" t="s">
        <v>2791</v>
      </c>
      <c r="D4301" s="371">
        <f t="shared" si="474"/>
        <v>0</v>
      </c>
      <c r="E4301" s="2721">
        <v>1</v>
      </c>
      <c r="F4301" s="294"/>
      <c r="G4301" s="2418" t="s">
        <v>2792</v>
      </c>
      <c r="H4301" s="2275"/>
      <c r="I4301" s="2275"/>
      <c r="J4301" s="2275"/>
      <c r="K4301" s="1476">
        <f>H4301+I4301-J4301</f>
        <v>0</v>
      </c>
      <c r="L4301" s="2275"/>
      <c r="M4301" s="2275"/>
      <c r="N4301" s="2275"/>
      <c r="O4301" s="2298"/>
      <c r="P4301" s="2298"/>
      <c r="Q4301" s="2276"/>
      <c r="R4301" s="367"/>
      <c r="S4301" s="364"/>
      <c r="Z4301" s="609" t="s">
        <v>4105</v>
      </c>
      <c r="AA4301" s="609" t="s">
        <v>5695</v>
      </c>
    </row>
    <row r="4302" spans="1:27" ht="18" customHeight="1">
      <c r="A4302" s="2714"/>
      <c r="B4302" s="371">
        <v>103</v>
      </c>
      <c r="C4302" s="371" t="s">
        <v>2791</v>
      </c>
      <c r="D4302" s="371">
        <f t="shared" si="474"/>
        <v>0</v>
      </c>
      <c r="E4302" s="2721">
        <v>1</v>
      </c>
      <c r="F4302" s="294"/>
      <c r="G4302" s="2418" t="s">
        <v>2792</v>
      </c>
      <c r="H4302" s="2275"/>
      <c r="I4302" s="2275"/>
      <c r="J4302" s="2275"/>
      <c r="K4302" s="1476">
        <f>H4302+I4302-J4302</f>
        <v>0</v>
      </c>
      <c r="L4302" s="2275"/>
      <c r="M4302" s="2275"/>
      <c r="N4302" s="2275"/>
      <c r="O4302" s="2298"/>
      <c r="P4302" s="2298"/>
      <c r="Q4302" s="2276"/>
      <c r="R4302" s="367"/>
      <c r="S4302" s="364"/>
      <c r="Z4302" s="609" t="s">
        <v>4105</v>
      </c>
      <c r="AA4302" s="609" t="s">
        <v>5695</v>
      </c>
    </row>
    <row r="4303" spans="1:27" ht="18" customHeight="1">
      <c r="A4303" s="2714"/>
      <c r="B4303" s="371">
        <v>104</v>
      </c>
      <c r="C4303" s="371" t="s">
        <v>2791</v>
      </c>
      <c r="D4303" s="371">
        <f t="shared" si="474"/>
        <v>0</v>
      </c>
      <c r="E4303" s="2721">
        <v>1</v>
      </c>
      <c r="F4303" s="294"/>
      <c r="G4303" s="2418" t="s">
        <v>2792</v>
      </c>
      <c r="H4303" s="2275"/>
      <c r="I4303" s="2275"/>
      <c r="J4303" s="2275"/>
      <c r="K4303" s="1476">
        <f>H4303+I4303-J4303</f>
        <v>0</v>
      </c>
      <c r="L4303" s="2275"/>
      <c r="M4303" s="2275"/>
      <c r="N4303" s="2275"/>
      <c r="O4303" s="2298"/>
      <c r="P4303" s="2298"/>
      <c r="Q4303" s="2276"/>
      <c r="R4303" s="367"/>
      <c r="S4303" s="364"/>
      <c r="Z4303" s="609" t="s">
        <v>4105</v>
      </c>
      <c r="AA4303" s="609" t="s">
        <v>5695</v>
      </c>
    </row>
    <row r="4304" spans="1:27" ht="18" customHeight="1">
      <c r="A4304" s="2714"/>
      <c r="B4304" s="371">
        <v>105</v>
      </c>
      <c r="C4304" s="371" t="s">
        <v>2791</v>
      </c>
      <c r="D4304" s="371">
        <f t="shared" si="474"/>
        <v>0</v>
      </c>
      <c r="E4304" s="2721">
        <v>1</v>
      </c>
      <c r="F4304" s="294"/>
      <c r="G4304" s="2418" t="s">
        <v>2792</v>
      </c>
      <c r="H4304" s="2275"/>
      <c r="I4304" s="2275"/>
      <c r="J4304" s="2275"/>
      <c r="K4304" s="1476">
        <f>H4304+I4304-J4304</f>
        <v>0</v>
      </c>
      <c r="L4304" s="2275"/>
      <c r="M4304" s="2275"/>
      <c r="N4304" s="2275"/>
      <c r="O4304" s="2298"/>
      <c r="P4304" s="2298"/>
      <c r="Q4304" s="2276"/>
      <c r="R4304" s="367"/>
      <c r="S4304" s="364"/>
      <c r="Z4304" s="609" t="s">
        <v>4105</v>
      </c>
      <c r="AA4304" s="609" t="s">
        <v>5695</v>
      </c>
    </row>
    <row r="4305" spans="1:27" ht="18.75" customHeight="1" thickBot="1">
      <c r="A4305" s="2714"/>
      <c r="B4305" s="371"/>
      <c r="C4305" s="371"/>
      <c r="D4305" s="371">
        <f t="shared" si="474"/>
        <v>1</v>
      </c>
      <c r="E4305" s="2721" t="s">
        <v>2751</v>
      </c>
      <c r="F4305" s="294"/>
      <c r="G4305" s="1529" t="s">
        <v>2752</v>
      </c>
      <c r="H4305" s="1527">
        <f t="shared" ref="H4305:N4305" si="475">SUMPRODUCT($E4299:$E4304,H4299:H4304)</f>
        <v>0</v>
      </c>
      <c r="I4305" s="1527">
        <f t="shared" si="475"/>
        <v>0</v>
      </c>
      <c r="J4305" s="1527">
        <f t="shared" si="475"/>
        <v>0</v>
      </c>
      <c r="K4305" s="1527">
        <f t="shared" si="475"/>
        <v>0</v>
      </c>
      <c r="L4305" s="1527">
        <f t="shared" si="475"/>
        <v>0</v>
      </c>
      <c r="M4305" s="1527">
        <f t="shared" si="475"/>
        <v>0</v>
      </c>
      <c r="N4305" s="1527">
        <f t="shared" si="475"/>
        <v>0</v>
      </c>
      <c r="O4305" s="2316"/>
      <c r="P4305" s="2316"/>
      <c r="Q4305" s="2266"/>
      <c r="R4305" s="367"/>
      <c r="S4305" s="364"/>
      <c r="Z4305" s="609" t="s">
        <v>4105</v>
      </c>
      <c r="AA4305" s="609" t="s">
        <v>5695</v>
      </c>
    </row>
    <row r="4306" spans="1:27" ht="18" customHeight="1">
      <c r="A4306" s="2714"/>
      <c r="B4306" s="371"/>
      <c r="C4306" s="371" t="s">
        <v>2755</v>
      </c>
      <c r="D4306" s="371"/>
      <c r="F4306" s="294"/>
      <c r="G4306" s="301"/>
      <c r="H4306" s="315"/>
      <c r="I4306" s="315"/>
      <c r="J4306" s="315"/>
      <c r="K4306" s="315"/>
      <c r="L4306" s="315"/>
      <c r="M4306" s="315"/>
      <c r="N4306" s="315"/>
      <c r="O4306" s="393"/>
      <c r="P4306" s="393"/>
      <c r="Q4306" s="545"/>
      <c r="R4306" s="367"/>
      <c r="S4306" s="364"/>
      <c r="Z4306" s="609" t="s">
        <v>4105</v>
      </c>
      <c r="AA4306" s="609" t="s">
        <v>5695</v>
      </c>
    </row>
    <row r="4307" spans="1:27" ht="18">
      <c r="A4307" s="2714">
        <v>4001</v>
      </c>
      <c r="B4307" s="371">
        <v>53</v>
      </c>
      <c r="C4307" s="2716" t="str">
        <f>VLOOKUP($A4307,Sheet_Items,2,0)</f>
        <v>实收资本</v>
      </c>
      <c r="D4307" s="371"/>
      <c r="E4307" s="2716" t="s">
        <v>2739</v>
      </c>
      <c r="F4307" s="294"/>
      <c r="G4307" s="535" t="str">
        <f>B4307&amp;" "&amp;C4307</f>
        <v>53 实收资本</v>
      </c>
      <c r="H4307" s="306"/>
      <c r="I4307" s="306"/>
      <c r="J4307" s="306" t="s">
        <v>2740</v>
      </c>
      <c r="K4307" s="341">
        <f>VLOOKUP($A4307,Sheet_Trialbal,6,0)</f>
        <v>0</v>
      </c>
      <c r="L4307" s="342"/>
      <c r="M4307" s="306" t="s">
        <v>2741</v>
      </c>
      <c r="N4307" s="341">
        <f>VLOOKUP($A4307,Sheet_Trialbal,10,0)</f>
        <v>100000000</v>
      </c>
      <c r="O4307" s="306"/>
      <c r="P4307" s="301"/>
      <c r="S4307" s="364"/>
      <c r="Z4307" s="609" t="s">
        <v>4108</v>
      </c>
      <c r="AA4307" s="609" t="s">
        <v>5696</v>
      </c>
    </row>
    <row r="4308" spans="1:27" ht="18">
      <c r="A4308" s="2714" t="s">
        <v>1774</v>
      </c>
      <c r="B4308" s="371">
        <v>1</v>
      </c>
      <c r="C4308" s="371"/>
      <c r="D4308" s="2716" t="str">
        <f>VLOOKUP($A4308,Sheet_NoteList,2,0)</f>
        <v>股本变动情况</v>
      </c>
      <c r="E4308" s="2716" t="s">
        <v>2742</v>
      </c>
      <c r="F4308" s="294"/>
      <c r="G4308" s="307" t="str">
        <f>"("&amp;B4308&amp;")"&amp;D4308</f>
        <v>(1)股本变动情况</v>
      </c>
      <c r="H4308" s="1517" t="str">
        <f>$A4308</f>
        <v>4001a</v>
      </c>
      <c r="I4308" s="343" t="s">
        <v>2743</v>
      </c>
      <c r="J4308" s="301"/>
      <c r="K4308" s="3071"/>
      <c r="L4308" s="315"/>
      <c r="M4308" s="301"/>
      <c r="N4308" s="3071"/>
      <c r="O4308" s="315"/>
      <c r="P4308" s="301"/>
      <c r="Q4308" s="290" t="str">
        <f>IF($I4308="不适用","",IF(ROUND(SUM($H$4313:$N$4315),2)=0,"请输入",""))</f>
        <v>请输入</v>
      </c>
      <c r="S4308" s="364"/>
      <c r="Z4308" s="609" t="s">
        <v>4108</v>
      </c>
      <c r="AA4308" s="609" t="s">
        <v>5696</v>
      </c>
    </row>
    <row r="4309" spans="1:27" ht="0.75" customHeight="1">
      <c r="A4309" s="2714"/>
      <c r="B4309" s="371"/>
      <c r="C4309" s="371"/>
      <c r="D4309" s="371"/>
      <c r="F4309" s="304"/>
      <c r="G4309" s="304" t="s">
        <v>4109</v>
      </c>
      <c r="H4309" s="304" t="s">
        <v>4110</v>
      </c>
      <c r="I4309" s="304" t="s">
        <v>4111</v>
      </c>
      <c r="J4309" s="304" t="s">
        <v>4112</v>
      </c>
      <c r="K4309" s="304" t="s">
        <v>4113</v>
      </c>
      <c r="L4309" s="304" t="s">
        <v>4114</v>
      </c>
      <c r="M4309" s="304" t="s">
        <v>4115</v>
      </c>
      <c r="N4309" s="304" t="s">
        <v>4116</v>
      </c>
      <c r="P4309" s="387"/>
      <c r="Q4309" s="367"/>
      <c r="R4309" s="367"/>
      <c r="S4309" s="364"/>
      <c r="T4309" s="291"/>
      <c r="Z4309" s="609" t="s">
        <v>4108</v>
      </c>
      <c r="AA4309" s="609" t="s">
        <v>5696</v>
      </c>
    </row>
    <row r="4310" spans="1:27" ht="0.75" customHeight="1" thickBot="1">
      <c r="A4310" s="2714"/>
      <c r="B4310" s="371"/>
      <c r="C4310" s="371"/>
      <c r="D4310" s="371"/>
      <c r="F4310" s="304"/>
      <c r="G4310" s="304"/>
      <c r="H4310" s="304" t="s">
        <v>4117</v>
      </c>
      <c r="I4310" s="304" t="s">
        <v>4118</v>
      </c>
      <c r="J4310" s="304" t="s">
        <v>4119</v>
      </c>
      <c r="K4310" s="304" t="s">
        <v>4120</v>
      </c>
      <c r="L4310" s="304" t="s">
        <v>4121</v>
      </c>
      <c r="M4310" s="304" t="s">
        <v>4122</v>
      </c>
      <c r="N4310" s="304" t="s">
        <v>4123</v>
      </c>
      <c r="O4310" s="367"/>
      <c r="P4310" s="367"/>
      <c r="S4310" s="364"/>
      <c r="T4310" s="291"/>
      <c r="Z4310" s="609" t="s">
        <v>4108</v>
      </c>
      <c r="AA4310" s="609" t="s">
        <v>5696</v>
      </c>
    </row>
    <row r="4311" spans="1:27" ht="24" customHeight="1">
      <c r="A4311" s="2714"/>
      <c r="B4311" s="371"/>
      <c r="C4311" s="371"/>
      <c r="D4311" s="371"/>
      <c r="E4311" s="2716" t="s">
        <v>2749</v>
      </c>
      <c r="F4311" s="294"/>
      <c r="G4311" s="3252" t="s">
        <v>1776</v>
      </c>
      <c r="H4311" s="3256" t="str">
        <f>$V$3</f>
        <v>2018年12月31日</v>
      </c>
      <c r="I4311" s="3204" t="s">
        <v>6077</v>
      </c>
      <c r="J4311" s="3204"/>
      <c r="K4311" s="3204"/>
      <c r="L4311" s="3204"/>
      <c r="M4311" s="3204"/>
      <c r="N4311" s="3196" t="str">
        <f>$V$2</f>
        <v>2019年12月31日</v>
      </c>
      <c r="O4311" s="355" t="s">
        <v>5318</v>
      </c>
      <c r="P4311" s="367"/>
      <c r="S4311" s="364"/>
      <c r="T4311" s="291"/>
      <c r="Z4311" s="609" t="s">
        <v>4108</v>
      </c>
      <c r="AA4311" s="609" t="s">
        <v>5696</v>
      </c>
    </row>
    <row r="4312" spans="1:27" ht="18">
      <c r="A4312" s="2714"/>
      <c r="B4312" s="371"/>
      <c r="C4312" s="371"/>
      <c r="D4312" s="371"/>
      <c r="E4312" s="2716" t="s">
        <v>2749</v>
      </c>
      <c r="F4312" s="294"/>
      <c r="G4312" s="3253"/>
      <c r="H4312" s="3240"/>
      <c r="I4312" s="2601" t="s">
        <v>4124</v>
      </c>
      <c r="J4312" s="2601" t="s">
        <v>4125</v>
      </c>
      <c r="K4312" s="2601" t="s">
        <v>4126</v>
      </c>
      <c r="L4312" s="2601" t="s">
        <v>932</v>
      </c>
      <c r="M4312" s="2601" t="s">
        <v>2939</v>
      </c>
      <c r="N4312" s="3197"/>
      <c r="O4312" s="367"/>
      <c r="P4312" s="367"/>
      <c r="S4312" s="364"/>
      <c r="T4312" s="291"/>
      <c r="Z4312" s="609" t="s">
        <v>4108</v>
      </c>
      <c r="AA4312" s="609" t="s">
        <v>5696</v>
      </c>
    </row>
    <row r="4313" spans="1:27" ht="18">
      <c r="A4313" s="2714"/>
      <c r="B4313" s="371">
        <v>101</v>
      </c>
      <c r="C4313" s="371" t="s">
        <v>2791</v>
      </c>
      <c r="D4313" s="2716">
        <f>IF(OR(G4313="*",G4313="",G4313=0),0,COUNTIF($G$4313:$G$4315,G4313))</f>
        <v>1</v>
      </c>
      <c r="E4313" s="2721">
        <v>1</v>
      </c>
      <c r="F4313" s="294"/>
      <c r="G4313" s="2568" t="s">
        <v>4127</v>
      </c>
      <c r="H4313" s="2597"/>
      <c r="I4313" s="2597"/>
      <c r="J4313" s="2597"/>
      <c r="K4313" s="2597"/>
      <c r="L4313" s="2597"/>
      <c r="M4313" s="2598">
        <f>SUM(I4313:L4313)</f>
        <v>0</v>
      </c>
      <c r="N4313" s="2599">
        <f>H4313+M4313</f>
        <v>0</v>
      </c>
      <c r="O4313" s="367"/>
      <c r="P4313" s="367"/>
      <c r="S4313" s="364"/>
      <c r="T4313" s="291"/>
      <c r="Z4313" s="609" t="s">
        <v>4108</v>
      </c>
      <c r="AA4313" s="609" t="s">
        <v>5696</v>
      </c>
    </row>
    <row r="4314" spans="1:27" ht="18">
      <c r="A4314" s="2714"/>
      <c r="B4314" s="371">
        <v>102</v>
      </c>
      <c r="C4314" s="371" t="s">
        <v>2791</v>
      </c>
      <c r="D4314" s="2716">
        <f>IF(OR(G4314="*",G4314="",G4314=0),0,COUNTIF($G$4313:$G$4315,G4314))</f>
        <v>0</v>
      </c>
      <c r="E4314" s="2721">
        <v>1</v>
      </c>
      <c r="F4314" s="294"/>
      <c r="G4314" s="1494" t="s">
        <v>2792</v>
      </c>
      <c r="H4314" s="2597"/>
      <c r="I4314" s="2597"/>
      <c r="J4314" s="2597"/>
      <c r="K4314" s="2597"/>
      <c r="L4314" s="2597"/>
      <c r="M4314" s="2597"/>
      <c r="N4314" s="2600"/>
      <c r="O4314" s="367"/>
      <c r="P4314" s="367"/>
      <c r="S4314" s="364"/>
      <c r="T4314" s="291"/>
      <c r="Z4314" s="609" t="s">
        <v>4108</v>
      </c>
      <c r="AA4314" s="609" t="s">
        <v>5696</v>
      </c>
    </row>
    <row r="4315" spans="1:27" ht="18.75" thickBot="1">
      <c r="A4315" s="2714"/>
      <c r="B4315" s="371"/>
      <c r="C4315" s="371"/>
      <c r="D4315" s="2716">
        <f>IF(OR(G4315="*",G4315="",G4315=0),0,COUNTIF($G$4313:$G$4315,G4315))</f>
        <v>0</v>
      </c>
      <c r="E4315" s="2721" t="s">
        <v>6568</v>
      </c>
      <c r="F4315" s="294"/>
      <c r="G4315" s="2429"/>
      <c r="H4315" s="2602"/>
      <c r="I4315" s="2602"/>
      <c r="J4315" s="2602"/>
      <c r="K4315" s="2602"/>
      <c r="L4315" s="2602"/>
      <c r="M4315" s="2602"/>
      <c r="N4315" s="2603"/>
      <c r="O4315" s="367"/>
      <c r="P4315" s="367"/>
      <c r="S4315" s="364"/>
      <c r="T4315" s="291"/>
      <c r="Z4315" s="609" t="s">
        <v>4108</v>
      </c>
      <c r="AA4315" s="609" t="s">
        <v>5696</v>
      </c>
    </row>
    <row r="4316" spans="1:27" ht="18">
      <c r="A4316" s="2714"/>
      <c r="B4316" s="371"/>
      <c r="C4316" s="371" t="s">
        <v>2755</v>
      </c>
      <c r="D4316" s="371"/>
      <c r="F4316" s="294"/>
      <c r="G4316" s="301"/>
      <c r="H4316" s="315"/>
      <c r="I4316" s="315"/>
      <c r="J4316" s="315"/>
      <c r="K4316" s="315"/>
      <c r="L4316" s="315"/>
      <c r="M4316" s="315"/>
      <c r="N4316" s="315"/>
      <c r="O4316" s="367"/>
      <c r="P4316" s="367"/>
      <c r="S4316" s="364"/>
      <c r="T4316" s="291"/>
      <c r="Z4316" s="609" t="s">
        <v>4108</v>
      </c>
      <c r="AA4316" s="609" t="s">
        <v>5696</v>
      </c>
    </row>
    <row r="4317" spans="1:27" ht="18">
      <c r="A4317" s="2714" t="s">
        <v>1780</v>
      </c>
      <c r="B4317" s="371">
        <v>2</v>
      </c>
      <c r="C4317" s="371"/>
      <c r="D4317" s="2716" t="str">
        <f>VLOOKUP($A4317,Sheet_NoteList,2,0)</f>
        <v>实收资本变动情况</v>
      </c>
      <c r="E4317" s="2716" t="s">
        <v>2742</v>
      </c>
      <c r="F4317" s="294"/>
      <c r="G4317" s="372" t="str">
        <f>"("&amp;B4317&amp;")"&amp;D4317</f>
        <v>(2)实收资本变动情况</v>
      </c>
      <c r="H4317" s="1517" t="str">
        <f>$A4317</f>
        <v>4001b</v>
      </c>
      <c r="I4317" s="343" t="s">
        <v>2743</v>
      </c>
      <c r="J4317" s="301" t="s">
        <v>2744</v>
      </c>
      <c r="K4317" s="2210">
        <f>I4327</f>
        <v>0</v>
      </c>
      <c r="L4317" s="345" t="str">
        <f>IF($I4317="适用",IF(ROUND(K4307-K4317,2)=0,"F/S",ROUND(K4307-K4317,2)),"#N/A")</f>
        <v>F/S</v>
      </c>
      <c r="M4317" s="301" t="s">
        <v>2745</v>
      </c>
      <c r="N4317" s="2210">
        <f>K4327</f>
        <v>0</v>
      </c>
      <c r="O4317" s="345">
        <f>IF($I4317="适用",IF(ROUND(N4307-N4317,2)=0,"F/S",ROUND(N4307-N4317,2)),"#N/A")</f>
        <v>100000000</v>
      </c>
      <c r="P4317" s="301"/>
      <c r="S4317" s="364"/>
      <c r="Z4317" s="609" t="s">
        <v>4108</v>
      </c>
      <c r="AA4317" s="609" t="s">
        <v>5696</v>
      </c>
    </row>
    <row r="4318" spans="1:27" ht="0.75" customHeight="1">
      <c r="A4318" s="2714"/>
      <c r="B4318" s="371"/>
      <c r="C4318" s="371"/>
      <c r="D4318" s="371"/>
      <c r="E4318" s="586"/>
      <c r="F4318" s="586"/>
      <c r="G4318" s="586" t="s">
        <v>4128</v>
      </c>
      <c r="H4318" s="371" t="s">
        <v>4131</v>
      </c>
      <c r="I4318" s="371" t="s">
        <v>4130</v>
      </c>
      <c r="J4318" s="371" t="s">
        <v>4129</v>
      </c>
      <c r="K4318" s="371" t="s">
        <v>2984</v>
      </c>
      <c r="L4318" s="371" t="s">
        <v>3250</v>
      </c>
      <c r="M4318" s="371" t="s">
        <v>3251</v>
      </c>
      <c r="S4318" s="364"/>
      <c r="Z4318" s="609" t="s">
        <v>4108</v>
      </c>
      <c r="AA4318" s="609" t="s">
        <v>5696</v>
      </c>
    </row>
    <row r="4319" spans="1:27" ht="0.75" customHeight="1" thickBot="1">
      <c r="A4319" s="2714"/>
      <c r="B4319" s="371"/>
      <c r="C4319" s="371"/>
      <c r="D4319" s="371"/>
      <c r="E4319" s="586"/>
      <c r="F4319" s="586"/>
      <c r="G4319" s="586"/>
      <c r="H4319" s="371" t="s">
        <v>4136</v>
      </c>
      <c r="I4319" s="371" t="s">
        <v>4135</v>
      </c>
      <c r="J4319" s="371" t="s">
        <v>4133</v>
      </c>
      <c r="K4319" s="371" t="s">
        <v>4132</v>
      </c>
      <c r="L4319" s="371" t="s">
        <v>4134</v>
      </c>
      <c r="M4319" s="371" t="s">
        <v>3606</v>
      </c>
      <c r="S4319" s="364"/>
      <c r="Z4319" s="609" t="s">
        <v>4108</v>
      </c>
      <c r="AA4319" s="609" t="s">
        <v>5696</v>
      </c>
    </row>
    <row r="4320" spans="1:27" ht="18">
      <c r="A4320" s="2714"/>
      <c r="B4320" s="371"/>
      <c r="C4320" s="371"/>
      <c r="D4320" s="371"/>
      <c r="E4320" s="586" t="s">
        <v>2749</v>
      </c>
      <c r="F4320" s="363"/>
      <c r="G4320" s="3229" t="s">
        <v>6078</v>
      </c>
      <c r="H4320" s="3213" t="s">
        <v>6081</v>
      </c>
      <c r="I4320" s="3213"/>
      <c r="J4320" s="3213" t="s">
        <v>6082</v>
      </c>
      <c r="K4320" s="3213"/>
      <c r="L4320" s="3243" t="s">
        <v>6083</v>
      </c>
      <c r="M4320" s="3246" t="s">
        <v>6084</v>
      </c>
      <c r="N4320" s="355" t="s">
        <v>6085</v>
      </c>
      <c r="S4320" s="364"/>
      <c r="Z4320" s="609" t="s">
        <v>4108</v>
      </c>
      <c r="AA4320" s="609" t="s">
        <v>5696</v>
      </c>
    </row>
    <row r="4321" spans="1:27" ht="18">
      <c r="A4321" s="2714"/>
      <c r="B4321" s="371"/>
      <c r="C4321" s="371"/>
      <c r="D4321" s="371"/>
      <c r="E4321" s="586" t="s">
        <v>2749</v>
      </c>
      <c r="F4321" s="363"/>
      <c r="G4321" s="3230"/>
      <c r="H4321" s="2426" t="s">
        <v>6080</v>
      </c>
      <c r="I4321" s="2438" t="s">
        <v>6079</v>
      </c>
      <c r="J4321" s="2426" t="s">
        <v>6080</v>
      </c>
      <c r="K4321" s="2438" t="s">
        <v>6079</v>
      </c>
      <c r="L4321" s="3244"/>
      <c r="M4321" s="3247"/>
      <c r="S4321" s="364"/>
      <c r="Z4321" s="609" t="s">
        <v>4108</v>
      </c>
      <c r="AA4321" s="609" t="s">
        <v>5696</v>
      </c>
    </row>
    <row r="4322" spans="1:27" ht="18">
      <c r="A4322" s="2714"/>
      <c r="B4322" s="371">
        <v>101</v>
      </c>
      <c r="C4322" s="371" t="s">
        <v>2791</v>
      </c>
      <c r="D4322" s="2716">
        <f t="shared" ref="D4322:D4327" si="476">IF(OR(G4322="*",G4322="",G4322=0),0,COUNTIF($G$4322:$G$4327,G4322))</f>
        <v>0</v>
      </c>
      <c r="E4322" s="2721">
        <v>1</v>
      </c>
      <c r="F4322" s="294"/>
      <c r="G4322" s="2427" t="s">
        <v>2792</v>
      </c>
      <c r="H4322" s="2298"/>
      <c r="I4322" s="2275"/>
      <c r="J4322" s="2298"/>
      <c r="K4322" s="2275"/>
      <c r="L4322" s="2275"/>
      <c r="M4322" s="2296"/>
      <c r="S4322" s="364"/>
      <c r="Z4322" s="609" t="s">
        <v>4108</v>
      </c>
      <c r="AA4322" s="609" t="s">
        <v>5696</v>
      </c>
    </row>
    <row r="4323" spans="1:27" ht="18">
      <c r="A4323" s="2714"/>
      <c r="B4323" s="371">
        <v>102</v>
      </c>
      <c r="C4323" s="371" t="s">
        <v>2791</v>
      </c>
      <c r="D4323" s="2716">
        <f t="shared" si="476"/>
        <v>0</v>
      </c>
      <c r="E4323" s="2721">
        <v>1</v>
      </c>
      <c r="F4323" s="294"/>
      <c r="G4323" s="2427" t="s">
        <v>2792</v>
      </c>
      <c r="H4323" s="2298"/>
      <c r="I4323" s="2275"/>
      <c r="J4323" s="2298"/>
      <c r="K4323" s="2275"/>
      <c r="L4323" s="2275"/>
      <c r="M4323" s="2296"/>
      <c r="S4323" s="364"/>
      <c r="Z4323" s="609" t="s">
        <v>4108</v>
      </c>
      <c r="AA4323" s="609" t="s">
        <v>5696</v>
      </c>
    </row>
    <row r="4324" spans="1:27" ht="18">
      <c r="A4324" s="2714"/>
      <c r="B4324" s="371">
        <v>103</v>
      </c>
      <c r="C4324" s="371" t="s">
        <v>2791</v>
      </c>
      <c r="D4324" s="2716">
        <f t="shared" si="476"/>
        <v>0</v>
      </c>
      <c r="E4324" s="2721">
        <v>1</v>
      </c>
      <c r="F4324" s="294"/>
      <c r="G4324" s="2427" t="s">
        <v>2792</v>
      </c>
      <c r="H4324" s="2298"/>
      <c r="I4324" s="2275"/>
      <c r="J4324" s="2298"/>
      <c r="K4324" s="2275"/>
      <c r="L4324" s="2275"/>
      <c r="M4324" s="2296"/>
      <c r="S4324" s="364"/>
      <c r="Z4324" s="609" t="s">
        <v>4108</v>
      </c>
      <c r="AA4324" s="609" t="s">
        <v>5696</v>
      </c>
    </row>
    <row r="4325" spans="1:27" ht="18">
      <c r="A4325" s="2714"/>
      <c r="B4325" s="371">
        <v>104</v>
      </c>
      <c r="C4325" s="371" t="s">
        <v>2791</v>
      </c>
      <c r="D4325" s="2716">
        <f t="shared" si="476"/>
        <v>0</v>
      </c>
      <c r="E4325" s="2721">
        <v>1</v>
      </c>
      <c r="F4325" s="294"/>
      <c r="G4325" s="2427" t="s">
        <v>2792</v>
      </c>
      <c r="H4325" s="2298"/>
      <c r="I4325" s="2275"/>
      <c r="J4325" s="2298"/>
      <c r="K4325" s="2275"/>
      <c r="L4325" s="2275"/>
      <c r="M4325" s="2296"/>
      <c r="S4325" s="364"/>
      <c r="Z4325" s="609" t="s">
        <v>4108</v>
      </c>
      <c r="AA4325" s="609" t="s">
        <v>5696</v>
      </c>
    </row>
    <row r="4326" spans="1:27" ht="18">
      <c r="A4326" s="2714"/>
      <c r="B4326" s="371">
        <v>105</v>
      </c>
      <c r="C4326" s="371" t="s">
        <v>2791</v>
      </c>
      <c r="D4326" s="2716">
        <f t="shared" si="476"/>
        <v>0</v>
      </c>
      <c r="E4326" s="2721">
        <v>1</v>
      </c>
      <c r="F4326" s="294"/>
      <c r="G4326" s="2427" t="s">
        <v>2792</v>
      </c>
      <c r="H4326" s="2298"/>
      <c r="I4326" s="2275"/>
      <c r="J4326" s="2298"/>
      <c r="K4326" s="2275"/>
      <c r="L4326" s="2275"/>
      <c r="M4326" s="2296"/>
      <c r="S4326" s="364"/>
      <c r="Z4326" s="609" t="s">
        <v>4108</v>
      </c>
      <c r="AA4326" s="609" t="s">
        <v>5696</v>
      </c>
    </row>
    <row r="4327" spans="1:27" ht="18.75" thickBot="1">
      <c r="A4327" s="2714"/>
      <c r="B4327" s="371"/>
      <c r="C4327" s="371"/>
      <c r="D4327" s="2716">
        <f t="shared" si="476"/>
        <v>1</v>
      </c>
      <c r="E4327" s="2721" t="s">
        <v>2751</v>
      </c>
      <c r="F4327" s="294"/>
      <c r="G4327" s="310" t="s">
        <v>2752</v>
      </c>
      <c r="H4327" s="2440">
        <f t="shared" ref="H4327:M4327" si="477">SUMPRODUCT($E4321:$E4326,H4321:H4326)</f>
        <v>0</v>
      </c>
      <c r="I4327" s="1481">
        <f t="shared" si="477"/>
        <v>0</v>
      </c>
      <c r="J4327" s="2440">
        <f t="shared" si="477"/>
        <v>0</v>
      </c>
      <c r="K4327" s="1481">
        <f t="shared" si="477"/>
        <v>0</v>
      </c>
      <c r="L4327" s="2441">
        <f t="shared" si="477"/>
        <v>0</v>
      </c>
      <c r="M4327" s="2442">
        <f t="shared" si="477"/>
        <v>0</v>
      </c>
      <c r="S4327" s="364"/>
      <c r="Z4327" s="609" t="s">
        <v>4108</v>
      </c>
      <c r="AA4327" s="609" t="s">
        <v>5696</v>
      </c>
    </row>
    <row r="4328" spans="1:27" ht="18">
      <c r="A4328" s="2714"/>
      <c r="B4328" s="371"/>
      <c r="C4328" s="371" t="s">
        <v>2755</v>
      </c>
      <c r="D4328" s="371"/>
      <c r="F4328" s="294"/>
      <c r="G4328" s="301"/>
      <c r="H4328" s="393"/>
      <c r="I4328" s="315"/>
      <c r="J4328" s="393"/>
      <c r="K4328" s="315"/>
      <c r="L4328" s="315"/>
      <c r="M4328" s="315"/>
      <c r="S4328" s="364"/>
      <c r="Z4328" s="609" t="s">
        <v>4108</v>
      </c>
      <c r="AA4328" s="609" t="s">
        <v>5696</v>
      </c>
    </row>
    <row r="4329" spans="1:27" ht="18">
      <c r="A4329" s="2714">
        <v>4015</v>
      </c>
      <c r="B4329" s="371">
        <v>54</v>
      </c>
      <c r="C4329" s="2716" t="str">
        <f>VLOOKUP($A4329,Sheet_Items,2,0)</f>
        <v>其他权益工具</v>
      </c>
      <c r="D4329" s="371"/>
      <c r="E4329" s="2716" t="s">
        <v>2739</v>
      </c>
      <c r="F4329" s="294"/>
      <c r="G4329" s="305" t="str">
        <f>B4329&amp;" "&amp;C4329</f>
        <v>54 其他权益工具</v>
      </c>
      <c r="H4329" s="306"/>
      <c r="I4329" s="306"/>
      <c r="J4329" s="306" t="s">
        <v>2740</v>
      </c>
      <c r="K4329" s="341">
        <f>VLOOKUP($A4329,Sheet_Trialbal,6,0)</f>
        <v>0</v>
      </c>
      <c r="L4329" s="342"/>
      <c r="M4329" s="306" t="s">
        <v>2741</v>
      </c>
      <c r="N4329" s="341">
        <f>VLOOKUP($A4329,Sheet_Trialbal,10,0)</f>
        <v>0</v>
      </c>
      <c r="O4329" s="306"/>
      <c r="P4329" s="301"/>
      <c r="S4329" s="364"/>
      <c r="Z4329" s="609" t="s">
        <v>4137</v>
      </c>
      <c r="AA4329" s="609" t="s">
        <v>5697</v>
      </c>
    </row>
    <row r="4330" spans="1:27" ht="36">
      <c r="A4330" s="2714" t="s">
        <v>1790</v>
      </c>
      <c r="B4330" s="371">
        <v>1</v>
      </c>
      <c r="C4330" s="371"/>
      <c r="D4330" s="2716" t="str">
        <f>VLOOKUP($A4330,Sheet_NoteList,2,0)</f>
        <v>期末发行在外的优先股、永续债等其他金融工具基本情况表</v>
      </c>
      <c r="E4330" s="2716" t="s">
        <v>2742</v>
      </c>
      <c r="F4330" s="294"/>
      <c r="G4330" s="372" t="str">
        <f>"("&amp;B4330&amp;")"&amp;D4330</f>
        <v>(1)期末发行在外的优先股、永续债等其他金融工具基本情况表</v>
      </c>
      <c r="H4330" s="1517" t="str">
        <f>$A4330</f>
        <v>4015b</v>
      </c>
      <c r="I4330" s="343" t="s">
        <v>2743</v>
      </c>
      <c r="J4330" s="301" t="s">
        <v>2744</v>
      </c>
      <c r="K4330" s="2210">
        <f>O4338</f>
        <v>0</v>
      </c>
      <c r="L4330" s="345"/>
      <c r="M4330" s="301"/>
      <c r="N4330" s="391"/>
      <c r="O4330" s="345"/>
      <c r="P4330" s="301"/>
      <c r="Q4330" s="290" t="str">
        <f>IF($I4330="不适用","",IF(ROUND(SUM($H$4333:$P$4338),2)=0,"请输入",""))</f>
        <v>请输入</v>
      </c>
      <c r="S4330" s="364"/>
      <c r="Z4330" s="609" t="s">
        <v>4137</v>
      </c>
      <c r="AA4330" s="609" t="s">
        <v>5697</v>
      </c>
    </row>
    <row r="4331" spans="1:27" ht="0.75" customHeight="1" thickBot="1">
      <c r="A4331" s="2714"/>
      <c r="B4331" s="371"/>
      <c r="C4331" s="371"/>
      <c r="D4331" s="371"/>
      <c r="E4331" s="586"/>
      <c r="F4331" s="586"/>
      <c r="G4331" s="586" t="s">
        <v>4138</v>
      </c>
      <c r="H4331" s="371" t="s">
        <v>4031</v>
      </c>
      <c r="I4331" s="371" t="s">
        <v>6298</v>
      </c>
      <c r="J4331" s="371" t="s">
        <v>6299</v>
      </c>
      <c r="K4331" s="371" t="s">
        <v>6300</v>
      </c>
      <c r="L4331" s="371" t="s">
        <v>6301</v>
      </c>
      <c r="M4331" s="371" t="s">
        <v>6302</v>
      </c>
      <c r="N4331" s="371" t="s">
        <v>6303</v>
      </c>
      <c r="O4331" s="371" t="s">
        <v>6304</v>
      </c>
      <c r="P4331" s="612"/>
      <c r="Q4331" s="442"/>
      <c r="R4331" s="443"/>
      <c r="S4331" s="364"/>
      <c r="Z4331" s="609" t="s">
        <v>4137</v>
      </c>
      <c r="AA4331" s="609" t="s">
        <v>5697</v>
      </c>
    </row>
    <row r="4332" spans="1:27" ht="24">
      <c r="A4332" s="2714"/>
      <c r="B4332" s="371"/>
      <c r="C4332" s="371"/>
      <c r="D4332" s="371"/>
      <c r="E4332" s="586" t="s">
        <v>2749</v>
      </c>
      <c r="F4332" s="363"/>
      <c r="G4332" s="2420" t="s">
        <v>1673</v>
      </c>
      <c r="H4332" s="2423" t="s">
        <v>4040</v>
      </c>
      <c r="I4332" s="2423" t="s">
        <v>4041</v>
      </c>
      <c r="J4332" s="2423" t="s">
        <v>4042</v>
      </c>
      <c r="K4332" s="2423" t="s">
        <v>4043</v>
      </c>
      <c r="L4332" s="2423" t="s">
        <v>2887</v>
      </c>
      <c r="M4332" s="2423" t="s">
        <v>4044</v>
      </c>
      <c r="N4332" s="2423" t="s">
        <v>4045</v>
      </c>
      <c r="O4332" s="2424" t="s">
        <v>4046</v>
      </c>
      <c r="P4332" s="355" t="s">
        <v>5319</v>
      </c>
      <c r="Q4332" s="442"/>
      <c r="R4332" s="443"/>
      <c r="S4332" s="364"/>
      <c r="Z4332" s="609" t="s">
        <v>4137</v>
      </c>
      <c r="AA4332" s="609" t="s">
        <v>5697</v>
      </c>
    </row>
    <row r="4333" spans="1:27" ht="18">
      <c r="A4333" s="2714"/>
      <c r="B4333" s="371">
        <v>101</v>
      </c>
      <c r="C4333" s="371" t="s">
        <v>2791</v>
      </c>
      <c r="D4333" s="2716">
        <f t="shared" ref="D4333:D4338" si="478">IF(OR(G4333="*",G4333="",G4333=0),0,COUNTIF($G$4333:$G$4338,G4333))</f>
        <v>0</v>
      </c>
      <c r="E4333" s="2721">
        <v>1</v>
      </c>
      <c r="F4333" s="294"/>
      <c r="G4333" s="2427" t="s">
        <v>2792</v>
      </c>
      <c r="H4333" s="2298"/>
      <c r="I4333" s="2298"/>
      <c r="J4333" s="2275"/>
      <c r="K4333" s="2298"/>
      <c r="L4333" s="1476">
        <f>J4333*K4333</f>
        <v>0</v>
      </c>
      <c r="M4333" s="2298"/>
      <c r="N4333" s="2298"/>
      <c r="O4333" s="2276"/>
      <c r="P4333" s="437"/>
      <c r="Q4333" s="442"/>
      <c r="R4333" s="443"/>
      <c r="S4333" s="364"/>
      <c r="Z4333" s="609" t="s">
        <v>4137</v>
      </c>
      <c r="AA4333" s="609" t="s">
        <v>5697</v>
      </c>
    </row>
    <row r="4334" spans="1:27" ht="18">
      <c r="A4334" s="2714"/>
      <c r="B4334" s="371">
        <v>102</v>
      </c>
      <c r="C4334" s="371" t="s">
        <v>2791</v>
      </c>
      <c r="D4334" s="2716">
        <f t="shared" si="478"/>
        <v>0</v>
      </c>
      <c r="E4334" s="2721">
        <v>1</v>
      </c>
      <c r="F4334" s="294"/>
      <c r="G4334" s="2427" t="s">
        <v>2792</v>
      </c>
      <c r="H4334" s="2298"/>
      <c r="I4334" s="2298"/>
      <c r="J4334" s="2275"/>
      <c r="K4334" s="2298"/>
      <c r="L4334" s="1476">
        <f t="shared" ref="L4334:L4337" si="479">J4334*K4334</f>
        <v>0</v>
      </c>
      <c r="M4334" s="2298"/>
      <c r="N4334" s="2298"/>
      <c r="O4334" s="2276"/>
      <c r="P4334" s="437"/>
      <c r="Q4334" s="442"/>
      <c r="R4334" s="443"/>
      <c r="S4334" s="364"/>
      <c r="Z4334" s="609" t="s">
        <v>4137</v>
      </c>
      <c r="AA4334" s="609" t="s">
        <v>5697</v>
      </c>
    </row>
    <row r="4335" spans="1:27" ht="18">
      <c r="A4335" s="2714"/>
      <c r="B4335" s="371">
        <v>103</v>
      </c>
      <c r="C4335" s="371" t="s">
        <v>2791</v>
      </c>
      <c r="D4335" s="2716">
        <f t="shared" si="478"/>
        <v>0</v>
      </c>
      <c r="E4335" s="2721">
        <v>1</v>
      </c>
      <c r="F4335" s="294"/>
      <c r="G4335" s="2427" t="s">
        <v>2792</v>
      </c>
      <c r="H4335" s="2298"/>
      <c r="I4335" s="2298"/>
      <c r="J4335" s="2275"/>
      <c r="K4335" s="2298"/>
      <c r="L4335" s="1476">
        <f t="shared" si="479"/>
        <v>0</v>
      </c>
      <c r="M4335" s="2298"/>
      <c r="N4335" s="2298"/>
      <c r="O4335" s="2276"/>
      <c r="P4335" s="437"/>
      <c r="Q4335" s="442"/>
      <c r="R4335" s="443"/>
      <c r="S4335" s="364"/>
      <c r="Z4335" s="609" t="s">
        <v>4137</v>
      </c>
      <c r="AA4335" s="609" t="s">
        <v>5697</v>
      </c>
    </row>
    <row r="4336" spans="1:27" ht="18">
      <c r="A4336" s="2714"/>
      <c r="B4336" s="371">
        <v>104</v>
      </c>
      <c r="C4336" s="371" t="s">
        <v>2791</v>
      </c>
      <c r="D4336" s="2716">
        <f t="shared" si="478"/>
        <v>0</v>
      </c>
      <c r="E4336" s="2721">
        <v>1</v>
      </c>
      <c r="F4336" s="294"/>
      <c r="G4336" s="2427" t="s">
        <v>2792</v>
      </c>
      <c r="H4336" s="2298"/>
      <c r="I4336" s="2298"/>
      <c r="J4336" s="2275"/>
      <c r="K4336" s="2298"/>
      <c r="L4336" s="1476">
        <f t="shared" si="479"/>
        <v>0</v>
      </c>
      <c r="M4336" s="2298"/>
      <c r="N4336" s="2298"/>
      <c r="O4336" s="2276"/>
      <c r="P4336" s="437"/>
      <c r="Q4336" s="442"/>
      <c r="R4336" s="443"/>
      <c r="S4336" s="364"/>
      <c r="Z4336" s="609" t="s">
        <v>4137</v>
      </c>
      <c r="AA4336" s="609" t="s">
        <v>5697</v>
      </c>
    </row>
    <row r="4337" spans="1:27" ht="18">
      <c r="A4337" s="2714"/>
      <c r="B4337" s="371">
        <v>105</v>
      </c>
      <c r="C4337" s="371" t="s">
        <v>2791</v>
      </c>
      <c r="D4337" s="2716">
        <f t="shared" si="478"/>
        <v>0</v>
      </c>
      <c r="E4337" s="2721">
        <v>1</v>
      </c>
      <c r="F4337" s="294"/>
      <c r="G4337" s="2427" t="s">
        <v>2792</v>
      </c>
      <c r="H4337" s="2298"/>
      <c r="I4337" s="2298"/>
      <c r="J4337" s="2275"/>
      <c r="K4337" s="2298"/>
      <c r="L4337" s="1476">
        <f t="shared" si="479"/>
        <v>0</v>
      </c>
      <c r="M4337" s="2298"/>
      <c r="N4337" s="2298"/>
      <c r="O4337" s="2276"/>
      <c r="P4337" s="437"/>
      <c r="Q4337" s="442"/>
      <c r="R4337" s="443"/>
      <c r="S4337" s="364"/>
      <c r="Z4337" s="609" t="s">
        <v>4137</v>
      </c>
      <c r="AA4337" s="609" t="s">
        <v>5697</v>
      </c>
    </row>
    <row r="4338" spans="1:27" ht="18.75" thickBot="1">
      <c r="A4338" s="2714"/>
      <c r="B4338" s="371"/>
      <c r="C4338" s="371"/>
      <c r="D4338" s="2716">
        <f t="shared" si="478"/>
        <v>1</v>
      </c>
      <c r="E4338" s="2721" t="s">
        <v>2751</v>
      </c>
      <c r="F4338" s="294"/>
      <c r="G4338" s="2234" t="s">
        <v>2752</v>
      </c>
      <c r="H4338" s="2241"/>
      <c r="I4338" s="2241"/>
      <c r="J4338" s="2308"/>
      <c r="K4338" s="2241"/>
      <c r="L4338" s="2235">
        <f>SUMPRODUCT($E4332:$E4337,L4332:L4337)</f>
        <v>0</v>
      </c>
      <c r="M4338" s="2242">
        <f>SUMPRODUCT($E4332:$E4337,M4332:M4337)</f>
        <v>0</v>
      </c>
      <c r="N4338" s="2241"/>
      <c r="O4338" s="2244"/>
      <c r="P4338" s="437"/>
      <c r="Q4338" s="442"/>
      <c r="R4338" s="443"/>
      <c r="S4338" s="364"/>
      <c r="Z4338" s="609" t="s">
        <v>4137</v>
      </c>
      <c r="AA4338" s="609" t="s">
        <v>5697</v>
      </c>
    </row>
    <row r="4339" spans="1:27" ht="18">
      <c r="A4339" s="2714"/>
      <c r="B4339" s="371"/>
      <c r="C4339" s="371" t="s">
        <v>2755</v>
      </c>
      <c r="D4339" s="371"/>
      <c r="F4339" s="294"/>
      <c r="G4339" s="301"/>
      <c r="H4339" s="393"/>
      <c r="I4339" s="393"/>
      <c r="J4339" s="315"/>
      <c r="K4339" s="393"/>
      <c r="L4339" s="315"/>
      <c r="M4339" s="393"/>
      <c r="N4339" s="393"/>
      <c r="O4339" s="393"/>
      <c r="P4339" s="427"/>
      <c r="Q4339" s="442"/>
      <c r="R4339" s="443"/>
      <c r="S4339" s="364"/>
      <c r="Z4339" s="609" t="s">
        <v>4137</v>
      </c>
      <c r="AA4339" s="609" t="s">
        <v>5697</v>
      </c>
    </row>
    <row r="4340" spans="1:27" ht="36">
      <c r="A4340" s="2714" t="s">
        <v>1795</v>
      </c>
      <c r="B4340" s="371">
        <v>2</v>
      </c>
      <c r="C4340" s="371"/>
      <c r="D4340" s="2716" t="str">
        <f>VLOOKUP($A4340,Sheet_NoteList,2,0)</f>
        <v>期末发行在外的优先股、永续债等金融工具变动情况表</v>
      </c>
      <c r="E4340" s="2716" t="s">
        <v>2742</v>
      </c>
      <c r="F4340" s="294"/>
      <c r="G4340" s="372" t="str">
        <f>"("&amp;B4340&amp;")"&amp;D4340</f>
        <v>(2)期末发行在外的优先股、永续债等金融工具变动情况表</v>
      </c>
      <c r="H4340" s="1517" t="str">
        <f>$A4340</f>
        <v>4015a</v>
      </c>
      <c r="I4340" s="343" t="s">
        <v>2743</v>
      </c>
      <c r="J4340" s="301" t="s">
        <v>2744</v>
      </c>
      <c r="K4340" s="2210">
        <f>O4348</f>
        <v>0</v>
      </c>
      <c r="L4340" s="345" t="str">
        <f>IF($I4340="适用",IF(ROUND(K4329-K4340,2)=0,"F/S",ROUND(K4329-K4340,2)),"#N/A")</f>
        <v>F/S</v>
      </c>
      <c r="M4340" s="301" t="s">
        <v>2745</v>
      </c>
      <c r="N4340" s="2210">
        <f>I4348</f>
        <v>0</v>
      </c>
      <c r="O4340" s="345" t="str">
        <f>IF($I4340="适用",IF(ROUND(N4329-N4340,2)=0,"F/S",ROUND(N4329-N4340,2)),"#N/A")</f>
        <v>F/S</v>
      </c>
      <c r="P4340" s="301"/>
      <c r="Q4340" s="290" t="str">
        <f>IF($I4340="不适用","",IF(ROUND(SUM($H$4345:$O$4348),2)=0,"请输入",""))</f>
        <v>请输入</v>
      </c>
      <c r="S4340" s="364"/>
      <c r="Z4340" s="609" t="s">
        <v>4137</v>
      </c>
      <c r="AA4340" s="609" t="s">
        <v>5697</v>
      </c>
    </row>
    <row r="4341" spans="1:27" ht="0.75" customHeight="1">
      <c r="A4341" s="2714"/>
      <c r="B4341" s="371"/>
      <c r="C4341" s="371"/>
      <c r="D4341" s="371"/>
      <c r="E4341" s="586"/>
      <c r="F4341" s="518"/>
      <c r="G4341" s="518" t="s">
        <v>4139</v>
      </c>
      <c r="H4341" s="304" t="s">
        <v>4048</v>
      </c>
      <c r="I4341" s="304" t="s">
        <v>4049</v>
      </c>
      <c r="J4341" s="304" t="s">
        <v>4050</v>
      </c>
      <c r="K4341" s="304" t="s">
        <v>4051</v>
      </c>
      <c r="L4341" s="304" t="s">
        <v>4052</v>
      </c>
      <c r="M4341" s="304" t="s">
        <v>4053</v>
      </c>
      <c r="N4341" s="304" t="s">
        <v>4054</v>
      </c>
      <c r="O4341" s="304" t="s">
        <v>4055</v>
      </c>
      <c r="S4341" s="364"/>
      <c r="Z4341" s="609" t="s">
        <v>4137</v>
      </c>
      <c r="AA4341" s="609" t="s">
        <v>5697</v>
      </c>
    </row>
    <row r="4342" spans="1:27" ht="0.75" customHeight="1" thickBot="1">
      <c r="A4342" s="2714"/>
      <c r="B4342" s="371"/>
      <c r="C4342" s="371"/>
      <c r="D4342" s="371"/>
      <c r="E4342" s="586"/>
      <c r="F4342" s="518"/>
      <c r="G4342" s="518"/>
      <c r="H4342" s="304" t="s">
        <v>4056</v>
      </c>
      <c r="I4342" s="304" t="s">
        <v>3215</v>
      </c>
      <c r="J4342" s="304" t="s">
        <v>4057</v>
      </c>
      <c r="K4342" s="304" t="s">
        <v>4058</v>
      </c>
      <c r="L4342" s="304" t="s">
        <v>4059</v>
      </c>
      <c r="M4342" s="304" t="s">
        <v>4060</v>
      </c>
      <c r="N4342" s="304" t="s">
        <v>4061</v>
      </c>
      <c r="O4342" s="304" t="s">
        <v>2857</v>
      </c>
      <c r="S4342" s="364"/>
      <c r="Z4342" s="609" t="s">
        <v>4137</v>
      </c>
      <c r="AA4342" s="609" t="s">
        <v>5697</v>
      </c>
    </row>
    <row r="4343" spans="1:27" ht="16.5" customHeight="1">
      <c r="A4343" s="2714"/>
      <c r="B4343" s="371"/>
      <c r="C4343" s="371"/>
      <c r="D4343" s="371"/>
      <c r="E4343" s="586" t="s">
        <v>2749</v>
      </c>
      <c r="F4343" s="363"/>
      <c r="G4343" s="3220" t="s">
        <v>1673</v>
      </c>
      <c r="H4343" s="3183" t="str">
        <f>$V$3</f>
        <v>2018年12月31日</v>
      </c>
      <c r="I4343" s="3185"/>
      <c r="J4343" s="3188" t="s">
        <v>3027</v>
      </c>
      <c r="K4343" s="3188"/>
      <c r="L4343" s="3188" t="s">
        <v>3028</v>
      </c>
      <c r="M4343" s="3188"/>
      <c r="N4343" s="3183" t="str">
        <f>$V$2</f>
        <v>2019年12月31日</v>
      </c>
      <c r="O4343" s="3184"/>
      <c r="P4343" s="355" t="s">
        <v>5319</v>
      </c>
      <c r="S4343" s="364"/>
      <c r="Z4343" s="609" t="s">
        <v>4137</v>
      </c>
      <c r="AA4343" s="609" t="s">
        <v>5697</v>
      </c>
    </row>
    <row r="4344" spans="1:27" ht="18">
      <c r="A4344" s="2714"/>
      <c r="B4344" s="371"/>
      <c r="C4344" s="371"/>
      <c r="D4344" s="371"/>
      <c r="E4344" s="586" t="s">
        <v>2749</v>
      </c>
      <c r="F4344" s="363"/>
      <c r="G4344" s="3221"/>
      <c r="H4344" s="2421" t="s">
        <v>4043</v>
      </c>
      <c r="I4344" s="2421" t="s">
        <v>2863</v>
      </c>
      <c r="J4344" s="2421" t="s">
        <v>4043</v>
      </c>
      <c r="K4344" s="2421" t="s">
        <v>2863</v>
      </c>
      <c r="L4344" s="2421" t="s">
        <v>4043</v>
      </c>
      <c r="M4344" s="2421" t="s">
        <v>2863</v>
      </c>
      <c r="N4344" s="2421" t="s">
        <v>4043</v>
      </c>
      <c r="O4344" s="2422" t="s">
        <v>2863</v>
      </c>
      <c r="S4344" s="364"/>
      <c r="Z4344" s="609" t="s">
        <v>4137</v>
      </c>
      <c r="AA4344" s="609" t="s">
        <v>5697</v>
      </c>
    </row>
    <row r="4345" spans="1:27" ht="18">
      <c r="A4345" s="2714"/>
      <c r="B4345" s="371">
        <v>101</v>
      </c>
      <c r="C4345" s="371" t="s">
        <v>2791</v>
      </c>
      <c r="D4345" s="2716">
        <f>IF(OR(G4345="*",G4345="",G4345=0),0,COUNTIF($G$4345:$G$4348,G4345))</f>
        <v>0</v>
      </c>
      <c r="E4345" s="2721">
        <v>1</v>
      </c>
      <c r="F4345" s="294"/>
      <c r="G4345" s="2427" t="s">
        <v>2792</v>
      </c>
      <c r="H4345" s="2605"/>
      <c r="I4345" s="2275"/>
      <c r="J4345" s="2605"/>
      <c r="K4345" s="2275"/>
      <c r="L4345" s="2605"/>
      <c r="M4345" s="2275"/>
      <c r="N4345" s="2598">
        <f t="shared" ref="N4345:O4347" si="480">SUM(H4345,J4345,-L4345)</f>
        <v>0</v>
      </c>
      <c r="O4345" s="1477">
        <f t="shared" si="480"/>
        <v>0</v>
      </c>
      <c r="S4345" s="364"/>
      <c r="Z4345" s="609" t="s">
        <v>4137</v>
      </c>
      <c r="AA4345" s="609" t="s">
        <v>5697</v>
      </c>
    </row>
    <row r="4346" spans="1:27" ht="18">
      <c r="A4346" s="2714"/>
      <c r="B4346" s="371">
        <v>102</v>
      </c>
      <c r="C4346" s="371" t="s">
        <v>2791</v>
      </c>
      <c r="D4346" s="2716">
        <f>IF(OR(G4346="*",G4346="",G4346=0),0,COUNTIF($G$4345:$G$4348,G4346))</f>
        <v>0</v>
      </c>
      <c r="E4346" s="2721">
        <v>1</v>
      </c>
      <c r="F4346" s="294"/>
      <c r="G4346" s="2427" t="s">
        <v>2792</v>
      </c>
      <c r="H4346" s="2605"/>
      <c r="I4346" s="2275"/>
      <c r="J4346" s="2605"/>
      <c r="K4346" s="2275"/>
      <c r="L4346" s="2605"/>
      <c r="M4346" s="2275"/>
      <c r="N4346" s="2598">
        <f t="shared" si="480"/>
        <v>0</v>
      </c>
      <c r="O4346" s="1477">
        <f t="shared" si="480"/>
        <v>0</v>
      </c>
      <c r="S4346" s="364"/>
      <c r="Z4346" s="609" t="s">
        <v>4137</v>
      </c>
      <c r="AA4346" s="609" t="s">
        <v>5697</v>
      </c>
    </row>
    <row r="4347" spans="1:27" ht="18">
      <c r="A4347" s="2714"/>
      <c r="B4347" s="371">
        <v>103</v>
      </c>
      <c r="C4347" s="371" t="s">
        <v>2791</v>
      </c>
      <c r="D4347" s="2716">
        <f>IF(OR(G4347="*",G4347="",G4347=0),0,COUNTIF($G$4345:$G$4348,G4347))</f>
        <v>0</v>
      </c>
      <c r="E4347" s="2721">
        <v>1</v>
      </c>
      <c r="F4347" s="294"/>
      <c r="G4347" s="2427" t="s">
        <v>2792</v>
      </c>
      <c r="H4347" s="2605"/>
      <c r="I4347" s="2275"/>
      <c r="J4347" s="2605"/>
      <c r="K4347" s="2275"/>
      <c r="L4347" s="2605"/>
      <c r="M4347" s="2275"/>
      <c r="N4347" s="2598">
        <f t="shared" si="480"/>
        <v>0</v>
      </c>
      <c r="O4347" s="1477">
        <f t="shared" si="480"/>
        <v>0</v>
      </c>
      <c r="S4347" s="364"/>
      <c r="Z4347" s="609" t="s">
        <v>4137</v>
      </c>
      <c r="AA4347" s="609" t="s">
        <v>5697</v>
      </c>
    </row>
    <row r="4348" spans="1:27" ht="18.75" thickBot="1">
      <c r="A4348" s="2714"/>
      <c r="B4348" s="371"/>
      <c r="C4348" s="371"/>
      <c r="D4348" s="2716">
        <f>IF(OR(G4348="*",G4348="",G4348=0),0,COUNTIF($G$4345:$G$4348,G4348))</f>
        <v>1</v>
      </c>
      <c r="E4348" s="2721" t="s">
        <v>2751</v>
      </c>
      <c r="F4348" s="294"/>
      <c r="G4348" s="374" t="s">
        <v>2752</v>
      </c>
      <c r="H4348" s="2604">
        <f t="shared" ref="H4348:O4348" si="481">SUMPRODUCT($E4344:$E4347,H4344:H4347)</f>
        <v>0</v>
      </c>
      <c r="I4348" s="1478">
        <f t="shared" si="481"/>
        <v>0</v>
      </c>
      <c r="J4348" s="2604">
        <f t="shared" si="481"/>
        <v>0</v>
      </c>
      <c r="K4348" s="1478">
        <f t="shared" si="481"/>
        <v>0</v>
      </c>
      <c r="L4348" s="2604">
        <f t="shared" si="481"/>
        <v>0</v>
      </c>
      <c r="M4348" s="1478">
        <f t="shared" si="481"/>
        <v>0</v>
      </c>
      <c r="N4348" s="2604">
        <f t="shared" si="481"/>
        <v>0</v>
      </c>
      <c r="O4348" s="1479">
        <f t="shared" si="481"/>
        <v>0</v>
      </c>
      <c r="S4348" s="364"/>
      <c r="Z4348" s="609" t="s">
        <v>4137</v>
      </c>
      <c r="AA4348" s="609" t="s">
        <v>5697</v>
      </c>
    </row>
    <row r="4349" spans="1:27" ht="18">
      <c r="A4349" s="2714"/>
      <c r="B4349" s="371"/>
      <c r="C4349" s="371" t="s">
        <v>2755</v>
      </c>
      <c r="D4349" s="371"/>
      <c r="F4349" s="294"/>
      <c r="G4349" s="301"/>
      <c r="H4349" s="315"/>
      <c r="I4349" s="315"/>
      <c r="J4349" s="315"/>
      <c r="K4349" s="315"/>
      <c r="L4349" s="315"/>
      <c r="M4349" s="315"/>
      <c r="N4349" s="315"/>
      <c r="O4349" s="315"/>
      <c r="S4349" s="364"/>
      <c r="Z4349" s="609" t="s">
        <v>4137</v>
      </c>
      <c r="AA4349" s="609" t="s">
        <v>5697</v>
      </c>
    </row>
    <row r="4350" spans="1:27" ht="18">
      <c r="A4350" s="2714">
        <v>4002</v>
      </c>
      <c r="B4350" s="371">
        <v>55</v>
      </c>
      <c r="C4350" s="2716" t="str">
        <f>VLOOKUP($A4350,Sheet_Items,2,0)</f>
        <v>资本公积</v>
      </c>
      <c r="D4350" s="371"/>
      <c r="E4350" s="2716" t="s">
        <v>2739</v>
      </c>
      <c r="F4350" s="294"/>
      <c r="G4350" s="305" t="str">
        <f>B4350&amp;" "&amp;C4350</f>
        <v>55 资本公积</v>
      </c>
      <c r="H4350" s="306"/>
      <c r="I4350" s="306"/>
      <c r="J4350" s="306" t="s">
        <v>2740</v>
      </c>
      <c r="K4350" s="341">
        <f>VLOOKUP($A4350,Sheet_Trialbal,6,0)</f>
        <v>0</v>
      </c>
      <c r="L4350" s="342"/>
      <c r="M4350" s="306" t="s">
        <v>2741</v>
      </c>
      <c r="N4350" s="341">
        <f>VLOOKUP($A4350,Sheet_Trialbal,10,0)</f>
        <v>0</v>
      </c>
      <c r="O4350" s="306"/>
      <c r="P4350" s="301"/>
      <c r="S4350" s="364"/>
      <c r="Z4350" s="609" t="s">
        <v>4140</v>
      </c>
      <c r="AA4350" s="609" t="s">
        <v>5698</v>
      </c>
    </row>
    <row r="4351" spans="1:27" ht="18">
      <c r="A4351" s="2714" t="s">
        <v>1785</v>
      </c>
      <c r="B4351" s="371">
        <v>1</v>
      </c>
      <c r="C4351" s="371"/>
      <c r="D4351" s="2716" t="str">
        <f>VLOOKUP($A4351,Sheet_NoteList,2,0)</f>
        <v>资本公积变动情况</v>
      </c>
      <c r="E4351" s="2716" t="s">
        <v>2742</v>
      </c>
      <c r="F4351" s="294"/>
      <c r="G4351" s="307" t="str">
        <f>"("&amp;B4351&amp;")"&amp;D4351</f>
        <v>(1)资本公积变动情况</v>
      </c>
      <c r="H4351" s="1517" t="str">
        <f>$A4351</f>
        <v>4002a</v>
      </c>
      <c r="I4351" s="343" t="s">
        <v>2743</v>
      </c>
      <c r="J4351" s="301" t="s">
        <v>2744</v>
      </c>
      <c r="K4351" s="2210">
        <f>K4357</f>
        <v>0</v>
      </c>
      <c r="L4351" s="345" t="str">
        <f>IF($I4351="适用",IF(ROUND(K4350-K4351,2)=0,"F/S",ROUND(K4350-K4351,2)),"#N/A")</f>
        <v>F/S</v>
      </c>
      <c r="M4351" s="301" t="s">
        <v>2745</v>
      </c>
      <c r="N4351" s="2210">
        <f>H4357</f>
        <v>0</v>
      </c>
      <c r="O4351" s="345" t="str">
        <f>IF($I4351="适用",IF(ROUND(N4350-N4351,2)=0,"F/S",ROUND(N4350-N4351,2)),"#N/A")</f>
        <v>F/S</v>
      </c>
      <c r="P4351" s="301"/>
      <c r="Q4351" s="290" t="str">
        <f>IF($I4351="不适用","",IF(ROUND(SUM($H$4354:$K$4357),2)=0,"请输入",""))</f>
        <v>请输入</v>
      </c>
      <c r="S4351" s="364"/>
      <c r="Z4351" s="609" t="s">
        <v>4140</v>
      </c>
      <c r="AA4351" s="609" t="s">
        <v>5698</v>
      </c>
    </row>
    <row r="4352" spans="1:27" ht="0.75" customHeight="1" thickBot="1">
      <c r="A4352" s="2714"/>
      <c r="B4352" s="371"/>
      <c r="C4352" s="371"/>
      <c r="D4352" s="371"/>
      <c r="F4352" s="304"/>
      <c r="G4352" s="304" t="s">
        <v>4141</v>
      </c>
      <c r="H4352" s="304" t="s">
        <v>2904</v>
      </c>
      <c r="I4352" s="304" t="s">
        <v>3255</v>
      </c>
      <c r="J4352" s="304" t="s">
        <v>3256</v>
      </c>
      <c r="K4352" s="304" t="s">
        <v>3241</v>
      </c>
      <c r="L4352" s="291"/>
      <c r="M4352" s="291"/>
      <c r="N4352" s="291"/>
      <c r="O4352" s="291"/>
      <c r="S4352" s="364"/>
      <c r="Z4352" s="609" t="s">
        <v>4140</v>
      </c>
      <c r="AA4352" s="609" t="s">
        <v>5698</v>
      </c>
    </row>
    <row r="4353" spans="1:27" ht="18">
      <c r="A4353" s="2714"/>
      <c r="B4353" s="371"/>
      <c r="C4353" s="371"/>
      <c r="D4353" s="371"/>
      <c r="E4353" s="2716" t="s">
        <v>2749</v>
      </c>
      <c r="F4353" s="294"/>
      <c r="G4353" s="378" t="s">
        <v>47</v>
      </c>
      <c r="H4353" s="2473" t="str">
        <f>$V$3</f>
        <v>2018年12月31日</v>
      </c>
      <c r="I4353" s="398" t="s">
        <v>3027</v>
      </c>
      <c r="J4353" s="398" t="s">
        <v>3028</v>
      </c>
      <c r="K4353" s="1456" t="str">
        <f>$V$2</f>
        <v>2019年12月31日</v>
      </c>
      <c r="L4353" s="355" t="s">
        <v>5320</v>
      </c>
      <c r="M4353" s="291"/>
      <c r="N4353" s="291"/>
      <c r="O4353" s="291"/>
      <c r="S4353" s="364"/>
      <c r="Z4353" s="609" t="s">
        <v>4140</v>
      </c>
      <c r="AA4353" s="609" t="s">
        <v>5698</v>
      </c>
    </row>
    <row r="4354" spans="1:27" ht="18">
      <c r="A4354" s="2714"/>
      <c r="B4354" s="371">
        <v>101</v>
      </c>
      <c r="C4354" s="371"/>
      <c r="D4354" s="2716">
        <f>IF(OR(G4354="*",G4354="",G4354=0),0,COUNTIF($G$4354:$G$4357,G4354))</f>
        <v>1</v>
      </c>
      <c r="E4354" s="2721">
        <v>1</v>
      </c>
      <c r="F4354" s="294"/>
      <c r="G4354" s="380" t="s">
        <v>4142</v>
      </c>
      <c r="H4354" s="383"/>
      <c r="I4354" s="383"/>
      <c r="J4354" s="383"/>
      <c r="K4354" s="562">
        <f>H4354+I4354-J4354</f>
        <v>0</v>
      </c>
      <c r="L4354" s="291"/>
      <c r="M4354" s="291"/>
      <c r="N4354" s="291"/>
      <c r="O4354" s="291"/>
      <c r="S4354" s="364"/>
      <c r="Z4354" s="609" t="s">
        <v>4140</v>
      </c>
      <c r="AA4354" s="609" t="s">
        <v>5698</v>
      </c>
    </row>
    <row r="4355" spans="1:27" ht="18">
      <c r="A4355" s="2714"/>
      <c r="B4355" s="371">
        <v>102</v>
      </c>
      <c r="C4355" s="371"/>
      <c r="D4355" s="2716">
        <f>IF(OR(G4355="*",G4355="",G4355=0),0,COUNTIF($G$4354:$G$4357,G4355))</f>
        <v>1</v>
      </c>
      <c r="E4355" s="2721">
        <v>1</v>
      </c>
      <c r="F4355" s="294"/>
      <c r="G4355" s="380" t="s">
        <v>4143</v>
      </c>
      <c r="H4355" s="383"/>
      <c r="I4355" s="383"/>
      <c r="J4355" s="383"/>
      <c r="K4355" s="562">
        <f>H4355+I4355-J4355</f>
        <v>0</v>
      </c>
      <c r="L4355" s="291"/>
      <c r="M4355" s="291"/>
      <c r="N4355" s="291"/>
      <c r="O4355" s="291"/>
      <c r="S4355" s="364"/>
      <c r="Z4355" s="609" t="s">
        <v>4140</v>
      </c>
      <c r="AA4355" s="609" t="s">
        <v>5698</v>
      </c>
    </row>
    <row r="4356" spans="1:27" ht="18">
      <c r="A4356" s="2714"/>
      <c r="B4356" s="371">
        <v>103</v>
      </c>
      <c r="C4356" s="371" t="s">
        <v>2791</v>
      </c>
      <c r="D4356" s="2716">
        <f>IF(OR(G4356="*",G4356="",G4356=0),0,COUNTIF($G$4354:$G$4357,G4356))</f>
        <v>0</v>
      </c>
      <c r="E4356" s="2721">
        <v>1</v>
      </c>
      <c r="F4356" s="294"/>
      <c r="G4356" s="409" t="s">
        <v>2792</v>
      </c>
      <c r="H4356" s="383"/>
      <c r="I4356" s="383"/>
      <c r="J4356" s="383"/>
      <c r="K4356" s="562">
        <f>H4356+I4356-J4356</f>
        <v>0</v>
      </c>
      <c r="L4356" s="291"/>
      <c r="M4356" s="291"/>
      <c r="N4356" s="291"/>
      <c r="O4356" s="291"/>
      <c r="S4356" s="364"/>
      <c r="Z4356" s="609" t="s">
        <v>4140</v>
      </c>
      <c r="AA4356" s="609" t="s">
        <v>5698</v>
      </c>
    </row>
    <row r="4357" spans="1:27" ht="18.75" thickBot="1">
      <c r="A4357" s="2714"/>
      <c r="B4357" s="371"/>
      <c r="C4357" s="371"/>
      <c r="D4357" s="2716">
        <f>IF(OR(G4357="*",G4357="",G4357=0),0,COUNTIF($G$4354:$G$4357,G4357))</f>
        <v>1</v>
      </c>
      <c r="E4357" s="2721" t="s">
        <v>2751</v>
      </c>
      <c r="F4357" s="294"/>
      <c r="G4357" s="403" t="s">
        <v>2752</v>
      </c>
      <c r="H4357" s="503">
        <f>SUMPRODUCT($E4353:$E4356,H4353:H4356)</f>
        <v>0</v>
      </c>
      <c r="I4357" s="503">
        <f>SUMPRODUCT($E4353:$E4356,I4353:I4356)</f>
        <v>0</v>
      </c>
      <c r="J4357" s="503">
        <f>SUMPRODUCT($E4353:$E4356,J4353:J4356)</f>
        <v>0</v>
      </c>
      <c r="K4357" s="515">
        <f>SUMPRODUCT($E4353:$E4356,K4353:K4356)</f>
        <v>0</v>
      </c>
      <c r="L4357" s="291"/>
      <c r="M4357" s="291"/>
      <c r="N4357" s="291"/>
      <c r="O4357" s="291"/>
      <c r="S4357" s="364"/>
      <c r="Z4357" s="609" t="s">
        <v>4140</v>
      </c>
      <c r="AA4357" s="609" t="s">
        <v>5698</v>
      </c>
    </row>
    <row r="4358" spans="1:27" ht="18">
      <c r="A4358" s="2714"/>
      <c r="B4358" s="371"/>
      <c r="C4358" s="371" t="s">
        <v>2755</v>
      </c>
      <c r="D4358" s="371"/>
      <c r="F4358" s="294"/>
      <c r="G4358" s="301"/>
      <c r="H4358" s="349"/>
      <c r="I4358" s="349"/>
      <c r="J4358" s="349"/>
      <c r="K4358" s="349"/>
      <c r="L4358" s="291"/>
      <c r="M4358" s="291"/>
      <c r="N4358" s="291"/>
      <c r="O4358" s="291"/>
      <c r="S4358" s="364"/>
      <c r="Z4358" s="609" t="s">
        <v>4140</v>
      </c>
      <c r="AA4358" s="609" t="s">
        <v>5698</v>
      </c>
    </row>
    <row r="4359" spans="1:27" ht="18">
      <c r="A4359" s="2714">
        <v>4201</v>
      </c>
      <c r="B4359" s="371">
        <v>56</v>
      </c>
      <c r="C4359" s="2716" t="str">
        <f>VLOOKUP($A4359,Sheet_Items,2,0)</f>
        <v>库存股</v>
      </c>
      <c r="D4359" s="371"/>
      <c r="E4359" s="2716" t="s">
        <v>2739</v>
      </c>
      <c r="F4359" s="294"/>
      <c r="G4359" s="535" t="str">
        <f>B4359&amp;" "&amp;C4359</f>
        <v>56 库存股</v>
      </c>
      <c r="H4359" s="306"/>
      <c r="I4359" s="306"/>
      <c r="J4359" s="306" t="s">
        <v>2740</v>
      </c>
      <c r="K4359" s="341">
        <f>VLOOKUP($A4359,Sheet_Trialbal,6,0)</f>
        <v>0</v>
      </c>
      <c r="L4359" s="342"/>
      <c r="M4359" s="306" t="s">
        <v>2741</v>
      </c>
      <c r="N4359" s="341">
        <f>VLOOKUP($A4359,Sheet_Trialbal,10,0)</f>
        <v>0</v>
      </c>
      <c r="O4359" s="306"/>
      <c r="P4359" s="301"/>
      <c r="S4359" s="364"/>
      <c r="Z4359" s="609" t="s">
        <v>4144</v>
      </c>
      <c r="AA4359" s="609" t="s">
        <v>5699</v>
      </c>
    </row>
    <row r="4360" spans="1:27" ht="18">
      <c r="A4360" s="2714" t="s">
        <v>1828</v>
      </c>
      <c r="B4360" s="371">
        <v>1</v>
      </c>
      <c r="C4360" s="371"/>
      <c r="D4360" s="2716" t="str">
        <f>VLOOKUP($A4360,Sheet_NoteList,2,0)</f>
        <v>库存股变动情况</v>
      </c>
      <c r="E4360" s="2716" t="s">
        <v>2742</v>
      </c>
      <c r="F4360" s="294"/>
      <c r="G4360" s="307" t="str">
        <f>"("&amp;B4360&amp;")"&amp;D4360</f>
        <v>(1)库存股变动情况</v>
      </c>
      <c r="H4360" s="1517" t="str">
        <f>$A4360</f>
        <v>4201a</v>
      </c>
      <c r="I4360" s="343" t="s">
        <v>2743</v>
      </c>
      <c r="J4360" s="301" t="s">
        <v>2744</v>
      </c>
      <c r="K4360" s="2210">
        <f>K4364</f>
        <v>0</v>
      </c>
      <c r="L4360" s="345" t="str">
        <f>IF($I4360="适用",IF(ROUND(K4359-K4360,2)=0,"F/S",ROUND(K4359-K4360,2)),"#N/A")</f>
        <v>F/S</v>
      </c>
      <c r="M4360" s="301" t="s">
        <v>2745</v>
      </c>
      <c r="N4360" s="2210">
        <f>H4364</f>
        <v>0</v>
      </c>
      <c r="O4360" s="345" t="str">
        <f>IF($I4360="适用",IF(ROUND(N4359-N4360,2)=0,"F/S",ROUND(N4359-N4360,2)),"#N/A")</f>
        <v>F/S</v>
      </c>
      <c r="P4360" s="301"/>
      <c r="S4360" s="364"/>
      <c r="Z4360" s="609" t="s">
        <v>4144</v>
      </c>
      <c r="AA4360" s="609" t="s">
        <v>5699</v>
      </c>
    </row>
    <row r="4361" spans="1:27" ht="0.75" customHeight="1" thickBot="1">
      <c r="A4361" s="2714"/>
      <c r="B4361" s="371"/>
      <c r="C4361" s="371"/>
      <c r="D4361" s="371"/>
      <c r="E4361" s="586"/>
      <c r="F4361" s="363"/>
      <c r="G4361" s="363" t="s">
        <v>4145</v>
      </c>
      <c r="H4361" s="294" t="s">
        <v>2904</v>
      </c>
      <c r="I4361" s="294" t="s">
        <v>3255</v>
      </c>
      <c r="J4361" s="294" t="s">
        <v>3256</v>
      </c>
      <c r="K4361" s="294" t="s">
        <v>3241</v>
      </c>
      <c r="L4361" s="291"/>
      <c r="M4361" s="291"/>
      <c r="N4361" s="291"/>
      <c r="O4361" s="291"/>
      <c r="S4361" s="364"/>
      <c r="Z4361" s="609" t="s">
        <v>4144</v>
      </c>
      <c r="AA4361" s="609" t="s">
        <v>5699</v>
      </c>
    </row>
    <row r="4362" spans="1:27" ht="18">
      <c r="A4362" s="2714"/>
      <c r="B4362" s="371"/>
      <c r="C4362" s="371"/>
      <c r="D4362" s="371"/>
      <c r="E4362" s="586" t="s">
        <v>2749</v>
      </c>
      <c r="F4362" s="363"/>
      <c r="G4362" s="2428" t="s">
        <v>47</v>
      </c>
      <c r="H4362" s="2475" t="str">
        <f>$V$3</f>
        <v>2018年12月31日</v>
      </c>
      <c r="I4362" s="2425" t="s">
        <v>3027</v>
      </c>
      <c r="J4362" s="2425" t="s">
        <v>3028</v>
      </c>
      <c r="K4362" s="2480" t="str">
        <f>$V$2</f>
        <v>2019年12月31日</v>
      </c>
      <c r="L4362" s="355" t="s">
        <v>5321</v>
      </c>
      <c r="M4362" s="291"/>
      <c r="N4362" s="291"/>
      <c r="O4362" s="291"/>
      <c r="S4362" s="364"/>
      <c r="Z4362" s="609" t="s">
        <v>4144</v>
      </c>
      <c r="AA4362" s="609" t="s">
        <v>5699</v>
      </c>
    </row>
    <row r="4363" spans="1:27" ht="18">
      <c r="A4363" s="2714"/>
      <c r="B4363" s="371">
        <v>101</v>
      </c>
      <c r="C4363" s="371"/>
      <c r="D4363" s="2716">
        <f>IF(OR(G4363="*",G4363="",G4363=0),0,COUNTIF($G$4363:$G$4364,G4363))</f>
        <v>1</v>
      </c>
      <c r="E4363" s="2721">
        <v>1</v>
      </c>
      <c r="F4363" s="294"/>
      <c r="G4363" s="1474" t="s">
        <v>6086</v>
      </c>
      <c r="H4363" s="2275"/>
      <c r="I4363" s="2275"/>
      <c r="J4363" s="2275"/>
      <c r="K4363" s="1477">
        <f>H4363+I4363-J4363</f>
        <v>0</v>
      </c>
      <c r="L4363" s="291"/>
      <c r="M4363" s="291"/>
      <c r="N4363" s="291"/>
      <c r="O4363" s="291"/>
      <c r="S4363" s="364"/>
      <c r="Z4363" s="609" t="s">
        <v>4144</v>
      </c>
      <c r="AA4363" s="609" t="s">
        <v>5699</v>
      </c>
    </row>
    <row r="4364" spans="1:27" ht="18.75" thickBot="1">
      <c r="A4364" s="2714"/>
      <c r="B4364" s="371"/>
      <c r="C4364" s="371"/>
      <c r="D4364" s="2716">
        <f>IF(OR(G4364="*",G4364="",G4364=0),0,COUNTIF($G$4363:$G$4364,G4364))</f>
        <v>1</v>
      </c>
      <c r="E4364" s="2721" t="s">
        <v>2751</v>
      </c>
      <c r="F4364" s="294"/>
      <c r="G4364" s="374" t="s">
        <v>2752</v>
      </c>
      <c r="H4364" s="1478">
        <f>SUMPRODUCT($E4362:$E4363,H4362:H4363)</f>
        <v>0</v>
      </c>
      <c r="I4364" s="1478">
        <f>SUMPRODUCT($E4362:$E4363,I4362:I4363)</f>
        <v>0</v>
      </c>
      <c r="J4364" s="1478">
        <f>SUMPRODUCT($E4362:$E4363,J4362:J4363)</f>
        <v>0</v>
      </c>
      <c r="K4364" s="1479">
        <f>SUMPRODUCT($E4362:$E4363,K4362:K4363)</f>
        <v>0</v>
      </c>
      <c r="L4364" s="291"/>
      <c r="M4364" s="291"/>
      <c r="N4364" s="291"/>
      <c r="O4364" s="291"/>
      <c r="S4364" s="364"/>
      <c r="Z4364" s="609" t="s">
        <v>4144</v>
      </c>
      <c r="AA4364" s="609" t="s">
        <v>5699</v>
      </c>
    </row>
    <row r="4365" spans="1:27" ht="18">
      <c r="A4365" s="2714"/>
      <c r="B4365" s="371"/>
      <c r="C4365" s="371" t="s">
        <v>2755</v>
      </c>
      <c r="D4365" s="371"/>
      <c r="F4365" s="294"/>
      <c r="G4365" s="301"/>
      <c r="H4365" s="315"/>
      <c r="I4365" s="315"/>
      <c r="J4365" s="315"/>
      <c r="K4365" s="315"/>
      <c r="L4365" s="291"/>
      <c r="M4365" s="291"/>
      <c r="N4365" s="291"/>
      <c r="O4365" s="291"/>
      <c r="S4365" s="364"/>
      <c r="Z4365" s="609" t="s">
        <v>4144</v>
      </c>
      <c r="AA4365" s="609" t="s">
        <v>5699</v>
      </c>
    </row>
    <row r="4366" spans="1:27" ht="18">
      <c r="A4366" s="2714">
        <v>4215</v>
      </c>
      <c r="B4366" s="371">
        <v>57</v>
      </c>
      <c r="C4366" s="2716" t="str">
        <f>VLOOKUP($A4366,Sheet_Items,2,0)</f>
        <v>其他综合收益</v>
      </c>
      <c r="D4366" s="371"/>
      <c r="E4366" s="2716" t="s">
        <v>2739</v>
      </c>
      <c r="F4366" s="294"/>
      <c r="G4366" s="305" t="str">
        <f>B4366&amp;" "&amp;C4366</f>
        <v>57 其他综合收益</v>
      </c>
      <c r="H4366" s="306"/>
      <c r="I4366" s="306"/>
      <c r="J4366" s="306" t="s">
        <v>2740</v>
      </c>
      <c r="K4366" s="341">
        <f>VLOOKUP($A4366,Sheet_Trialbal,6,0)</f>
        <v>0</v>
      </c>
      <c r="L4366" s="342"/>
      <c r="M4366" s="306" t="s">
        <v>2741</v>
      </c>
      <c r="N4366" s="341">
        <f>VLOOKUP($A4366,Sheet_Trialbal,10,0)</f>
        <v>0</v>
      </c>
      <c r="O4366" s="306"/>
      <c r="P4366" s="368" t="s">
        <v>4146</v>
      </c>
      <c r="S4366" s="364"/>
      <c r="Z4366" s="609" t="s">
        <v>4147</v>
      </c>
      <c r="AA4366" s="609" t="s">
        <v>5700</v>
      </c>
    </row>
    <row r="4367" spans="1:27" ht="18">
      <c r="A4367" s="2714" t="s">
        <v>1831</v>
      </c>
      <c r="B4367" s="371">
        <v>1</v>
      </c>
      <c r="C4367" s="371"/>
      <c r="D4367" s="2716" t="str">
        <f>VLOOKUP($A4367,Sheet_NoteList,2,0)</f>
        <v>其他综合收益列示</v>
      </c>
      <c r="E4367" s="2716" t="s">
        <v>2742</v>
      </c>
      <c r="F4367" s="293"/>
      <c r="G4367" s="372" t="str">
        <f>"("&amp;B4367&amp;")"&amp;D4367</f>
        <v>(1)其他综合收益列示</v>
      </c>
      <c r="H4367" s="1517" t="str">
        <f>$A4367</f>
        <v>4215b</v>
      </c>
      <c r="I4367" s="343" t="s">
        <v>2743</v>
      </c>
      <c r="J4367" s="301" t="s">
        <v>2744</v>
      </c>
      <c r="K4367" s="2210">
        <f>P4390</f>
        <v>0</v>
      </c>
      <c r="L4367" s="349" t="str">
        <f>IF($I4367="适用",IF(ROUND(K$4366-K4367,2)=0,"F/S",ROUND(K$4366-K4367,2)),"#N/A")</f>
        <v>F/S</v>
      </c>
      <c r="M4367" s="301" t="s">
        <v>2745</v>
      </c>
      <c r="N4367" s="2210">
        <f>H4390</f>
        <v>0</v>
      </c>
      <c r="O4367" s="349" t="str">
        <f>IF($I4367="适用",IF(ROUND(N$4366-N4367,2)=0,"F/S",ROUND(N$4366-N4367,2)),"#N/A")</f>
        <v>F/S</v>
      </c>
      <c r="P4367" s="301"/>
      <c r="S4367" s="364"/>
      <c r="Z4367" s="609" t="s">
        <v>4147</v>
      </c>
      <c r="AA4367" s="609" t="s">
        <v>4149</v>
      </c>
    </row>
    <row r="4368" spans="1:27" ht="0.75" customHeight="1">
      <c r="A4368" s="2714"/>
      <c r="B4368" s="371"/>
      <c r="C4368" s="371"/>
      <c r="D4368" s="2716"/>
      <c r="F4368" s="371"/>
      <c r="G4368" s="405" t="s">
        <v>4150</v>
      </c>
      <c r="H4368" s="371" t="s">
        <v>5444</v>
      </c>
      <c r="I4368" s="371" t="s">
        <v>5445</v>
      </c>
      <c r="J4368" s="371" t="s">
        <v>5446</v>
      </c>
      <c r="K4368" s="547" t="s">
        <v>5447</v>
      </c>
      <c r="L4368" s="547" t="s">
        <v>5448</v>
      </c>
      <c r="M4368" s="371" t="s">
        <v>5449</v>
      </c>
      <c r="N4368" s="371" t="s">
        <v>5450</v>
      </c>
      <c r="O4368" s="371" t="s">
        <v>5451</v>
      </c>
      <c r="P4368" s="371" t="s">
        <v>5452</v>
      </c>
      <c r="S4368" s="364"/>
      <c r="Z4368" s="609" t="s">
        <v>4147</v>
      </c>
      <c r="AA4368" s="609" t="s">
        <v>4149</v>
      </c>
    </row>
    <row r="4369" spans="1:27" ht="0.75" customHeight="1" thickBot="1">
      <c r="A4369" s="2714"/>
      <c r="B4369" s="371"/>
      <c r="C4369" s="371"/>
      <c r="D4369" s="2716"/>
      <c r="F4369" s="371"/>
      <c r="G4369" s="405"/>
      <c r="H4369" s="371" t="s">
        <v>5453</v>
      </c>
      <c r="I4369" s="371" t="s">
        <v>5454</v>
      </c>
      <c r="J4369" s="371" t="s">
        <v>5455</v>
      </c>
      <c r="K4369" s="547" t="s">
        <v>5456</v>
      </c>
      <c r="L4369" s="547" t="s">
        <v>5457</v>
      </c>
      <c r="M4369" s="371" t="s">
        <v>5458</v>
      </c>
      <c r="N4369" s="547" t="s">
        <v>5459</v>
      </c>
      <c r="O4369" s="547" t="s">
        <v>5460</v>
      </c>
      <c r="P4369" s="371" t="s">
        <v>5461</v>
      </c>
      <c r="S4369" s="364"/>
      <c r="Z4369" s="609" t="s">
        <v>4147</v>
      </c>
      <c r="AA4369" s="609" t="s">
        <v>4149</v>
      </c>
    </row>
    <row r="4370" spans="1:27" ht="18" customHeight="1">
      <c r="A4370" s="2714"/>
      <c r="B4370" s="371"/>
      <c r="C4370" s="371"/>
      <c r="D4370" s="2716"/>
      <c r="E4370" s="2716" t="s">
        <v>2749</v>
      </c>
      <c r="F4370" s="293"/>
      <c r="G4370" s="3187" t="s">
        <v>47</v>
      </c>
      <c r="H4370" s="3257" t="str">
        <f>$V$3</f>
        <v>2018年12月31日</v>
      </c>
      <c r="I4370" s="3204" t="s">
        <v>2918</v>
      </c>
      <c r="J4370" s="3257" t="str">
        <f>$X$3</f>
        <v>2019年1月1日</v>
      </c>
      <c r="K4370" s="3204" t="s">
        <v>4156</v>
      </c>
      <c r="L4370" s="3204"/>
      <c r="M4370" s="3204"/>
      <c r="N4370" s="3204"/>
      <c r="O4370" s="3204"/>
      <c r="P4370" s="3202" t="str">
        <f>$V$2</f>
        <v>2019年12月31日</v>
      </c>
      <c r="Q4370" s="355" t="s">
        <v>5322</v>
      </c>
      <c r="S4370" s="364"/>
      <c r="Z4370" s="609" t="s">
        <v>4147</v>
      </c>
      <c r="AA4370" s="609" t="s">
        <v>4149</v>
      </c>
    </row>
    <row r="4371" spans="1:27" ht="36">
      <c r="A4371" s="2714"/>
      <c r="B4371" s="371"/>
      <c r="C4371" s="371"/>
      <c r="D4371" s="2716"/>
      <c r="E4371" s="2716" t="s">
        <v>2749</v>
      </c>
      <c r="F4371" s="293"/>
      <c r="G4371" s="3226"/>
      <c r="H4371" s="3258"/>
      <c r="I4371" s="3240"/>
      <c r="J4371" s="3258"/>
      <c r="K4371" s="2601" t="s">
        <v>4157</v>
      </c>
      <c r="L4371" s="2601" t="s">
        <v>4158</v>
      </c>
      <c r="M4371" s="2601" t="s">
        <v>867</v>
      </c>
      <c r="N4371" s="2601" t="s">
        <v>4159</v>
      </c>
      <c r="O4371" s="2601" t="s">
        <v>4160</v>
      </c>
      <c r="P4371" s="3203"/>
      <c r="S4371" s="364"/>
      <c r="Z4371" s="609" t="s">
        <v>4147</v>
      </c>
      <c r="AA4371" s="609" t="s">
        <v>4149</v>
      </c>
    </row>
    <row r="4372" spans="1:27" ht="24">
      <c r="A4372" s="2714"/>
      <c r="B4372" s="371">
        <v>101</v>
      </c>
      <c r="C4372" s="371" t="s">
        <v>2793</v>
      </c>
      <c r="D4372" s="2716">
        <f t="shared" ref="D4372:D4390" si="482">IF(OR(G4372="*",G4372="",G4372=0),0,COUNTIF($G$4372:$G$4390,G4372))</f>
        <v>1</v>
      </c>
      <c r="E4372" s="2721">
        <v>1</v>
      </c>
      <c r="F4372" s="293"/>
      <c r="G4372" s="308" t="s">
        <v>4161</v>
      </c>
      <c r="H4372" s="1476">
        <f t="shared" ref="H4372:P4372" si="483">SUMIF($E$4371:$E$4389,$G4372,H$4371:H$4389)</f>
        <v>0</v>
      </c>
      <c r="I4372" s="1476">
        <f t="shared" si="483"/>
        <v>0</v>
      </c>
      <c r="J4372" s="1476">
        <f t="shared" si="483"/>
        <v>0</v>
      </c>
      <c r="K4372" s="1476">
        <f t="shared" si="483"/>
        <v>0</v>
      </c>
      <c r="L4372" s="1476">
        <f t="shared" si="483"/>
        <v>0</v>
      </c>
      <c r="M4372" s="1476">
        <f t="shared" si="483"/>
        <v>0</v>
      </c>
      <c r="N4372" s="1476">
        <f t="shared" si="483"/>
        <v>0</v>
      </c>
      <c r="O4372" s="1476">
        <f t="shared" si="483"/>
        <v>0</v>
      </c>
      <c r="P4372" s="1477">
        <f t="shared" si="483"/>
        <v>0</v>
      </c>
      <c r="Q4372" s="544" t="str">
        <f t="shared" ref="Q4372:Q4389" si="484">IF(ROUND((K4372-L4372-M4372)-(N4372+O4372),2)&lt;&gt;0,"请检查本期发生额数据！","")</f>
        <v/>
      </c>
      <c r="S4372" s="364"/>
      <c r="Z4372" s="609" t="s">
        <v>4147</v>
      </c>
      <c r="AA4372" s="609" t="s">
        <v>4149</v>
      </c>
    </row>
    <row r="4373" spans="1:27" ht="24">
      <c r="A4373" s="2714"/>
      <c r="B4373" s="371">
        <v>101.001</v>
      </c>
      <c r="C4373" s="371"/>
      <c r="D4373" s="2716">
        <f t="shared" si="482"/>
        <v>1</v>
      </c>
      <c r="E4373" s="2721" t="s">
        <v>4161</v>
      </c>
      <c r="F4373" s="293"/>
      <c r="G4373" s="308" t="s">
        <v>4162</v>
      </c>
      <c r="H4373" s="309"/>
      <c r="I4373" s="422"/>
      <c r="J4373" s="309"/>
      <c r="K4373" s="320"/>
      <c r="L4373" s="309"/>
      <c r="M4373" s="309"/>
      <c r="N4373" s="320"/>
      <c r="O4373" s="309"/>
      <c r="P4373" s="346">
        <f>J4373+N4373</f>
        <v>0</v>
      </c>
      <c r="Q4373" s="544" t="str">
        <f t="shared" si="484"/>
        <v/>
      </c>
      <c r="S4373" s="364"/>
      <c r="Z4373" s="609" t="s">
        <v>4147</v>
      </c>
      <c r="AA4373" s="609" t="s">
        <v>4149</v>
      </c>
    </row>
    <row r="4374" spans="1:27" ht="24">
      <c r="A4374" s="2714"/>
      <c r="B4374" s="371">
        <v>101.002</v>
      </c>
      <c r="C4374" s="371"/>
      <c r="D4374" s="2716">
        <f t="shared" si="482"/>
        <v>1</v>
      </c>
      <c r="E4374" s="2721" t="s">
        <v>4161</v>
      </c>
      <c r="F4374" s="293"/>
      <c r="G4374" s="308" t="s">
        <v>852</v>
      </c>
      <c r="H4374" s="309"/>
      <c r="I4374" s="422"/>
      <c r="J4374" s="309"/>
      <c r="K4374" s="320"/>
      <c r="L4374" s="309"/>
      <c r="M4374" s="309"/>
      <c r="N4374" s="320"/>
      <c r="O4374" s="309"/>
      <c r="P4374" s="346">
        <f t="shared" ref="P4374:P4378" si="485">J4374+N4374</f>
        <v>0</v>
      </c>
      <c r="Q4374" s="544" t="str">
        <f t="shared" si="484"/>
        <v/>
      </c>
      <c r="S4374" s="364"/>
      <c r="Z4374" s="609" t="s">
        <v>4147</v>
      </c>
      <c r="AA4374" s="609" t="s">
        <v>4149</v>
      </c>
    </row>
    <row r="4375" spans="1:27" ht="24">
      <c r="A4375" s="2714"/>
      <c r="B4375" s="371">
        <v>101.003</v>
      </c>
      <c r="C4375" s="371"/>
      <c r="D4375" s="2716">
        <f t="shared" si="482"/>
        <v>1</v>
      </c>
      <c r="E4375" s="2721" t="s">
        <v>4161</v>
      </c>
      <c r="F4375" s="293"/>
      <c r="G4375" s="308" t="s">
        <v>864</v>
      </c>
      <c r="H4375" s="2277">
        <v>0</v>
      </c>
      <c r="I4375" s="422"/>
      <c r="J4375" s="309"/>
      <c r="K4375" s="320"/>
      <c r="L4375" s="309"/>
      <c r="M4375" s="309"/>
      <c r="N4375" s="320"/>
      <c r="O4375" s="309"/>
      <c r="P4375" s="346">
        <f t="shared" si="485"/>
        <v>0</v>
      </c>
      <c r="Q4375" s="544" t="str">
        <f t="shared" si="484"/>
        <v/>
      </c>
      <c r="S4375" s="364"/>
      <c r="Z4375" s="609" t="s">
        <v>4147</v>
      </c>
      <c r="AA4375" s="609" t="s">
        <v>4149</v>
      </c>
    </row>
    <row r="4376" spans="1:27" ht="24">
      <c r="A4376" s="2714"/>
      <c r="B4376" s="371">
        <v>101.004</v>
      </c>
      <c r="C4376" s="371"/>
      <c r="D4376" s="2716">
        <f t="shared" si="482"/>
        <v>1</v>
      </c>
      <c r="E4376" s="2721" t="s">
        <v>4161</v>
      </c>
      <c r="F4376" s="293"/>
      <c r="G4376" s="308" t="s">
        <v>868</v>
      </c>
      <c r="H4376" s="2277">
        <v>0</v>
      </c>
      <c r="I4376" s="422"/>
      <c r="J4376" s="309"/>
      <c r="K4376" s="320"/>
      <c r="L4376" s="309"/>
      <c r="M4376" s="309"/>
      <c r="N4376" s="320"/>
      <c r="O4376" s="309"/>
      <c r="P4376" s="346">
        <f t="shared" si="485"/>
        <v>0</v>
      </c>
      <c r="Q4376" s="544" t="str">
        <f t="shared" si="484"/>
        <v/>
      </c>
      <c r="S4376" s="364"/>
      <c r="Z4376" s="609" t="s">
        <v>4147</v>
      </c>
      <c r="AA4376" s="609" t="s">
        <v>4149</v>
      </c>
    </row>
    <row r="4377" spans="1:27" ht="18">
      <c r="A4377" s="2714"/>
      <c r="B4377" s="371">
        <v>101.005</v>
      </c>
      <c r="C4377" s="371" t="s">
        <v>2791</v>
      </c>
      <c r="D4377" s="2716">
        <f t="shared" si="482"/>
        <v>0</v>
      </c>
      <c r="E4377" s="2721" t="s">
        <v>4161</v>
      </c>
      <c r="F4377" s="293"/>
      <c r="G4377" s="1542" t="s">
        <v>2792</v>
      </c>
      <c r="H4377" s="309"/>
      <c r="I4377" s="422"/>
      <c r="J4377" s="309"/>
      <c r="K4377" s="320"/>
      <c r="L4377" s="309"/>
      <c r="M4377" s="309"/>
      <c r="N4377" s="320"/>
      <c r="O4377" s="309"/>
      <c r="P4377" s="346">
        <f t="shared" si="485"/>
        <v>0</v>
      </c>
      <c r="Q4377" s="544" t="str">
        <f t="shared" si="484"/>
        <v/>
      </c>
      <c r="S4377" s="364"/>
      <c r="Z4377" s="609" t="s">
        <v>4147</v>
      </c>
      <c r="AA4377" s="609" t="s">
        <v>4149</v>
      </c>
    </row>
    <row r="4378" spans="1:27" ht="18">
      <c r="A4378" s="2714"/>
      <c r="B4378" s="371">
        <v>101.006</v>
      </c>
      <c r="C4378" s="371" t="s">
        <v>2791</v>
      </c>
      <c r="D4378" s="2716">
        <f t="shared" si="482"/>
        <v>0</v>
      </c>
      <c r="E4378" s="2721" t="s">
        <v>4161</v>
      </c>
      <c r="F4378" s="293"/>
      <c r="G4378" s="1542" t="s">
        <v>2792</v>
      </c>
      <c r="H4378" s="309"/>
      <c r="I4378" s="422"/>
      <c r="J4378" s="309"/>
      <c r="K4378" s="320"/>
      <c r="L4378" s="309"/>
      <c r="M4378" s="309"/>
      <c r="N4378" s="320"/>
      <c r="O4378" s="309"/>
      <c r="P4378" s="346">
        <f t="shared" si="485"/>
        <v>0</v>
      </c>
      <c r="Q4378" s="544" t="str">
        <f t="shared" si="484"/>
        <v/>
      </c>
      <c r="S4378" s="364"/>
      <c r="Z4378" s="609" t="s">
        <v>4147</v>
      </c>
      <c r="AA4378" s="609" t="s">
        <v>4149</v>
      </c>
    </row>
    <row r="4379" spans="1:27" ht="24">
      <c r="A4379" s="2714"/>
      <c r="B4379" s="371">
        <v>102</v>
      </c>
      <c r="C4379" s="371" t="s">
        <v>2793</v>
      </c>
      <c r="D4379" s="2716">
        <f t="shared" si="482"/>
        <v>1</v>
      </c>
      <c r="E4379" s="2721">
        <v>1</v>
      </c>
      <c r="F4379" s="293"/>
      <c r="G4379" s="308" t="s">
        <v>4163</v>
      </c>
      <c r="H4379" s="1476">
        <f t="shared" ref="H4379:P4379" si="486">SUMIF($E$4371:$E$4389,$G4379,H$4371:H$4389)</f>
        <v>0</v>
      </c>
      <c r="I4379" s="1476">
        <f t="shared" si="486"/>
        <v>0</v>
      </c>
      <c r="J4379" s="1476">
        <f t="shared" si="486"/>
        <v>0</v>
      </c>
      <c r="K4379" s="1476">
        <f t="shared" si="486"/>
        <v>0</v>
      </c>
      <c r="L4379" s="1476">
        <f t="shared" si="486"/>
        <v>0</v>
      </c>
      <c r="M4379" s="1476">
        <f t="shared" si="486"/>
        <v>0</v>
      </c>
      <c r="N4379" s="1476">
        <f t="shared" si="486"/>
        <v>0</v>
      </c>
      <c r="O4379" s="1476">
        <f t="shared" si="486"/>
        <v>0</v>
      </c>
      <c r="P4379" s="1477">
        <f t="shared" si="486"/>
        <v>0</v>
      </c>
      <c r="Q4379" s="544" t="str">
        <f t="shared" si="484"/>
        <v/>
      </c>
      <c r="S4379" s="364"/>
      <c r="Z4379" s="609" t="s">
        <v>4147</v>
      </c>
      <c r="AA4379" s="609" t="s">
        <v>4149</v>
      </c>
    </row>
    <row r="4380" spans="1:27" ht="24">
      <c r="A4380" s="2714"/>
      <c r="B4380" s="371">
        <v>102.001</v>
      </c>
      <c r="C4380" s="371"/>
      <c r="D4380" s="2716">
        <f t="shared" si="482"/>
        <v>1</v>
      </c>
      <c r="E4380" s="2721" t="s">
        <v>4163</v>
      </c>
      <c r="F4380" s="293"/>
      <c r="G4380" s="308" t="s">
        <v>4164</v>
      </c>
      <c r="H4380" s="309"/>
      <c r="I4380" s="422"/>
      <c r="J4380" s="309"/>
      <c r="K4380" s="320"/>
      <c r="L4380" s="309"/>
      <c r="M4380" s="309"/>
      <c r="N4380" s="320"/>
      <c r="O4380" s="309"/>
      <c r="P4380" s="346">
        <f t="shared" ref="P4380:P4383" si="487">J4380+N4380</f>
        <v>0</v>
      </c>
      <c r="Q4380" s="544" t="str">
        <f t="shared" si="484"/>
        <v/>
      </c>
      <c r="S4380" s="364"/>
      <c r="Z4380" s="609" t="s">
        <v>4147</v>
      </c>
      <c r="AA4380" s="609" t="s">
        <v>4149</v>
      </c>
    </row>
    <row r="4381" spans="1:27" ht="18">
      <c r="A4381" s="2714"/>
      <c r="B4381" s="371">
        <v>102.002</v>
      </c>
      <c r="C4381" s="371"/>
      <c r="D4381" s="2716">
        <f t="shared" si="482"/>
        <v>1</v>
      </c>
      <c r="E4381" s="2721" t="s">
        <v>4163</v>
      </c>
      <c r="F4381" s="293"/>
      <c r="G4381" s="308" t="s">
        <v>915</v>
      </c>
      <c r="H4381" s="2277">
        <v>0</v>
      </c>
      <c r="I4381" s="422"/>
      <c r="J4381" s="309"/>
      <c r="K4381" s="320"/>
      <c r="L4381" s="309"/>
      <c r="M4381" s="309"/>
      <c r="N4381" s="320"/>
      <c r="O4381" s="309"/>
      <c r="P4381" s="346">
        <f t="shared" si="487"/>
        <v>0</v>
      </c>
      <c r="Q4381" s="544" t="str">
        <f t="shared" si="484"/>
        <v/>
      </c>
      <c r="S4381" s="364"/>
      <c r="Z4381" s="609" t="s">
        <v>4147</v>
      </c>
      <c r="AA4381" s="609" t="s">
        <v>4149</v>
      </c>
    </row>
    <row r="4382" spans="1:27" ht="24">
      <c r="A4382" s="2714"/>
      <c r="B4382" s="371">
        <v>102.003</v>
      </c>
      <c r="C4382" s="371"/>
      <c r="D4382" s="2716">
        <f t="shared" si="482"/>
        <v>1</v>
      </c>
      <c r="E4382" s="2721" t="s">
        <v>4163</v>
      </c>
      <c r="F4382" s="293"/>
      <c r="G4382" s="308" t="s">
        <v>921</v>
      </c>
      <c r="H4382" s="2277">
        <v>0</v>
      </c>
      <c r="I4382" s="422"/>
      <c r="J4382" s="309"/>
      <c r="K4382" s="320"/>
      <c r="L4382" s="309"/>
      <c r="M4382" s="309"/>
      <c r="N4382" s="320"/>
      <c r="O4382" s="309"/>
      <c r="P4382" s="346">
        <f t="shared" si="487"/>
        <v>0</v>
      </c>
      <c r="Q4382" s="544" t="str">
        <f t="shared" si="484"/>
        <v/>
      </c>
      <c r="S4382" s="364"/>
      <c r="Z4382" s="609" t="s">
        <v>4147</v>
      </c>
      <c r="AA4382" s="609" t="s">
        <v>4149</v>
      </c>
    </row>
    <row r="4383" spans="1:27" ht="18">
      <c r="A4383" s="2714"/>
      <c r="B4383" s="371">
        <v>102.004</v>
      </c>
      <c r="C4383" s="371"/>
      <c r="D4383" s="2716">
        <f t="shared" si="482"/>
        <v>1</v>
      </c>
      <c r="E4383" s="2721" t="s">
        <v>4163</v>
      </c>
      <c r="F4383" s="293"/>
      <c r="G4383" s="308" t="s">
        <v>926</v>
      </c>
      <c r="H4383" s="2277">
        <v>0</v>
      </c>
      <c r="I4383" s="422"/>
      <c r="J4383" s="309"/>
      <c r="K4383" s="320"/>
      <c r="L4383" s="309"/>
      <c r="M4383" s="309"/>
      <c r="N4383" s="320"/>
      <c r="O4383" s="309"/>
      <c r="P4383" s="346">
        <f t="shared" si="487"/>
        <v>0</v>
      </c>
      <c r="Q4383" s="544" t="str">
        <f t="shared" si="484"/>
        <v/>
      </c>
      <c r="S4383" s="364"/>
      <c r="Z4383" s="609" t="s">
        <v>4147</v>
      </c>
      <c r="AA4383" s="609" t="s">
        <v>4149</v>
      </c>
    </row>
    <row r="4384" spans="1:27" ht="24">
      <c r="A4384" s="2714"/>
      <c r="B4384" s="371">
        <v>102.005</v>
      </c>
      <c r="C4384" s="371"/>
      <c r="D4384" s="2716">
        <f t="shared" si="482"/>
        <v>1</v>
      </c>
      <c r="E4384" s="2721" t="s">
        <v>4163</v>
      </c>
      <c r="F4384" s="293"/>
      <c r="G4384" s="308" t="s">
        <v>878</v>
      </c>
      <c r="H4384" s="309"/>
      <c r="I4384" s="422"/>
      <c r="J4384" s="309"/>
      <c r="K4384" s="2347">
        <v>0</v>
      </c>
      <c r="L4384" s="2277">
        <v>0</v>
      </c>
      <c r="M4384" s="2277">
        <v>0</v>
      </c>
      <c r="N4384" s="2347">
        <v>0</v>
      </c>
      <c r="O4384" s="2277">
        <v>0</v>
      </c>
      <c r="P4384" s="2348">
        <v>0</v>
      </c>
      <c r="Q4384" s="544" t="str">
        <f t="shared" si="484"/>
        <v/>
      </c>
      <c r="S4384" s="364"/>
      <c r="Z4384" s="609" t="s">
        <v>4147</v>
      </c>
      <c r="AA4384" s="609" t="s">
        <v>4149</v>
      </c>
    </row>
    <row r="4385" spans="1:32" ht="24">
      <c r="A4385" s="2714"/>
      <c r="B4385" s="371">
        <v>102.006</v>
      </c>
      <c r="C4385" s="371"/>
      <c r="D4385" s="2716">
        <f t="shared" si="482"/>
        <v>1</v>
      </c>
      <c r="E4385" s="2721" t="s">
        <v>4163</v>
      </c>
      <c r="F4385" s="293"/>
      <c r="G4385" s="308" t="s">
        <v>884</v>
      </c>
      <c r="H4385" s="309"/>
      <c r="I4385" s="422"/>
      <c r="J4385" s="309"/>
      <c r="K4385" s="2347">
        <v>0</v>
      </c>
      <c r="L4385" s="2277">
        <v>0</v>
      </c>
      <c r="M4385" s="2277">
        <v>0</v>
      </c>
      <c r="N4385" s="2347">
        <v>0</v>
      </c>
      <c r="O4385" s="2277">
        <v>0</v>
      </c>
      <c r="P4385" s="2348">
        <v>0</v>
      </c>
      <c r="Q4385" s="544" t="str">
        <f t="shared" si="484"/>
        <v/>
      </c>
      <c r="S4385" s="364"/>
      <c r="Z4385" s="609" t="s">
        <v>4147</v>
      </c>
      <c r="AA4385" s="609" t="s">
        <v>4149</v>
      </c>
    </row>
    <row r="4386" spans="1:32" ht="24">
      <c r="A4386" s="2714"/>
      <c r="B4386" s="371">
        <v>102.00700000000001</v>
      </c>
      <c r="C4386" s="371"/>
      <c r="D4386" s="2716">
        <f t="shared" si="482"/>
        <v>1</v>
      </c>
      <c r="E4386" s="2721" t="s">
        <v>4163</v>
      </c>
      <c r="F4386" s="293"/>
      <c r="G4386" s="308" t="s">
        <v>4165</v>
      </c>
      <c r="H4386" s="309"/>
      <c r="I4386" s="422"/>
      <c r="J4386" s="309"/>
      <c r="K4386" s="320"/>
      <c r="L4386" s="309"/>
      <c r="M4386" s="309"/>
      <c r="N4386" s="320"/>
      <c r="O4386" s="309"/>
      <c r="P4386" s="346">
        <f t="shared" ref="P4386:P4389" si="488">J4386+N4386</f>
        <v>0</v>
      </c>
      <c r="Q4386" s="544" t="str">
        <f t="shared" si="484"/>
        <v/>
      </c>
      <c r="S4386" s="364"/>
      <c r="Z4386" s="609" t="s">
        <v>4147</v>
      </c>
      <c r="AA4386" s="609" t="s">
        <v>4149</v>
      </c>
    </row>
    <row r="4387" spans="1:32" ht="18">
      <c r="A4387" s="2714"/>
      <c r="B4387" s="371">
        <v>102.008</v>
      </c>
      <c r="C4387" s="371"/>
      <c r="D4387" s="2716">
        <f t="shared" si="482"/>
        <v>1</v>
      </c>
      <c r="E4387" s="2721" t="s">
        <v>4163</v>
      </c>
      <c r="F4387" s="293"/>
      <c r="G4387" s="308" t="s">
        <v>893</v>
      </c>
      <c r="H4387" s="309"/>
      <c r="I4387" s="422"/>
      <c r="J4387" s="309"/>
      <c r="K4387" s="320"/>
      <c r="L4387" s="309"/>
      <c r="M4387" s="309"/>
      <c r="N4387" s="320"/>
      <c r="O4387" s="309"/>
      <c r="P4387" s="346">
        <f t="shared" si="488"/>
        <v>0</v>
      </c>
      <c r="Q4387" s="544" t="str">
        <f t="shared" si="484"/>
        <v/>
      </c>
      <c r="S4387" s="364"/>
      <c r="Z4387" s="609" t="s">
        <v>4147</v>
      </c>
      <c r="AA4387" s="609" t="s">
        <v>4149</v>
      </c>
    </row>
    <row r="4388" spans="1:32" ht="18">
      <c r="A4388" s="2714"/>
      <c r="B4388" s="371">
        <v>102.009</v>
      </c>
      <c r="C4388" s="371" t="s">
        <v>2791</v>
      </c>
      <c r="D4388" s="2716">
        <f t="shared" si="482"/>
        <v>0</v>
      </c>
      <c r="E4388" s="2721" t="s">
        <v>4163</v>
      </c>
      <c r="F4388" s="293"/>
      <c r="G4388" s="1542" t="s">
        <v>2792</v>
      </c>
      <c r="H4388" s="309"/>
      <c r="I4388" s="422"/>
      <c r="J4388" s="309"/>
      <c r="K4388" s="320"/>
      <c r="L4388" s="309"/>
      <c r="M4388" s="309"/>
      <c r="N4388" s="320"/>
      <c r="O4388" s="309"/>
      <c r="P4388" s="346">
        <f t="shared" si="488"/>
        <v>0</v>
      </c>
      <c r="Q4388" s="544" t="str">
        <f t="shared" si="484"/>
        <v/>
      </c>
      <c r="S4388" s="364"/>
      <c r="Z4388" s="609" t="s">
        <v>4147</v>
      </c>
      <c r="AA4388" s="609" t="s">
        <v>4149</v>
      </c>
    </row>
    <row r="4389" spans="1:32" ht="18">
      <c r="A4389" s="2714"/>
      <c r="B4389" s="371">
        <v>102.01</v>
      </c>
      <c r="C4389" s="371" t="s">
        <v>2791</v>
      </c>
      <c r="D4389" s="2716">
        <f t="shared" si="482"/>
        <v>0</v>
      </c>
      <c r="E4389" s="2721" t="s">
        <v>4163</v>
      </c>
      <c r="F4389" s="293"/>
      <c r="G4389" s="1542" t="s">
        <v>2792</v>
      </c>
      <c r="H4389" s="309"/>
      <c r="I4389" s="422"/>
      <c r="J4389" s="309"/>
      <c r="K4389" s="320"/>
      <c r="L4389" s="309"/>
      <c r="M4389" s="309"/>
      <c r="N4389" s="320"/>
      <c r="O4389" s="309"/>
      <c r="P4389" s="346">
        <f t="shared" si="488"/>
        <v>0</v>
      </c>
      <c r="Q4389" s="544" t="str">
        <f t="shared" si="484"/>
        <v/>
      </c>
      <c r="S4389" s="364"/>
      <c r="Z4389" s="609" t="s">
        <v>4147</v>
      </c>
      <c r="AA4389" s="609" t="s">
        <v>4149</v>
      </c>
    </row>
    <row r="4390" spans="1:32" ht="18.75" thickBot="1">
      <c r="A4390" s="2714"/>
      <c r="B4390" s="371"/>
      <c r="C4390" s="371"/>
      <c r="D4390" s="2716">
        <f t="shared" si="482"/>
        <v>1</v>
      </c>
      <c r="E4390" s="2721" t="s">
        <v>2751</v>
      </c>
      <c r="F4390" s="293"/>
      <c r="G4390" s="2234" t="s">
        <v>2752</v>
      </c>
      <c r="H4390" s="2235">
        <f t="shared" ref="H4390:P4390" si="489">SUMPRODUCT($E4371:$E4389,H4371:H4389)</f>
        <v>0</v>
      </c>
      <c r="I4390" s="2235">
        <f t="shared" si="489"/>
        <v>0</v>
      </c>
      <c r="J4390" s="2235">
        <f t="shared" si="489"/>
        <v>0</v>
      </c>
      <c r="K4390" s="2235">
        <f t="shared" si="489"/>
        <v>0</v>
      </c>
      <c r="L4390" s="2235">
        <f t="shared" si="489"/>
        <v>0</v>
      </c>
      <c r="M4390" s="2235">
        <f t="shared" si="489"/>
        <v>0</v>
      </c>
      <c r="N4390" s="2235">
        <f t="shared" si="489"/>
        <v>0</v>
      </c>
      <c r="O4390" s="2430">
        <f t="shared" si="489"/>
        <v>0</v>
      </c>
      <c r="P4390" s="2236">
        <f t="shared" si="489"/>
        <v>0</v>
      </c>
      <c r="S4390" s="364"/>
      <c r="Z4390" s="609" t="s">
        <v>4147</v>
      </c>
      <c r="AA4390" s="609" t="s">
        <v>4149</v>
      </c>
    </row>
    <row r="4391" spans="1:32" ht="18">
      <c r="A4391" s="2714"/>
      <c r="B4391" s="371"/>
      <c r="C4391" s="371" t="s">
        <v>2755</v>
      </c>
      <c r="D4391" s="2716"/>
      <c r="F4391" s="293"/>
      <c r="G4391" s="376"/>
      <c r="H4391" s="315"/>
      <c r="I4391" s="396"/>
      <c r="J4391" s="315"/>
      <c r="K4391" s="423"/>
      <c r="L4391" s="315"/>
      <c r="M4391" s="315"/>
      <c r="N4391" s="423"/>
      <c r="O4391" s="315"/>
      <c r="P4391" s="315"/>
      <c r="S4391" s="364"/>
      <c r="Z4391" s="609" t="s">
        <v>4147</v>
      </c>
      <c r="AA4391" s="609" t="s">
        <v>4149</v>
      </c>
    </row>
    <row r="4392" spans="1:32" ht="18" hidden="1">
      <c r="A4392" s="2714" t="s">
        <v>1834</v>
      </c>
      <c r="B4392" s="371">
        <v>2</v>
      </c>
      <c r="C4392" s="371"/>
      <c r="D4392" s="2716" t="str">
        <f>VLOOKUP($A4392,Sheet_NoteList,2,0)</f>
        <v>其他综合收益变动情况</v>
      </c>
      <c r="E4392" s="2716" t="s">
        <v>6628</v>
      </c>
      <c r="F4392" s="294"/>
      <c r="G4392" s="307" t="str">
        <f>"("&amp;B4392&amp;")"&amp;D4392</f>
        <v>(2)其他综合收益变动情况</v>
      </c>
      <c r="H4392" s="1517" t="str">
        <f>$A4392</f>
        <v>4215a</v>
      </c>
      <c r="I4392" s="343" t="s">
        <v>6631</v>
      </c>
      <c r="J4392" s="301" t="s">
        <v>6629</v>
      </c>
      <c r="K4392" s="344">
        <f>N4410</f>
        <v>0</v>
      </c>
      <c r="L4392" s="345" t="str">
        <f>IF($I4392="适用",IF(ROUND(K4366-K4392,2)=0,"F/S",ROUND(K4366-K4392,2)),"#N/A")</f>
        <v>#N/A</v>
      </c>
      <c r="M4392" s="301" t="s">
        <v>6630</v>
      </c>
      <c r="N4392" s="344">
        <f>H4410</f>
        <v>0</v>
      </c>
      <c r="O4392" s="345" t="str">
        <f>IF($I4392="适用",IF(ROUND(N4366-N4392,2)=0,"F/S",ROUND(N4366-N4392,2)),"#N/A")</f>
        <v>#N/A</v>
      </c>
      <c r="S4392" s="364"/>
      <c r="Z4392" s="609" t="s">
        <v>4147</v>
      </c>
      <c r="AA4392" s="609" t="s">
        <v>5700</v>
      </c>
      <c r="AE4392" s="369" t="s">
        <v>2761</v>
      </c>
    </row>
    <row r="4393" spans="1:32" ht="0.75" hidden="1" customHeight="1">
      <c r="A4393" s="2714"/>
      <c r="B4393" s="371"/>
      <c r="C4393" s="371"/>
      <c r="D4393" s="371"/>
      <c r="E4393" s="586"/>
      <c r="F4393" s="586"/>
      <c r="G4393" s="586" t="s">
        <v>4167</v>
      </c>
      <c r="H4393" s="371" t="s">
        <v>6307</v>
      </c>
      <c r="I4393" s="371" t="s">
        <v>6308</v>
      </c>
      <c r="J4393" s="371" t="s">
        <v>6309</v>
      </c>
      <c r="K4393" s="371" t="s">
        <v>6310</v>
      </c>
      <c r="L4393" s="371" t="s">
        <v>6311</v>
      </c>
      <c r="M4393" s="371" t="s">
        <v>6312</v>
      </c>
      <c r="N4393" s="371" t="s">
        <v>6313</v>
      </c>
      <c r="P4393" s="291"/>
      <c r="Q4393" s="472"/>
      <c r="R4393" s="472"/>
      <c r="S4393" s="364"/>
      <c r="Z4393" s="609" t="s">
        <v>4147</v>
      </c>
      <c r="AA4393" s="609" t="s">
        <v>5700</v>
      </c>
      <c r="AE4393" s="369" t="s">
        <v>2761</v>
      </c>
    </row>
    <row r="4394" spans="1:32" ht="0.75" hidden="1" customHeight="1" thickBot="1">
      <c r="A4394" s="2714"/>
      <c r="B4394" s="371"/>
      <c r="C4394" s="371"/>
      <c r="D4394" s="371"/>
      <c r="E4394" s="586"/>
      <c r="F4394" s="586"/>
      <c r="G4394" s="586"/>
      <c r="H4394" s="371" t="s">
        <v>3020</v>
      </c>
      <c r="I4394" s="371" t="s">
        <v>4151</v>
      </c>
      <c r="J4394" s="371" t="s">
        <v>4152</v>
      </c>
      <c r="K4394" s="371" t="s">
        <v>4153</v>
      </c>
      <c r="L4394" s="371" t="s">
        <v>4154</v>
      </c>
      <c r="M4394" s="371" t="s">
        <v>4155</v>
      </c>
      <c r="N4394" s="371" t="s">
        <v>3026</v>
      </c>
      <c r="P4394" s="315" t="s">
        <v>4166</v>
      </c>
      <c r="Q4394" s="472"/>
      <c r="R4394" s="472"/>
      <c r="S4394" s="364"/>
      <c r="Z4394" s="609" t="s">
        <v>4147</v>
      </c>
      <c r="AA4394" s="609" t="s">
        <v>5700</v>
      </c>
      <c r="AE4394" s="369" t="s">
        <v>2761</v>
      </c>
    </row>
    <row r="4395" spans="1:32" ht="18" hidden="1">
      <c r="A4395" s="2714"/>
      <c r="B4395" s="371"/>
      <c r="C4395" s="371"/>
      <c r="D4395" s="371"/>
      <c r="E4395" s="586" t="s">
        <v>2749</v>
      </c>
      <c r="F4395" s="363"/>
      <c r="G4395" s="3229" t="s">
        <v>47</v>
      </c>
      <c r="H4395" s="3213" t="s">
        <v>6082</v>
      </c>
      <c r="I4395" s="3213" t="s">
        <v>4156</v>
      </c>
      <c r="J4395" s="3213"/>
      <c r="K4395" s="3213"/>
      <c r="L4395" s="3213"/>
      <c r="M4395" s="3213"/>
      <c r="N4395" s="3198" t="s">
        <v>6081</v>
      </c>
      <c r="O4395" s="3201" t="s">
        <v>5990</v>
      </c>
      <c r="P4395" s="614" t="s">
        <v>914</v>
      </c>
      <c r="Q4395" s="615">
        <f>VLOOKUP(6829.2,Sheet_Trialbal,6,0)</f>
        <v>0</v>
      </c>
      <c r="R4395" s="345" t="str">
        <f>IF($I$4392="适用",IF(ROUND(Q4395-L4410,2)=0,"F/S",ROUND(Q4395-L4410,2)),"#N/A")</f>
        <v>#N/A</v>
      </c>
      <c r="S4395" s="364"/>
      <c r="Z4395" s="609" t="s">
        <v>4147</v>
      </c>
      <c r="AA4395" s="609" t="s">
        <v>5700</v>
      </c>
      <c r="AE4395" s="369" t="s">
        <v>2761</v>
      </c>
      <c r="AF4395" s="369"/>
    </row>
    <row r="4396" spans="1:32" ht="36" hidden="1">
      <c r="A4396" s="2714"/>
      <c r="B4396" s="371"/>
      <c r="C4396" s="371"/>
      <c r="D4396" s="371"/>
      <c r="E4396" s="586" t="s">
        <v>2749</v>
      </c>
      <c r="F4396" s="363"/>
      <c r="G4396" s="3230"/>
      <c r="H4396" s="3242"/>
      <c r="I4396" s="2426" t="s">
        <v>4157</v>
      </c>
      <c r="J4396" s="2426" t="s">
        <v>4158</v>
      </c>
      <c r="K4396" s="2426" t="s">
        <v>867</v>
      </c>
      <c r="L4396" s="2426" t="s">
        <v>4159</v>
      </c>
      <c r="M4396" s="2426" t="s">
        <v>4160</v>
      </c>
      <c r="N4396" s="3199"/>
      <c r="O4396" s="3201"/>
      <c r="P4396" s="616" t="s">
        <v>957</v>
      </c>
      <c r="Q4396" s="615">
        <f>VLOOKUP(6829.5,Sheet_Trialbal,6,0)</f>
        <v>0</v>
      </c>
      <c r="R4396" s="345" t="str">
        <f>IF($I$4392="适用",IF(ROUND(Q4396-M4410,2)=0,"F/S",ROUND(Q4396-M4410,2)),"#N/A")</f>
        <v>#N/A</v>
      </c>
      <c r="S4396" s="364"/>
      <c r="Z4396" s="609" t="s">
        <v>4147</v>
      </c>
      <c r="AA4396" s="609" t="s">
        <v>5700</v>
      </c>
      <c r="AE4396" s="369" t="s">
        <v>2761</v>
      </c>
      <c r="AF4396" s="369"/>
    </row>
    <row r="4397" spans="1:32" ht="24" hidden="1">
      <c r="A4397" s="2714"/>
      <c r="B4397" s="371">
        <v>101</v>
      </c>
      <c r="C4397" s="371" t="s">
        <v>2793</v>
      </c>
      <c r="D4397" s="2716">
        <f t="shared" ref="D4397:D4409" si="490">IF(OR(G4397="*",G4397="",G4397=0),0,COUNTIF($G$4402:$G$4410,G4397))</f>
        <v>0</v>
      </c>
      <c r="E4397" s="2721">
        <v>1</v>
      </c>
      <c r="F4397" s="294"/>
      <c r="G4397" s="1474" t="s">
        <v>4161</v>
      </c>
      <c r="H4397" s="1476">
        <f t="shared" ref="H4397:M4397" si="491">SUMIF($E$4396:$E$4409,$G4397,H$4396:H$4409)</f>
        <v>0</v>
      </c>
      <c r="I4397" s="1476">
        <f t="shared" si="491"/>
        <v>0</v>
      </c>
      <c r="J4397" s="1476">
        <f t="shared" si="491"/>
        <v>0</v>
      </c>
      <c r="K4397" s="1476">
        <f t="shared" si="491"/>
        <v>0</v>
      </c>
      <c r="L4397" s="1476">
        <f t="shared" si="491"/>
        <v>0</v>
      </c>
      <c r="M4397" s="1476">
        <f t="shared" si="491"/>
        <v>0</v>
      </c>
      <c r="N4397" s="1477">
        <f>SUMIF($E$4396:$E$4409,$G4397,N$4396:N$4409)</f>
        <v>0</v>
      </c>
      <c r="O4397" s="424" t="str">
        <f t="shared" ref="O4397:O4410" si="492">IF(ROUND((I4397-J4397-K4397)-(L4397+M4397),2)&lt;&gt;0,"请检查本期发生额数据！","")</f>
        <v/>
      </c>
      <c r="Q4397" s="291"/>
      <c r="R4397" s="367"/>
      <c r="S4397" s="364"/>
      <c r="Z4397" s="609" t="s">
        <v>4147</v>
      </c>
      <c r="AA4397" s="609" t="s">
        <v>5700</v>
      </c>
      <c r="AE4397" s="369" t="s">
        <v>2761</v>
      </c>
      <c r="AF4397" s="369"/>
    </row>
    <row r="4398" spans="1:32" ht="24" hidden="1">
      <c r="A4398" s="2714"/>
      <c r="B4398" s="371">
        <v>101.001</v>
      </c>
      <c r="C4398" s="371"/>
      <c r="D4398" s="2716">
        <f t="shared" si="490"/>
        <v>0</v>
      </c>
      <c r="E4398" s="2721" t="s">
        <v>4161</v>
      </c>
      <c r="F4398" s="294"/>
      <c r="G4398" s="1474" t="s">
        <v>4168</v>
      </c>
      <c r="H4398" s="2275"/>
      <c r="I4398" s="2275"/>
      <c r="J4398" s="2275"/>
      <c r="K4398" s="2275"/>
      <c r="L4398" s="2275"/>
      <c r="M4398" s="2275"/>
      <c r="N4398" s="1477">
        <f>SUM(H4398,L4398)</f>
        <v>0</v>
      </c>
      <c r="O4398" s="424" t="str">
        <f t="shared" si="492"/>
        <v/>
      </c>
      <c r="Q4398" s="291"/>
      <c r="R4398" s="367"/>
      <c r="S4398" s="364"/>
      <c r="Z4398" s="609" t="s">
        <v>4147</v>
      </c>
      <c r="AA4398" s="609" t="s">
        <v>5700</v>
      </c>
      <c r="AE4398" s="369" t="s">
        <v>2761</v>
      </c>
      <c r="AF4398" s="369"/>
    </row>
    <row r="4399" spans="1:32" ht="24" hidden="1">
      <c r="A4399" s="2714"/>
      <c r="B4399" s="371">
        <v>101.002</v>
      </c>
      <c r="C4399" s="371"/>
      <c r="D4399" s="2716">
        <f t="shared" si="490"/>
        <v>0</v>
      </c>
      <c r="E4399" s="2721" t="s">
        <v>4161</v>
      </c>
      <c r="F4399" s="294"/>
      <c r="G4399" s="1474" t="s">
        <v>4169</v>
      </c>
      <c r="H4399" s="2275"/>
      <c r="I4399" s="2275"/>
      <c r="J4399" s="2275"/>
      <c r="K4399" s="2275"/>
      <c r="L4399" s="2275"/>
      <c r="M4399" s="2275"/>
      <c r="N4399" s="1477">
        <f>SUM(H4399,L4399)</f>
        <v>0</v>
      </c>
      <c r="O4399" s="424" t="str">
        <f t="shared" si="492"/>
        <v/>
      </c>
      <c r="Q4399" s="291"/>
      <c r="R4399" s="367"/>
      <c r="S4399" s="364"/>
      <c r="Z4399" s="609" t="s">
        <v>4147</v>
      </c>
      <c r="AA4399" s="609" t="s">
        <v>5700</v>
      </c>
      <c r="AE4399" s="369" t="s">
        <v>2761</v>
      </c>
      <c r="AF4399" s="369"/>
    </row>
    <row r="4400" spans="1:32" ht="18" hidden="1">
      <c r="A4400" s="2714"/>
      <c r="B4400" s="371">
        <v>101.003</v>
      </c>
      <c r="C4400" s="371" t="s">
        <v>2791</v>
      </c>
      <c r="D4400" s="2716">
        <f t="shared" si="490"/>
        <v>0</v>
      </c>
      <c r="E4400" s="2721" t="s">
        <v>4161</v>
      </c>
      <c r="F4400" s="294"/>
      <c r="G4400" s="2427" t="s">
        <v>2792</v>
      </c>
      <c r="H4400" s="2275"/>
      <c r="I4400" s="2275"/>
      <c r="J4400" s="2275"/>
      <c r="K4400" s="2275"/>
      <c r="L4400" s="2275"/>
      <c r="M4400" s="2275"/>
      <c r="N4400" s="1477">
        <f>SUM(H4400,L4400)</f>
        <v>0</v>
      </c>
      <c r="O4400" s="424" t="str">
        <f t="shared" si="492"/>
        <v/>
      </c>
      <c r="Q4400" s="291"/>
      <c r="R4400" s="367"/>
      <c r="S4400" s="364"/>
      <c r="Z4400" s="609" t="s">
        <v>4147</v>
      </c>
      <c r="AA4400" s="609" t="s">
        <v>5700</v>
      </c>
      <c r="AE4400" s="369" t="s">
        <v>2761</v>
      </c>
      <c r="AF4400" s="369"/>
    </row>
    <row r="4401" spans="1:32" ht="18" hidden="1">
      <c r="A4401" s="2714"/>
      <c r="B4401" s="371">
        <v>101.004</v>
      </c>
      <c r="C4401" s="371" t="s">
        <v>2791</v>
      </c>
      <c r="D4401" s="2716">
        <f t="shared" si="490"/>
        <v>0</v>
      </c>
      <c r="E4401" s="2721" t="s">
        <v>4161</v>
      </c>
      <c r="F4401" s="294"/>
      <c r="G4401" s="2427" t="s">
        <v>2792</v>
      </c>
      <c r="H4401" s="2275"/>
      <c r="I4401" s="2275"/>
      <c r="J4401" s="2275"/>
      <c r="K4401" s="2275"/>
      <c r="L4401" s="2275"/>
      <c r="M4401" s="2275"/>
      <c r="N4401" s="1477">
        <f>SUM(H4401,L4401)</f>
        <v>0</v>
      </c>
      <c r="O4401" s="424" t="str">
        <f t="shared" si="492"/>
        <v/>
      </c>
      <c r="Q4401" s="291"/>
      <c r="R4401" s="367"/>
      <c r="S4401" s="364"/>
      <c r="Z4401" s="609" t="s">
        <v>4147</v>
      </c>
      <c r="AA4401" s="609" t="s">
        <v>5700</v>
      </c>
      <c r="AE4401" s="369" t="s">
        <v>2761</v>
      </c>
      <c r="AF4401" s="369"/>
    </row>
    <row r="4402" spans="1:32" ht="24" hidden="1">
      <c r="A4402" s="2714"/>
      <c r="B4402" s="371">
        <v>102</v>
      </c>
      <c r="C4402" s="371" t="s">
        <v>2793</v>
      </c>
      <c r="D4402" s="2716">
        <f t="shared" si="490"/>
        <v>1</v>
      </c>
      <c r="E4402" s="2721">
        <v>1</v>
      </c>
      <c r="F4402" s="294"/>
      <c r="G4402" s="1474" t="s">
        <v>4163</v>
      </c>
      <c r="H4402" s="1476">
        <f t="shared" ref="H4402:M4402" si="493">SUMIF($E$4396:$E$4409,$G4402,H$4396:H$4409)</f>
        <v>0</v>
      </c>
      <c r="I4402" s="1476">
        <f t="shared" si="493"/>
        <v>0</v>
      </c>
      <c r="J4402" s="1476">
        <f t="shared" si="493"/>
        <v>0</v>
      </c>
      <c r="K4402" s="1476">
        <f t="shared" si="493"/>
        <v>0</v>
      </c>
      <c r="L4402" s="1476">
        <f t="shared" si="493"/>
        <v>0</v>
      </c>
      <c r="M4402" s="1476">
        <f t="shared" si="493"/>
        <v>0</v>
      </c>
      <c r="N4402" s="1477">
        <f>SUMIF($E$4396:$E$4409,$G4402,N$4396:N$4409)</f>
        <v>0</v>
      </c>
      <c r="O4402" s="424" t="str">
        <f t="shared" si="492"/>
        <v/>
      </c>
      <c r="Q4402" s="291"/>
      <c r="R4402" s="367"/>
      <c r="S4402" s="364"/>
      <c r="Z4402" s="609" t="s">
        <v>4147</v>
      </c>
      <c r="AA4402" s="609" t="s">
        <v>5700</v>
      </c>
      <c r="AE4402" s="369" t="s">
        <v>2761</v>
      </c>
      <c r="AF4402" s="369"/>
    </row>
    <row r="4403" spans="1:32" ht="24" hidden="1">
      <c r="A4403" s="2714"/>
      <c r="B4403" s="371">
        <v>102.001</v>
      </c>
      <c r="C4403" s="371"/>
      <c r="D4403" s="2716">
        <f t="shared" si="490"/>
        <v>1</v>
      </c>
      <c r="E4403" s="2721" t="s">
        <v>4163</v>
      </c>
      <c r="F4403" s="294"/>
      <c r="G4403" s="1474" t="s">
        <v>4170</v>
      </c>
      <c r="H4403" s="2275"/>
      <c r="I4403" s="2275"/>
      <c r="J4403" s="2275"/>
      <c r="K4403" s="2275"/>
      <c r="L4403" s="2275"/>
      <c r="M4403" s="2275"/>
      <c r="N4403" s="1477">
        <f t="shared" ref="N4403:N4409" si="494">SUM(H4403,L4403)</f>
        <v>0</v>
      </c>
      <c r="O4403" s="424" t="str">
        <f t="shared" si="492"/>
        <v/>
      </c>
      <c r="Q4403" s="291"/>
      <c r="R4403" s="367"/>
      <c r="S4403" s="364"/>
      <c r="Z4403" s="609" t="s">
        <v>4147</v>
      </c>
      <c r="AA4403" s="609" t="s">
        <v>5700</v>
      </c>
      <c r="AE4403" s="369" t="s">
        <v>2761</v>
      </c>
      <c r="AF4403" s="369"/>
    </row>
    <row r="4404" spans="1:32" ht="24" hidden="1">
      <c r="A4404" s="2714"/>
      <c r="B4404" s="371">
        <v>102.002</v>
      </c>
      <c r="C4404" s="371"/>
      <c r="D4404" s="2716">
        <f t="shared" si="490"/>
        <v>1</v>
      </c>
      <c r="E4404" s="2721" t="s">
        <v>4163</v>
      </c>
      <c r="F4404" s="294"/>
      <c r="G4404" s="1474" t="s">
        <v>4171</v>
      </c>
      <c r="H4404" s="2275"/>
      <c r="I4404" s="2275"/>
      <c r="J4404" s="2275"/>
      <c r="K4404" s="2275"/>
      <c r="L4404" s="2275"/>
      <c r="M4404" s="2275"/>
      <c r="N4404" s="1477">
        <f t="shared" si="494"/>
        <v>0</v>
      </c>
      <c r="O4404" s="424" t="str">
        <f t="shared" si="492"/>
        <v/>
      </c>
      <c r="Q4404" s="291"/>
      <c r="R4404" s="367"/>
      <c r="S4404" s="364"/>
      <c r="Z4404" s="609" t="s">
        <v>4147</v>
      </c>
      <c r="AA4404" s="609" t="s">
        <v>5700</v>
      </c>
      <c r="AE4404" s="369" t="s">
        <v>2761</v>
      </c>
      <c r="AF4404" s="369"/>
    </row>
    <row r="4405" spans="1:32" ht="24" hidden="1">
      <c r="A4405" s="2714"/>
      <c r="B4405" s="371">
        <v>102.003</v>
      </c>
      <c r="C4405" s="371"/>
      <c r="D4405" s="2716">
        <f t="shared" si="490"/>
        <v>1</v>
      </c>
      <c r="E4405" s="2721" t="s">
        <v>4163</v>
      </c>
      <c r="F4405" s="294"/>
      <c r="G4405" s="1474" t="s">
        <v>4172</v>
      </c>
      <c r="H4405" s="2275"/>
      <c r="I4405" s="2275"/>
      <c r="J4405" s="2275"/>
      <c r="K4405" s="2275"/>
      <c r="L4405" s="2275"/>
      <c r="M4405" s="2275"/>
      <c r="N4405" s="1477">
        <f t="shared" si="494"/>
        <v>0</v>
      </c>
      <c r="O4405" s="424" t="str">
        <f t="shared" si="492"/>
        <v/>
      </c>
      <c r="Q4405" s="291"/>
      <c r="R4405" s="367"/>
      <c r="S4405" s="364"/>
      <c r="Z4405" s="609" t="s">
        <v>4147</v>
      </c>
      <c r="AA4405" s="609" t="s">
        <v>5700</v>
      </c>
      <c r="AE4405" s="369" t="s">
        <v>2761</v>
      </c>
      <c r="AF4405" s="369"/>
    </row>
    <row r="4406" spans="1:32" ht="24" hidden="1">
      <c r="A4406" s="2714"/>
      <c r="B4406" s="371">
        <v>102.004</v>
      </c>
      <c r="C4406" s="371"/>
      <c r="D4406" s="2716">
        <f t="shared" si="490"/>
        <v>1</v>
      </c>
      <c r="E4406" s="2721" t="s">
        <v>4163</v>
      </c>
      <c r="F4406" s="294"/>
      <c r="G4406" s="1474" t="s">
        <v>4173</v>
      </c>
      <c r="H4406" s="2275"/>
      <c r="I4406" s="2275"/>
      <c r="J4406" s="2275"/>
      <c r="K4406" s="2275"/>
      <c r="L4406" s="2275"/>
      <c r="M4406" s="2275"/>
      <c r="N4406" s="1477">
        <f t="shared" si="494"/>
        <v>0</v>
      </c>
      <c r="O4406" s="424" t="str">
        <f t="shared" si="492"/>
        <v/>
      </c>
      <c r="Q4406" s="291"/>
      <c r="R4406" s="367"/>
      <c r="S4406" s="364"/>
      <c r="Z4406" s="609" t="s">
        <v>4147</v>
      </c>
      <c r="AA4406" s="609" t="s">
        <v>5700</v>
      </c>
      <c r="AE4406" s="369" t="s">
        <v>2761</v>
      </c>
      <c r="AF4406" s="369"/>
    </row>
    <row r="4407" spans="1:32" ht="18" hidden="1">
      <c r="A4407" s="2714"/>
      <c r="B4407" s="371">
        <v>102.005</v>
      </c>
      <c r="C4407" s="371"/>
      <c r="D4407" s="2716">
        <f t="shared" si="490"/>
        <v>1</v>
      </c>
      <c r="E4407" s="2721" t="s">
        <v>4163</v>
      </c>
      <c r="F4407" s="294"/>
      <c r="G4407" s="1474" t="s">
        <v>4174</v>
      </c>
      <c r="H4407" s="2275"/>
      <c r="I4407" s="2275"/>
      <c r="J4407" s="2275"/>
      <c r="K4407" s="2275"/>
      <c r="L4407" s="2275"/>
      <c r="M4407" s="2275"/>
      <c r="N4407" s="1477">
        <f t="shared" si="494"/>
        <v>0</v>
      </c>
      <c r="O4407" s="424" t="str">
        <f t="shared" si="492"/>
        <v/>
      </c>
      <c r="Q4407" s="291"/>
      <c r="R4407" s="367"/>
      <c r="S4407" s="364"/>
      <c r="Z4407" s="609" t="s">
        <v>4147</v>
      </c>
      <c r="AA4407" s="609" t="s">
        <v>5700</v>
      </c>
      <c r="AE4407" s="369" t="s">
        <v>2761</v>
      </c>
      <c r="AF4407" s="369"/>
    </row>
    <row r="4408" spans="1:32" ht="18" hidden="1">
      <c r="A4408" s="2714"/>
      <c r="B4408" s="371">
        <v>102.006</v>
      </c>
      <c r="C4408" s="371" t="s">
        <v>2791</v>
      </c>
      <c r="D4408" s="2716">
        <f t="shared" si="490"/>
        <v>0</v>
      </c>
      <c r="E4408" s="2721" t="s">
        <v>4163</v>
      </c>
      <c r="F4408" s="294"/>
      <c r="G4408" s="2427" t="s">
        <v>2792</v>
      </c>
      <c r="H4408" s="2275"/>
      <c r="I4408" s="2275"/>
      <c r="J4408" s="2275"/>
      <c r="K4408" s="2275"/>
      <c r="L4408" s="2275"/>
      <c r="M4408" s="2275"/>
      <c r="N4408" s="1477">
        <f t="shared" si="494"/>
        <v>0</v>
      </c>
      <c r="O4408" s="424" t="str">
        <f t="shared" si="492"/>
        <v/>
      </c>
      <c r="Q4408" s="291"/>
      <c r="R4408" s="367"/>
      <c r="S4408" s="364"/>
      <c r="Z4408" s="609" t="s">
        <v>4147</v>
      </c>
      <c r="AA4408" s="609" t="s">
        <v>5700</v>
      </c>
      <c r="AE4408" s="369" t="s">
        <v>2761</v>
      </c>
      <c r="AF4408" s="369"/>
    </row>
    <row r="4409" spans="1:32" ht="18" hidden="1">
      <c r="A4409" s="2714"/>
      <c r="B4409" s="371">
        <v>102.00700000000001</v>
      </c>
      <c r="C4409" s="371" t="s">
        <v>2791</v>
      </c>
      <c r="D4409" s="2716">
        <f t="shared" si="490"/>
        <v>0</v>
      </c>
      <c r="E4409" s="2721" t="s">
        <v>4163</v>
      </c>
      <c r="F4409" s="294"/>
      <c r="G4409" s="2427" t="s">
        <v>2792</v>
      </c>
      <c r="H4409" s="2275"/>
      <c r="I4409" s="2275"/>
      <c r="J4409" s="2275"/>
      <c r="K4409" s="2275"/>
      <c r="L4409" s="2275"/>
      <c r="M4409" s="2275"/>
      <c r="N4409" s="1477">
        <f t="shared" si="494"/>
        <v>0</v>
      </c>
      <c r="O4409" s="424" t="str">
        <f t="shared" si="492"/>
        <v/>
      </c>
      <c r="Q4409" s="291"/>
      <c r="R4409" s="367"/>
      <c r="S4409" s="364"/>
      <c r="Z4409" s="609" t="s">
        <v>4147</v>
      </c>
      <c r="AA4409" s="609" t="s">
        <v>5700</v>
      </c>
      <c r="AE4409" s="369" t="s">
        <v>2761</v>
      </c>
      <c r="AF4409" s="369"/>
    </row>
    <row r="4410" spans="1:32" ht="18.75" hidden="1" thickBot="1">
      <c r="A4410" s="2714"/>
      <c r="B4410" s="371"/>
      <c r="C4410" s="371"/>
      <c r="D4410" s="2716">
        <f>IF(OR(G4410="*",G4410="",G4410=0),0,COUNTIF($G$4397:$G$4410,G4410))</f>
        <v>1</v>
      </c>
      <c r="E4410" s="2721" t="s">
        <v>2751</v>
      </c>
      <c r="F4410" s="294"/>
      <c r="G4410" s="310" t="s">
        <v>2752</v>
      </c>
      <c r="H4410" s="1481">
        <f t="shared" ref="H4410:M4410" si="495">SUMPRODUCT($E4396:$E4409,H4396:H4409)</f>
        <v>0</v>
      </c>
      <c r="I4410" s="1481">
        <f t="shared" si="495"/>
        <v>0</v>
      </c>
      <c r="J4410" s="1481">
        <f t="shared" si="495"/>
        <v>0</v>
      </c>
      <c r="K4410" s="1481">
        <f t="shared" si="495"/>
        <v>0</v>
      </c>
      <c r="L4410" s="1481">
        <f t="shared" si="495"/>
        <v>0</v>
      </c>
      <c r="M4410" s="1481">
        <f t="shared" si="495"/>
        <v>0</v>
      </c>
      <c r="N4410" s="1482">
        <f>SUMPRODUCT($E4396:$E4409,N4396:N4409)</f>
        <v>0</v>
      </c>
      <c r="O4410" s="424" t="str">
        <f t="shared" si="492"/>
        <v/>
      </c>
      <c r="P4410" s="355"/>
      <c r="Q4410" s="472"/>
      <c r="R4410" s="367"/>
      <c r="S4410" s="364"/>
      <c r="Z4410" s="609" t="s">
        <v>4147</v>
      </c>
      <c r="AA4410" s="609" t="s">
        <v>5700</v>
      </c>
      <c r="AE4410" s="369" t="s">
        <v>2761</v>
      </c>
      <c r="AF4410" s="369"/>
    </row>
    <row r="4411" spans="1:32" ht="18" hidden="1">
      <c r="A4411" s="2714"/>
      <c r="B4411" s="371"/>
      <c r="C4411" s="371" t="s">
        <v>2755</v>
      </c>
      <c r="D4411" s="371"/>
      <c r="F4411" s="294"/>
      <c r="G4411" s="301"/>
      <c r="H4411" s="315"/>
      <c r="I4411" s="315"/>
      <c r="J4411" s="315"/>
      <c r="K4411" s="315"/>
      <c r="L4411" s="315"/>
      <c r="M4411" s="315"/>
      <c r="N4411" s="315"/>
      <c r="P4411" s="315"/>
      <c r="Q4411" s="472"/>
      <c r="R4411" s="472"/>
      <c r="S4411" s="364"/>
      <c r="Z4411" s="609" t="s">
        <v>4147</v>
      </c>
      <c r="AA4411" s="609" t="s">
        <v>5700</v>
      </c>
      <c r="AE4411" s="369" t="s">
        <v>2761</v>
      </c>
    </row>
    <row r="4412" spans="1:32" ht="18">
      <c r="A4412" s="2714">
        <v>4301</v>
      </c>
      <c r="B4412" s="371">
        <v>58</v>
      </c>
      <c r="C4412" s="2716" t="str">
        <f>VLOOKUP($A4412,Sheet_Items,2,0)</f>
        <v>专项储备</v>
      </c>
      <c r="D4412" s="371"/>
      <c r="E4412" s="2716" t="s">
        <v>2739</v>
      </c>
      <c r="F4412" s="294"/>
      <c r="G4412" s="305" t="str">
        <f>B4412&amp;" "&amp;C4412</f>
        <v>58 专项储备</v>
      </c>
      <c r="H4412" s="306"/>
      <c r="I4412" s="306"/>
      <c r="J4412" s="306" t="s">
        <v>2740</v>
      </c>
      <c r="K4412" s="341">
        <f>VLOOKUP($A4412,Sheet_Trialbal,6,0)</f>
        <v>0</v>
      </c>
      <c r="L4412" s="342"/>
      <c r="M4412" s="306" t="s">
        <v>2741</v>
      </c>
      <c r="N4412" s="341">
        <f>VLOOKUP($A4412,Sheet_Trialbal,10,0)</f>
        <v>0</v>
      </c>
      <c r="O4412" s="306"/>
      <c r="P4412" s="301"/>
      <c r="S4412" s="364"/>
      <c r="Z4412" s="609" t="s">
        <v>4175</v>
      </c>
      <c r="AA4412" s="609" t="s">
        <v>5701</v>
      </c>
    </row>
    <row r="4413" spans="1:32" ht="18">
      <c r="A4413" s="2714" t="s">
        <v>1837</v>
      </c>
      <c r="B4413" s="371">
        <v>1</v>
      </c>
      <c r="C4413" s="371"/>
      <c r="D4413" s="2716" t="str">
        <f>VLOOKUP($A4413,Sheet_NoteList,2,0)</f>
        <v>专项储备变动情况</v>
      </c>
      <c r="E4413" s="2716" t="s">
        <v>2742</v>
      </c>
      <c r="F4413" s="294"/>
      <c r="G4413" s="307" t="str">
        <f>"("&amp;B4413&amp;")"&amp;D4413</f>
        <v>(1)专项储备变动情况</v>
      </c>
      <c r="H4413" s="1517" t="str">
        <f>$A4413</f>
        <v>4301a</v>
      </c>
      <c r="I4413" s="343" t="s">
        <v>2743</v>
      </c>
      <c r="J4413" s="301" t="s">
        <v>2744</v>
      </c>
      <c r="K4413" s="2210">
        <f>K4421</f>
        <v>0</v>
      </c>
      <c r="L4413" s="345" t="str">
        <f>IF($I4413="适用",IF(ROUND(K4412-K4413,2)=0,"F/S",ROUND(K4412-K4413,2)),"#N/A")</f>
        <v>F/S</v>
      </c>
      <c r="M4413" s="301" t="s">
        <v>2745</v>
      </c>
      <c r="N4413" s="2210">
        <f>H4421</f>
        <v>0</v>
      </c>
      <c r="O4413" s="345" t="str">
        <f>IF($I4413="适用",IF(ROUND(N4412-N4413,2)=0,"F/S",ROUND(N4412-N4413,2)),"#N/A")</f>
        <v>F/S</v>
      </c>
      <c r="P4413" s="301"/>
      <c r="S4413" s="364"/>
      <c r="Z4413" s="609" t="s">
        <v>4175</v>
      </c>
      <c r="AA4413" s="609" t="s">
        <v>5701</v>
      </c>
    </row>
    <row r="4414" spans="1:32" ht="0.75" customHeight="1" thickBot="1">
      <c r="A4414" s="2714"/>
      <c r="B4414" s="371"/>
      <c r="C4414" s="371"/>
      <c r="D4414" s="371"/>
      <c r="E4414" s="586"/>
      <c r="F4414" s="363"/>
      <c r="G4414" s="363" t="s">
        <v>4176</v>
      </c>
      <c r="H4414" s="294" t="s">
        <v>2904</v>
      </c>
      <c r="I4414" s="294" t="s">
        <v>3255</v>
      </c>
      <c r="J4414" s="294" t="s">
        <v>3256</v>
      </c>
      <c r="K4414" s="294" t="s">
        <v>3241</v>
      </c>
      <c r="L4414" s="291"/>
      <c r="M4414" s="291"/>
      <c r="N4414" s="291"/>
      <c r="O4414" s="291"/>
      <c r="S4414" s="364"/>
      <c r="Z4414" s="609" t="s">
        <v>4175</v>
      </c>
      <c r="AA4414" s="609" t="s">
        <v>5701</v>
      </c>
    </row>
    <row r="4415" spans="1:32" ht="18">
      <c r="A4415" s="2714"/>
      <c r="B4415" s="371"/>
      <c r="C4415" s="371"/>
      <c r="D4415" s="371"/>
      <c r="E4415" s="586" t="s">
        <v>2749</v>
      </c>
      <c r="F4415" s="363"/>
      <c r="G4415" s="2428" t="s">
        <v>47</v>
      </c>
      <c r="H4415" s="2475" t="str">
        <f>$V$3</f>
        <v>2018年12月31日</v>
      </c>
      <c r="I4415" s="2425" t="s">
        <v>3027</v>
      </c>
      <c r="J4415" s="2425" t="s">
        <v>3028</v>
      </c>
      <c r="K4415" s="2480" t="str">
        <f>$V$2</f>
        <v>2019年12月31日</v>
      </c>
      <c r="L4415" s="355" t="s">
        <v>5323</v>
      </c>
      <c r="M4415" s="291"/>
      <c r="N4415" s="291"/>
      <c r="O4415" s="291"/>
      <c r="S4415" s="364"/>
      <c r="Z4415" s="609" t="s">
        <v>4175</v>
      </c>
      <c r="AA4415" s="609" t="s">
        <v>5701</v>
      </c>
    </row>
    <row r="4416" spans="1:32" ht="18">
      <c r="A4416" s="2714"/>
      <c r="B4416" s="371">
        <v>101</v>
      </c>
      <c r="C4416" s="371"/>
      <c r="D4416" s="2716">
        <f t="shared" ref="D4416:D4421" si="496">IF(OR(G4416="*",G4416="",G4416=0),0,COUNTIF($G$4416:$G$4421,G4416))</f>
        <v>1</v>
      </c>
      <c r="E4416" s="2721">
        <v>1</v>
      </c>
      <c r="F4416" s="294"/>
      <c r="G4416" s="1474" t="s">
        <v>4177</v>
      </c>
      <c r="H4416" s="2275"/>
      <c r="I4416" s="2275"/>
      <c r="J4416" s="2275"/>
      <c r="K4416" s="1477">
        <f>H4416+I4416-J4416</f>
        <v>0</v>
      </c>
      <c r="L4416" s="291"/>
      <c r="M4416" s="291"/>
      <c r="N4416" s="291"/>
      <c r="O4416" s="291"/>
      <c r="S4416" s="364"/>
      <c r="Z4416" s="609" t="s">
        <v>4175</v>
      </c>
      <c r="AA4416" s="609" t="s">
        <v>5701</v>
      </c>
    </row>
    <row r="4417" spans="1:27" ht="18">
      <c r="A4417" s="2714"/>
      <c r="B4417" s="371">
        <v>102</v>
      </c>
      <c r="C4417" s="371" t="s">
        <v>2791</v>
      </c>
      <c r="D4417" s="2716">
        <f t="shared" si="496"/>
        <v>1</v>
      </c>
      <c r="E4417" s="2721">
        <v>1</v>
      </c>
      <c r="F4417" s="294"/>
      <c r="G4417" s="2427" t="s">
        <v>6087</v>
      </c>
      <c r="H4417" s="2275"/>
      <c r="I4417" s="2275"/>
      <c r="J4417" s="2275"/>
      <c r="K4417" s="1477">
        <f>H4417+I4417-J4417</f>
        <v>0</v>
      </c>
      <c r="L4417" s="291"/>
      <c r="M4417" s="291"/>
      <c r="N4417" s="291"/>
      <c r="O4417" s="291"/>
      <c r="S4417" s="364"/>
      <c r="Z4417" s="609" t="s">
        <v>4175</v>
      </c>
      <c r="AA4417" s="609" t="s">
        <v>5701</v>
      </c>
    </row>
    <row r="4418" spans="1:27" ht="18">
      <c r="A4418" s="2714"/>
      <c r="B4418" s="371">
        <v>103</v>
      </c>
      <c r="C4418" s="371" t="s">
        <v>2791</v>
      </c>
      <c r="D4418" s="2716">
        <f t="shared" si="496"/>
        <v>0</v>
      </c>
      <c r="E4418" s="2721">
        <v>1</v>
      </c>
      <c r="F4418" s="294"/>
      <c r="G4418" s="2427" t="s">
        <v>2792</v>
      </c>
      <c r="H4418" s="2275"/>
      <c r="I4418" s="2275"/>
      <c r="J4418" s="2275"/>
      <c r="K4418" s="1477">
        <f>H4418+I4418-J4418</f>
        <v>0</v>
      </c>
      <c r="L4418" s="291"/>
      <c r="M4418" s="291"/>
      <c r="N4418" s="291"/>
      <c r="O4418" s="291"/>
      <c r="S4418" s="364"/>
      <c r="Z4418" s="609" t="s">
        <v>4175</v>
      </c>
      <c r="AA4418" s="609" t="s">
        <v>5701</v>
      </c>
    </row>
    <row r="4419" spans="1:27" ht="18">
      <c r="A4419" s="2714"/>
      <c r="B4419" s="371">
        <v>104</v>
      </c>
      <c r="C4419" s="371" t="s">
        <v>2791</v>
      </c>
      <c r="D4419" s="2716">
        <f t="shared" si="496"/>
        <v>0</v>
      </c>
      <c r="E4419" s="2721">
        <v>1</v>
      </c>
      <c r="F4419" s="294"/>
      <c r="G4419" s="2427" t="s">
        <v>2792</v>
      </c>
      <c r="H4419" s="2275"/>
      <c r="I4419" s="2275"/>
      <c r="J4419" s="2275"/>
      <c r="K4419" s="1477">
        <f>H4419+I4419-J4419</f>
        <v>0</v>
      </c>
      <c r="L4419" s="291"/>
      <c r="M4419" s="291"/>
      <c r="N4419" s="291"/>
      <c r="O4419" s="291"/>
      <c r="S4419" s="364"/>
      <c r="Z4419" s="609" t="s">
        <v>4175</v>
      </c>
      <c r="AA4419" s="609" t="s">
        <v>5701</v>
      </c>
    </row>
    <row r="4420" spans="1:27" ht="18">
      <c r="A4420" s="2714"/>
      <c r="B4420" s="371">
        <v>105</v>
      </c>
      <c r="C4420" s="371" t="s">
        <v>2791</v>
      </c>
      <c r="D4420" s="2716">
        <f t="shared" si="496"/>
        <v>0</v>
      </c>
      <c r="E4420" s="2721">
        <v>1</v>
      </c>
      <c r="F4420" s="294"/>
      <c r="G4420" s="2427" t="s">
        <v>2792</v>
      </c>
      <c r="H4420" s="2275"/>
      <c r="I4420" s="2275"/>
      <c r="J4420" s="2275"/>
      <c r="K4420" s="1477">
        <f>H4420+I4420-J4420</f>
        <v>0</v>
      </c>
      <c r="L4420" s="291"/>
      <c r="M4420" s="291"/>
      <c r="N4420" s="291"/>
      <c r="O4420" s="291"/>
      <c r="S4420" s="364"/>
      <c r="Z4420" s="609" t="s">
        <v>4175</v>
      </c>
      <c r="AA4420" s="609" t="s">
        <v>5701</v>
      </c>
    </row>
    <row r="4421" spans="1:27" ht="18.75" thickBot="1">
      <c r="A4421" s="2714"/>
      <c r="B4421" s="371"/>
      <c r="C4421" s="371"/>
      <c r="D4421" s="2716">
        <f t="shared" si="496"/>
        <v>1</v>
      </c>
      <c r="E4421" s="2721" t="s">
        <v>2751</v>
      </c>
      <c r="F4421" s="294"/>
      <c r="G4421" s="374" t="s">
        <v>2752</v>
      </c>
      <c r="H4421" s="1478">
        <f>SUMPRODUCT($E4415:$E4420,H4415:H4420)</f>
        <v>0</v>
      </c>
      <c r="I4421" s="1478">
        <f>SUMPRODUCT($E4415:$E4420,I4415:I4420)</f>
        <v>0</v>
      </c>
      <c r="J4421" s="1478">
        <f>SUMPRODUCT($E4415:$E4420,J4415:J4420)</f>
        <v>0</v>
      </c>
      <c r="K4421" s="1479">
        <f>SUMPRODUCT($E4415:$E4420,K4415:K4420)</f>
        <v>0</v>
      </c>
      <c r="L4421" s="291"/>
      <c r="M4421" s="291"/>
      <c r="N4421" s="291"/>
      <c r="O4421" s="291"/>
      <c r="S4421" s="364"/>
      <c r="Z4421" s="609" t="s">
        <v>4175</v>
      </c>
      <c r="AA4421" s="609" t="s">
        <v>5701</v>
      </c>
    </row>
    <row r="4422" spans="1:27" ht="18">
      <c r="A4422" s="2714"/>
      <c r="B4422" s="371"/>
      <c r="C4422" s="371" t="s">
        <v>2755</v>
      </c>
      <c r="D4422" s="371"/>
      <c r="F4422" s="294"/>
      <c r="G4422" s="301"/>
      <c r="H4422" s="315"/>
      <c r="I4422" s="315"/>
      <c r="J4422" s="315"/>
      <c r="K4422" s="315"/>
      <c r="L4422" s="291"/>
      <c r="M4422" s="291"/>
      <c r="N4422" s="291"/>
      <c r="O4422" s="291"/>
      <c r="S4422" s="364"/>
      <c r="Z4422" s="609" t="s">
        <v>4175</v>
      </c>
      <c r="AA4422" s="609" t="s">
        <v>5701</v>
      </c>
    </row>
    <row r="4423" spans="1:27" ht="18">
      <c r="A4423" s="2714">
        <v>4101</v>
      </c>
      <c r="B4423" s="371">
        <v>59</v>
      </c>
      <c r="C4423" s="2716" t="str">
        <f>VLOOKUP($A4423,Sheet_Items,2,0)</f>
        <v>盈余公积</v>
      </c>
      <c r="D4423" s="371"/>
      <c r="E4423" s="2716" t="s">
        <v>2739</v>
      </c>
      <c r="F4423" s="294"/>
      <c r="G4423" s="305" t="str">
        <f>B4423&amp;" "&amp;C4423</f>
        <v>59 盈余公积</v>
      </c>
      <c r="H4423" s="306"/>
      <c r="I4423" s="306"/>
      <c r="J4423" s="306" t="s">
        <v>2740</v>
      </c>
      <c r="K4423" s="341">
        <f>VLOOKUP($A4423,Sheet_Trialbal,6,0)</f>
        <v>0</v>
      </c>
      <c r="L4423" s="342"/>
      <c r="M4423" s="306" t="s">
        <v>2741</v>
      </c>
      <c r="N4423" s="341">
        <f>VLOOKUP($A4423,Sheet_Trialbal,10,0)</f>
        <v>0</v>
      </c>
      <c r="O4423" s="306"/>
      <c r="P4423" s="301"/>
      <c r="S4423" s="364"/>
      <c r="Z4423" s="609" t="s">
        <v>4178</v>
      </c>
      <c r="AA4423" s="609" t="s">
        <v>4179</v>
      </c>
    </row>
    <row r="4424" spans="1:27" ht="18">
      <c r="A4424" s="2714" t="s">
        <v>1805</v>
      </c>
      <c r="B4424" s="371">
        <v>1</v>
      </c>
      <c r="C4424" s="371"/>
      <c r="D4424" s="2716" t="str">
        <f>VLOOKUP($A4424,Sheet_NoteList,2,0)</f>
        <v>盈余公积列示</v>
      </c>
      <c r="E4424" s="2716" t="s">
        <v>2742</v>
      </c>
      <c r="F4424" s="293"/>
      <c r="G4424" s="372" t="str">
        <f>"("&amp;B4424&amp;")"&amp;D4424</f>
        <v>(1)盈余公积列示</v>
      </c>
      <c r="H4424" s="1517" t="str">
        <f>$A4424</f>
        <v>4101b</v>
      </c>
      <c r="I4424" s="343" t="s">
        <v>2743</v>
      </c>
      <c r="J4424" s="301" t="s">
        <v>2744</v>
      </c>
      <c r="K4424" s="2210">
        <f>M4435</f>
        <v>0</v>
      </c>
      <c r="L4424" s="349" t="str">
        <f>IF($I4424="适用",IF(ROUND(K$4423-K4424,2)=0,"F/S",ROUND(K$4423-K4424,2)),"#N/A")</f>
        <v>F/S</v>
      </c>
      <c r="M4424" s="301" t="s">
        <v>2745</v>
      </c>
      <c r="N4424" s="2210">
        <f>H4435</f>
        <v>0</v>
      </c>
      <c r="O4424" s="349" t="str">
        <f>IF($I4424="适用",IF(ROUND(N$4423-N4424,2)=0,"F/S",ROUND(N$4423-N4424,2)),"#N/A")</f>
        <v>F/S</v>
      </c>
      <c r="P4424" s="301"/>
      <c r="S4424" s="364"/>
      <c r="Z4424" s="609" t="s">
        <v>4178</v>
      </c>
      <c r="AA4424" s="609" t="s">
        <v>4179</v>
      </c>
    </row>
    <row r="4425" spans="1:27" ht="0.75" customHeight="1" thickBot="1">
      <c r="A4425" s="2714"/>
      <c r="B4425" s="371"/>
      <c r="C4425" s="371"/>
      <c r="D4425" s="2716"/>
      <c r="F4425" s="371"/>
      <c r="G4425" s="405" t="s">
        <v>4180</v>
      </c>
      <c r="H4425" s="371" t="s">
        <v>2747</v>
      </c>
      <c r="I4425" s="371" t="s">
        <v>2748</v>
      </c>
      <c r="J4425" s="371" t="s">
        <v>2948</v>
      </c>
      <c r="K4425" s="547" t="s">
        <v>3647</v>
      </c>
      <c r="L4425" s="547" t="s">
        <v>3035</v>
      </c>
      <c r="M4425" s="371" t="s">
        <v>3167</v>
      </c>
      <c r="N4425" s="428"/>
      <c r="O4425" s="428"/>
      <c r="P4425" s="433"/>
      <c r="Q4425" s="442"/>
      <c r="R4425" s="443"/>
      <c r="S4425" s="364"/>
      <c r="Z4425" s="609" t="s">
        <v>4178</v>
      </c>
      <c r="AA4425" s="609" t="s">
        <v>4179</v>
      </c>
    </row>
    <row r="4426" spans="1:27" ht="24">
      <c r="A4426" s="2714"/>
      <c r="B4426" s="371"/>
      <c r="C4426" s="371"/>
      <c r="D4426" s="2716"/>
      <c r="E4426" s="2716" t="s">
        <v>2749</v>
      </c>
      <c r="F4426" s="293"/>
      <c r="G4426" s="2563" t="s">
        <v>47</v>
      </c>
      <c r="H4426" s="2571" t="str">
        <f>$V$3</f>
        <v>2018年12月31日</v>
      </c>
      <c r="I4426" s="2558" t="s">
        <v>5209</v>
      </c>
      <c r="J4426" s="2571" t="str">
        <f>$X$3</f>
        <v>2019年1月1日</v>
      </c>
      <c r="K4426" s="2311" t="s">
        <v>3027</v>
      </c>
      <c r="L4426" s="2311" t="s">
        <v>3028</v>
      </c>
      <c r="M4426" s="2561" t="str">
        <f>$V$2</f>
        <v>2019年12月31日</v>
      </c>
      <c r="N4426" s="355" t="s">
        <v>5324</v>
      </c>
      <c r="O4426" s="434"/>
      <c r="P4426" s="435"/>
      <c r="Q4426" s="442"/>
      <c r="R4426" s="443"/>
      <c r="S4426" s="364"/>
      <c r="Z4426" s="609" t="s">
        <v>4178</v>
      </c>
      <c r="AA4426" s="609" t="s">
        <v>4179</v>
      </c>
    </row>
    <row r="4427" spans="1:27" ht="18">
      <c r="A4427" s="2714"/>
      <c r="B4427" s="371">
        <v>101</v>
      </c>
      <c r="C4427" s="371"/>
      <c r="D4427" s="2716">
        <f t="shared" ref="D4427:D4435" si="497">IF(OR(G4427="*",G4427="",G4427=0),0,COUNTIF($G$4427:$G$4435,G4427))</f>
        <v>1</v>
      </c>
      <c r="E4427" s="2721">
        <v>1</v>
      </c>
      <c r="F4427" s="293"/>
      <c r="G4427" s="308" t="s">
        <v>4181</v>
      </c>
      <c r="H4427" s="309"/>
      <c r="I4427" s="422"/>
      <c r="J4427" s="309">
        <f>H4427+I4427</f>
        <v>0</v>
      </c>
      <c r="K4427" s="320"/>
      <c r="L4427" s="309"/>
      <c r="M4427" s="346">
        <f>J4427+K4427-L4427</f>
        <v>0</v>
      </c>
      <c r="N4427" s="439"/>
      <c r="O4427" s="437"/>
      <c r="P4427" s="438"/>
      <c r="Q4427" s="442"/>
      <c r="R4427" s="443"/>
      <c r="S4427" s="364"/>
      <c r="Z4427" s="609" t="s">
        <v>4178</v>
      </c>
      <c r="AA4427" s="609" t="s">
        <v>4179</v>
      </c>
    </row>
    <row r="4428" spans="1:27" ht="18">
      <c r="A4428" s="2714"/>
      <c r="B4428" s="371">
        <v>102</v>
      </c>
      <c r="C4428" s="371"/>
      <c r="D4428" s="2716">
        <f t="shared" si="497"/>
        <v>1</v>
      </c>
      <c r="E4428" s="2721">
        <v>1</v>
      </c>
      <c r="F4428" s="293"/>
      <c r="G4428" s="308" t="s">
        <v>4182</v>
      </c>
      <c r="H4428" s="309"/>
      <c r="I4428" s="422"/>
      <c r="J4428" s="309">
        <f t="shared" ref="J4428:J4431" si="498">H4428+I4428</f>
        <v>0</v>
      </c>
      <c r="K4428" s="320"/>
      <c r="L4428" s="309"/>
      <c r="M4428" s="346">
        <f t="shared" ref="M4428:M4431" si="499">J4428+K4428-L4428</f>
        <v>0</v>
      </c>
      <c r="N4428" s="439"/>
      <c r="O4428" s="437"/>
      <c r="P4428" s="438"/>
      <c r="Q4428" s="442"/>
      <c r="R4428" s="443"/>
      <c r="S4428" s="364"/>
      <c r="Z4428" s="609" t="s">
        <v>4178</v>
      </c>
      <c r="AA4428" s="609" t="s">
        <v>4179</v>
      </c>
    </row>
    <row r="4429" spans="1:27" ht="18">
      <c r="A4429" s="2714"/>
      <c r="B4429" s="371">
        <v>103</v>
      </c>
      <c r="C4429" s="371"/>
      <c r="D4429" s="2716">
        <f t="shared" si="497"/>
        <v>1</v>
      </c>
      <c r="E4429" s="2721">
        <v>1</v>
      </c>
      <c r="F4429" s="293"/>
      <c r="G4429" s="308" t="s">
        <v>4183</v>
      </c>
      <c r="H4429" s="309"/>
      <c r="I4429" s="422"/>
      <c r="J4429" s="309">
        <f t="shared" si="498"/>
        <v>0</v>
      </c>
      <c r="K4429" s="320"/>
      <c r="L4429" s="309"/>
      <c r="M4429" s="346">
        <f t="shared" si="499"/>
        <v>0</v>
      </c>
      <c r="N4429" s="439"/>
      <c r="O4429" s="437"/>
      <c r="P4429" s="438"/>
      <c r="Q4429" s="442"/>
      <c r="R4429" s="443"/>
      <c r="S4429" s="364"/>
      <c r="Z4429" s="609" t="s">
        <v>4178</v>
      </c>
      <c r="AA4429" s="609" t="s">
        <v>4179</v>
      </c>
    </row>
    <row r="4430" spans="1:27" ht="18">
      <c r="A4430" s="2714"/>
      <c r="B4430" s="371">
        <v>104</v>
      </c>
      <c r="C4430" s="371"/>
      <c r="D4430" s="2716">
        <f t="shared" si="497"/>
        <v>1</v>
      </c>
      <c r="E4430" s="2721">
        <v>1</v>
      </c>
      <c r="F4430" s="293"/>
      <c r="G4430" s="308" t="s">
        <v>4184</v>
      </c>
      <c r="H4430" s="309"/>
      <c r="I4430" s="422"/>
      <c r="J4430" s="309">
        <f t="shared" si="498"/>
        <v>0</v>
      </c>
      <c r="K4430" s="320"/>
      <c r="L4430" s="309"/>
      <c r="M4430" s="346">
        <f t="shared" si="499"/>
        <v>0</v>
      </c>
      <c r="N4430" s="439"/>
      <c r="O4430" s="437"/>
      <c r="P4430" s="438"/>
      <c r="Q4430" s="442"/>
      <c r="R4430" s="443"/>
      <c r="S4430" s="364"/>
      <c r="Z4430" s="609" t="s">
        <v>4178</v>
      </c>
      <c r="AA4430" s="609" t="s">
        <v>4179</v>
      </c>
    </row>
    <row r="4431" spans="1:27" ht="18">
      <c r="A4431" s="2714"/>
      <c r="B4431" s="371">
        <v>105</v>
      </c>
      <c r="C4431" s="371"/>
      <c r="D4431" s="2716">
        <f t="shared" si="497"/>
        <v>1</v>
      </c>
      <c r="E4431" s="2721">
        <v>1</v>
      </c>
      <c r="F4431" s="293"/>
      <c r="G4431" s="308" t="s">
        <v>932</v>
      </c>
      <c r="H4431" s="309"/>
      <c r="I4431" s="422"/>
      <c r="J4431" s="309">
        <f t="shared" si="498"/>
        <v>0</v>
      </c>
      <c r="K4431" s="320"/>
      <c r="L4431" s="309"/>
      <c r="M4431" s="346">
        <f t="shared" si="499"/>
        <v>0</v>
      </c>
      <c r="N4431" s="439"/>
      <c r="O4431" s="437"/>
      <c r="P4431" s="438"/>
      <c r="Q4431" s="442"/>
      <c r="R4431" s="443"/>
      <c r="S4431" s="364"/>
      <c r="Z4431" s="609" t="s">
        <v>4178</v>
      </c>
      <c r="AA4431" s="609" t="s">
        <v>4179</v>
      </c>
    </row>
    <row r="4432" spans="1:27" ht="18">
      <c r="A4432" s="2714"/>
      <c r="B4432" s="371">
        <v>106</v>
      </c>
      <c r="C4432" s="371" t="s">
        <v>2791</v>
      </c>
      <c r="D4432" s="2716">
        <f t="shared" si="497"/>
        <v>0</v>
      </c>
      <c r="E4432" s="2721">
        <v>1</v>
      </c>
      <c r="F4432" s="293"/>
      <c r="G4432" s="319" t="s">
        <v>2792</v>
      </c>
      <c r="H4432" s="309"/>
      <c r="I4432" s="422"/>
      <c r="J4432" s="309"/>
      <c r="K4432" s="320"/>
      <c r="L4432" s="309"/>
      <c r="M4432" s="346"/>
      <c r="N4432" s="439"/>
      <c r="O4432" s="437"/>
      <c r="P4432" s="438"/>
      <c r="Q4432" s="442"/>
      <c r="R4432" s="443"/>
      <c r="S4432" s="364"/>
      <c r="Z4432" s="609" t="s">
        <v>4178</v>
      </c>
      <c r="AA4432" s="609" t="s">
        <v>4179</v>
      </c>
    </row>
    <row r="4433" spans="1:32" ht="18">
      <c r="A4433" s="2714"/>
      <c r="B4433" s="371">
        <v>107</v>
      </c>
      <c r="C4433" s="371" t="s">
        <v>2791</v>
      </c>
      <c r="D4433" s="2716">
        <f t="shared" si="497"/>
        <v>0</v>
      </c>
      <c r="E4433" s="2721">
        <v>1</v>
      </c>
      <c r="F4433" s="293"/>
      <c r="G4433" s="319" t="s">
        <v>2792</v>
      </c>
      <c r="H4433" s="309"/>
      <c r="I4433" s="422"/>
      <c r="J4433" s="309"/>
      <c r="K4433" s="320"/>
      <c r="L4433" s="309"/>
      <c r="M4433" s="346"/>
      <c r="N4433" s="439"/>
      <c r="O4433" s="437"/>
      <c r="P4433" s="438"/>
      <c r="Q4433" s="442"/>
      <c r="R4433" s="443"/>
      <c r="S4433" s="364"/>
      <c r="Z4433" s="609" t="s">
        <v>4178</v>
      </c>
      <c r="AA4433" s="609" t="s">
        <v>4179</v>
      </c>
    </row>
    <row r="4434" spans="1:32" ht="18">
      <c r="A4434" s="2714"/>
      <c r="B4434" s="371">
        <v>108</v>
      </c>
      <c r="C4434" s="371" t="s">
        <v>2791</v>
      </c>
      <c r="D4434" s="2716">
        <f t="shared" si="497"/>
        <v>0</v>
      </c>
      <c r="E4434" s="2721">
        <v>1</v>
      </c>
      <c r="F4434" s="293"/>
      <c r="G4434" s="319" t="s">
        <v>2792</v>
      </c>
      <c r="H4434" s="309"/>
      <c r="I4434" s="422"/>
      <c r="J4434" s="309"/>
      <c r="K4434" s="320"/>
      <c r="L4434" s="309"/>
      <c r="M4434" s="346"/>
      <c r="N4434" s="439"/>
      <c r="O4434" s="437"/>
      <c r="P4434" s="438"/>
      <c r="Q4434" s="442"/>
      <c r="R4434" s="443"/>
      <c r="S4434" s="364"/>
      <c r="Z4434" s="609" t="s">
        <v>4178</v>
      </c>
      <c r="AA4434" s="609" t="s">
        <v>4179</v>
      </c>
    </row>
    <row r="4435" spans="1:32" ht="18.75" thickBot="1">
      <c r="A4435" s="2714"/>
      <c r="B4435" s="371"/>
      <c r="C4435" s="371"/>
      <c r="D4435" s="2716">
        <f t="shared" si="497"/>
        <v>1</v>
      </c>
      <c r="E4435" s="2721" t="s">
        <v>2751</v>
      </c>
      <c r="F4435" s="293"/>
      <c r="G4435" s="2234" t="s">
        <v>2752</v>
      </c>
      <c r="H4435" s="2325">
        <f t="shared" ref="H4435:M4435" si="500">SUMPRODUCT($E4426:$E4434,H4426:H4434)</f>
        <v>0</v>
      </c>
      <c r="I4435" s="2325">
        <f t="shared" si="500"/>
        <v>0</v>
      </c>
      <c r="J4435" s="2325">
        <f t="shared" si="500"/>
        <v>0</v>
      </c>
      <c r="K4435" s="2325">
        <f t="shared" si="500"/>
        <v>0</v>
      </c>
      <c r="L4435" s="2325">
        <f t="shared" si="500"/>
        <v>0</v>
      </c>
      <c r="M4435" s="2342">
        <f t="shared" si="500"/>
        <v>0</v>
      </c>
      <c r="N4435" s="439"/>
      <c r="O4435" s="437"/>
      <c r="P4435" s="440"/>
      <c r="Q4435" s="442"/>
      <c r="R4435" s="443"/>
      <c r="S4435" s="364"/>
      <c r="Z4435" s="609" t="s">
        <v>4178</v>
      </c>
      <c r="AA4435" s="609" t="s">
        <v>4179</v>
      </c>
    </row>
    <row r="4436" spans="1:32" ht="18">
      <c r="A4436" s="2714"/>
      <c r="B4436" s="371"/>
      <c r="C4436" s="371" t="s">
        <v>2755</v>
      </c>
      <c r="D4436" s="2716"/>
      <c r="F4436" s="293"/>
      <c r="G4436" s="376"/>
      <c r="H4436" s="315"/>
      <c r="I4436" s="396"/>
      <c r="J4436" s="315"/>
      <c r="K4436" s="423"/>
      <c r="L4436" s="315"/>
      <c r="M4436" s="315"/>
      <c r="N4436" s="426"/>
      <c r="O4436" s="427"/>
      <c r="P4436" s="425"/>
      <c r="Q4436" s="442"/>
      <c r="R4436" s="443"/>
      <c r="S4436" s="364"/>
      <c r="Z4436" s="609" t="s">
        <v>4178</v>
      </c>
      <c r="AA4436" s="609" t="s">
        <v>4179</v>
      </c>
    </row>
    <row r="4437" spans="1:32" ht="18" hidden="1">
      <c r="A4437" s="2714" t="s">
        <v>1810</v>
      </c>
      <c r="B4437" s="371">
        <v>2</v>
      </c>
      <c r="C4437" s="371"/>
      <c r="D4437" s="2716" t="str">
        <f>VLOOKUP($A4437,Sheet_NoteList,2,0)</f>
        <v>盈余公积变动情况</v>
      </c>
      <c r="E4437" s="2716" t="s">
        <v>6614</v>
      </c>
      <c r="F4437" s="294"/>
      <c r="G4437" s="307" t="str">
        <f>"("&amp;B4437&amp;")"&amp;D4437</f>
        <v>(2)盈余公积变动情况</v>
      </c>
      <c r="H4437" s="1517" t="str">
        <f>$A4437</f>
        <v>4101a</v>
      </c>
      <c r="I4437" s="343" t="s">
        <v>6617</v>
      </c>
      <c r="J4437" s="301" t="s">
        <v>6615</v>
      </c>
      <c r="K4437" s="344">
        <f>K4446</f>
        <v>0</v>
      </c>
      <c r="L4437" s="345" t="str">
        <f>IF($I4437="适用",IF(ROUND(K4423-K4437,2)=0,"F/S",ROUND(K4423-K4437,2)),"#N/A")</f>
        <v>#N/A</v>
      </c>
      <c r="M4437" s="301" t="s">
        <v>6619</v>
      </c>
      <c r="N4437" s="344">
        <f>H4446</f>
        <v>0</v>
      </c>
      <c r="O4437" s="345" t="str">
        <f>IF($I4437="适用",IF(ROUND(N4423-N4437,2)=0,"F/S",ROUND(N4423-N4437,2)),"#N/A")</f>
        <v>#N/A</v>
      </c>
      <c r="P4437" s="301"/>
      <c r="Q4437" s="290" t="str">
        <f>IF($I4437="不适用","",IF(ROUND(SUM($H$4440:$K$4446),2)=0,"请输入",""))</f>
        <v/>
      </c>
      <c r="S4437" s="364"/>
      <c r="Z4437" s="609" t="s">
        <v>4178</v>
      </c>
      <c r="AA4437" s="609" t="s">
        <v>4179</v>
      </c>
      <c r="AE4437" s="369" t="s">
        <v>2761</v>
      </c>
    </row>
    <row r="4438" spans="1:32" ht="0.75" hidden="1" customHeight="1" thickBot="1">
      <c r="A4438" s="2714"/>
      <c r="B4438" s="371"/>
      <c r="C4438" s="371"/>
      <c r="D4438" s="371"/>
      <c r="E4438" s="586"/>
      <c r="F4438" s="586"/>
      <c r="G4438" s="586" t="s">
        <v>4185</v>
      </c>
      <c r="H4438" s="371" t="s">
        <v>2904</v>
      </c>
      <c r="I4438" s="371" t="s">
        <v>6305</v>
      </c>
      <c r="J4438" s="371" t="s">
        <v>6306</v>
      </c>
      <c r="K4438" s="371" t="s">
        <v>3241</v>
      </c>
      <c r="L4438" s="1604"/>
      <c r="M4438" s="1604"/>
      <c r="N4438" s="1604"/>
      <c r="O4438" s="1604"/>
      <c r="P4438" s="1604"/>
      <c r="Q4438" s="1604"/>
      <c r="R4438" s="1604"/>
      <c r="S4438" s="364"/>
      <c r="Z4438" s="609" t="s">
        <v>4178</v>
      </c>
      <c r="AA4438" s="609" t="s">
        <v>4179</v>
      </c>
      <c r="AE4438" s="369" t="s">
        <v>2761</v>
      </c>
    </row>
    <row r="4439" spans="1:32" ht="18" hidden="1" customHeight="1">
      <c r="A4439" s="2714"/>
      <c r="B4439" s="371"/>
      <c r="C4439" s="371"/>
      <c r="D4439" s="371"/>
      <c r="E4439" s="586" t="s">
        <v>2749</v>
      </c>
      <c r="F4439" s="363"/>
      <c r="G4439" s="2439" t="s">
        <v>47</v>
      </c>
      <c r="H4439" s="2557" t="s">
        <v>6144</v>
      </c>
      <c r="I4439" s="2434" t="s">
        <v>3027</v>
      </c>
      <c r="J4439" s="2434" t="s">
        <v>3028</v>
      </c>
      <c r="K4439" s="2572" t="s">
        <v>6145</v>
      </c>
      <c r="L4439" s="2452" t="s">
        <v>5990</v>
      </c>
      <c r="M4439" s="1604"/>
      <c r="N4439" s="1604"/>
      <c r="O4439" s="1604"/>
      <c r="P4439" s="1604"/>
      <c r="Q4439" s="1604"/>
      <c r="R4439" s="1604"/>
      <c r="S4439" s="364"/>
      <c r="Z4439" s="609" t="s">
        <v>4178</v>
      </c>
      <c r="AA4439" s="609" t="s">
        <v>4179</v>
      </c>
      <c r="AE4439" s="369" t="s">
        <v>2761</v>
      </c>
      <c r="AF4439" s="369"/>
    </row>
    <row r="4440" spans="1:32" ht="18" hidden="1">
      <c r="A4440" s="2714"/>
      <c r="B4440" s="371">
        <v>101</v>
      </c>
      <c r="C4440" s="371"/>
      <c r="D4440" s="2716">
        <f t="shared" ref="D4440:D4446" si="501">IF(OR(G4440="*",G4440="",G4440=0),0,COUNTIF($G$4440:$G$4446,G4440))</f>
        <v>1</v>
      </c>
      <c r="E4440" s="2721">
        <v>1</v>
      </c>
      <c r="F4440" s="294"/>
      <c r="G4440" s="1474" t="s">
        <v>4181</v>
      </c>
      <c r="H4440" s="2275"/>
      <c r="I4440" s="2275"/>
      <c r="J4440" s="2275"/>
      <c r="K4440" s="1477">
        <f t="shared" ref="K4440:K4445" si="502">H4440+I4440-J4440</f>
        <v>0</v>
      </c>
      <c r="L4440" s="1604"/>
      <c r="M4440" s="1604"/>
      <c r="N4440" s="1604"/>
      <c r="O4440" s="1604"/>
      <c r="P4440" s="1604"/>
      <c r="Q4440" s="1604"/>
      <c r="R4440" s="1604"/>
      <c r="S4440" s="364"/>
      <c r="Z4440" s="609" t="s">
        <v>4178</v>
      </c>
      <c r="AA4440" s="609" t="s">
        <v>4179</v>
      </c>
      <c r="AE4440" s="369" t="s">
        <v>2761</v>
      </c>
      <c r="AF4440" s="369"/>
    </row>
    <row r="4441" spans="1:32" ht="18" hidden="1">
      <c r="A4441" s="2714"/>
      <c r="B4441" s="371">
        <v>102</v>
      </c>
      <c r="C4441" s="371"/>
      <c r="D4441" s="2716">
        <f t="shared" si="501"/>
        <v>1</v>
      </c>
      <c r="E4441" s="2721">
        <v>1</v>
      </c>
      <c r="F4441" s="294"/>
      <c r="G4441" s="1474" t="s">
        <v>4182</v>
      </c>
      <c r="H4441" s="2275"/>
      <c r="I4441" s="2275"/>
      <c r="J4441" s="2275"/>
      <c r="K4441" s="1477">
        <f t="shared" si="502"/>
        <v>0</v>
      </c>
      <c r="L4441" s="1604"/>
      <c r="M4441" s="1604"/>
      <c r="N4441" s="1604"/>
      <c r="O4441" s="1604"/>
      <c r="P4441" s="1604"/>
      <c r="Q4441" s="1604"/>
      <c r="R4441" s="1604"/>
      <c r="S4441" s="364"/>
      <c r="Z4441" s="609" t="s">
        <v>4178</v>
      </c>
      <c r="AA4441" s="609" t="s">
        <v>4179</v>
      </c>
      <c r="AE4441" s="369" t="s">
        <v>2761</v>
      </c>
      <c r="AF4441" s="369"/>
    </row>
    <row r="4442" spans="1:32" ht="18" hidden="1">
      <c r="A4442" s="2714"/>
      <c r="B4442" s="371">
        <v>103</v>
      </c>
      <c r="C4442" s="371"/>
      <c r="D4442" s="2716">
        <f t="shared" si="501"/>
        <v>1</v>
      </c>
      <c r="E4442" s="2721">
        <v>1</v>
      </c>
      <c r="F4442" s="294"/>
      <c r="G4442" s="1474" t="s">
        <v>4183</v>
      </c>
      <c r="H4442" s="2275"/>
      <c r="I4442" s="2275"/>
      <c r="J4442" s="2275"/>
      <c r="K4442" s="1477">
        <f t="shared" si="502"/>
        <v>0</v>
      </c>
      <c r="L4442" s="1604"/>
      <c r="M4442" s="1604"/>
      <c r="N4442" s="1604"/>
      <c r="O4442" s="1604"/>
      <c r="P4442" s="1604"/>
      <c r="Q4442" s="1604"/>
      <c r="R4442" s="1604"/>
      <c r="S4442" s="364"/>
      <c r="Z4442" s="609" t="s">
        <v>4178</v>
      </c>
      <c r="AA4442" s="609" t="s">
        <v>4179</v>
      </c>
      <c r="AE4442" s="369" t="s">
        <v>2761</v>
      </c>
      <c r="AF4442" s="369"/>
    </row>
    <row r="4443" spans="1:32" ht="18" hidden="1">
      <c r="A4443" s="2714"/>
      <c r="B4443" s="371">
        <v>104</v>
      </c>
      <c r="C4443" s="371"/>
      <c r="D4443" s="2716">
        <f t="shared" si="501"/>
        <v>1</v>
      </c>
      <c r="E4443" s="2721">
        <v>1</v>
      </c>
      <c r="F4443" s="294"/>
      <c r="G4443" s="1474" t="s">
        <v>4184</v>
      </c>
      <c r="H4443" s="2275"/>
      <c r="I4443" s="2275"/>
      <c r="J4443" s="2275"/>
      <c r="K4443" s="1477">
        <f t="shared" si="502"/>
        <v>0</v>
      </c>
      <c r="L4443" s="1604"/>
      <c r="M4443" s="1604"/>
      <c r="N4443" s="1604"/>
      <c r="O4443" s="1604"/>
      <c r="P4443" s="1604"/>
      <c r="Q4443" s="1604"/>
      <c r="R4443" s="1604"/>
      <c r="S4443" s="364"/>
      <c r="Z4443" s="609" t="s">
        <v>4178</v>
      </c>
      <c r="AA4443" s="609" t="s">
        <v>4179</v>
      </c>
      <c r="AE4443" s="369" t="s">
        <v>2761</v>
      </c>
      <c r="AF4443" s="369"/>
    </row>
    <row r="4444" spans="1:32" ht="18" hidden="1">
      <c r="A4444" s="2714"/>
      <c r="B4444" s="371">
        <v>105</v>
      </c>
      <c r="C4444" s="371" t="s">
        <v>2791</v>
      </c>
      <c r="D4444" s="2716">
        <f t="shared" si="501"/>
        <v>1</v>
      </c>
      <c r="E4444" s="2721">
        <v>1</v>
      </c>
      <c r="F4444" s="294"/>
      <c r="G4444" s="2437" t="s">
        <v>932</v>
      </c>
      <c r="H4444" s="2275"/>
      <c r="I4444" s="2275"/>
      <c r="J4444" s="2275"/>
      <c r="K4444" s="1477">
        <f t="shared" si="502"/>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106</v>
      </c>
      <c r="C4445" s="371" t="s">
        <v>2791</v>
      </c>
      <c r="D4445" s="2716">
        <f t="shared" si="501"/>
        <v>0</v>
      </c>
      <c r="E4445" s="2721">
        <v>1</v>
      </c>
      <c r="F4445" s="294"/>
      <c r="G4445" s="2437" t="s">
        <v>2792</v>
      </c>
      <c r="H4445" s="2275"/>
      <c r="I4445" s="2275"/>
      <c r="J4445" s="2275"/>
      <c r="K4445" s="1477">
        <f t="shared" si="502"/>
        <v>0</v>
      </c>
      <c r="L4445" s="1604"/>
      <c r="M4445" s="1604"/>
      <c r="N4445" s="1604"/>
      <c r="O4445" s="1604"/>
      <c r="P4445" s="1604"/>
      <c r="Q4445" s="1604"/>
      <c r="R4445" s="1604"/>
      <c r="S4445" s="364"/>
      <c r="Z4445" s="609" t="s">
        <v>4178</v>
      </c>
      <c r="AA4445" s="609" t="s">
        <v>4179</v>
      </c>
      <c r="AE4445" s="369" t="s">
        <v>2761</v>
      </c>
      <c r="AF4445" s="369"/>
    </row>
    <row r="4446" spans="1:32" ht="18.75" hidden="1" thickBot="1">
      <c r="A4446" s="2714"/>
      <c r="B4446" s="371"/>
      <c r="C4446" s="371"/>
      <c r="D4446" s="2716">
        <f t="shared" si="501"/>
        <v>1</v>
      </c>
      <c r="E4446" s="2721" t="s">
        <v>2751</v>
      </c>
      <c r="F4446" s="294"/>
      <c r="G4446" s="310" t="s">
        <v>2752</v>
      </c>
      <c r="H4446" s="1481">
        <f>SUMPRODUCT($E4439:$E4445,H4439:H4445)</f>
        <v>0</v>
      </c>
      <c r="I4446" s="1481">
        <f>SUMPRODUCT($E4439:$E4445,I4439:I4445)</f>
        <v>0</v>
      </c>
      <c r="J4446" s="1481">
        <f>SUMPRODUCT($E4439:$E4445,J4439:J4445)</f>
        <v>0</v>
      </c>
      <c r="K4446" s="1482">
        <f>SUMPRODUCT($E4439:$E4445,K4439:K4445)</f>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c r="C4447" s="371" t="s">
        <v>2755</v>
      </c>
      <c r="D4447" s="371"/>
      <c r="F4447" s="294"/>
      <c r="G4447" s="301"/>
      <c r="H4447" s="315"/>
      <c r="I4447" s="315"/>
      <c r="J4447" s="315"/>
      <c r="K4447" s="315"/>
      <c r="L4447" s="1604"/>
      <c r="M4447" s="1604"/>
      <c r="N4447" s="1604"/>
      <c r="O4447" s="1604"/>
      <c r="P4447" s="1604"/>
      <c r="Q4447" s="1604"/>
      <c r="R4447" s="1604"/>
      <c r="S4447" s="364"/>
      <c r="Z4447" s="609" t="s">
        <v>4178</v>
      </c>
      <c r="AA4447" s="609" t="s">
        <v>4179</v>
      </c>
      <c r="AE4447" s="369" t="s">
        <v>2761</v>
      </c>
    </row>
    <row r="4448" spans="1:32" ht="18">
      <c r="A4448" s="2714">
        <v>4102</v>
      </c>
      <c r="B4448" s="371">
        <v>59.5</v>
      </c>
      <c r="C4448" s="2716" t="str">
        <f>VLOOKUP($A4448,Sheet_Items,2,0)</f>
        <v>一般风险准备</v>
      </c>
      <c r="D4448" s="371"/>
      <c r="E4448" s="2716" t="s">
        <v>2739</v>
      </c>
      <c r="F4448" s="294"/>
      <c r="G4448" s="305" t="str">
        <f>B4448&amp;" "&amp;C4448</f>
        <v>59.5 一般风险准备</v>
      </c>
      <c r="H4448" s="306"/>
      <c r="I4448" s="306"/>
      <c r="J4448" s="306" t="s">
        <v>2740</v>
      </c>
      <c r="K4448" s="341">
        <f>VLOOKUP($A4448,Sheet_Trialbal,6,0)</f>
        <v>0</v>
      </c>
      <c r="L4448" s="342"/>
      <c r="M4448" s="306" t="s">
        <v>2741</v>
      </c>
      <c r="N4448" s="341">
        <f>VLOOKUP($A4448,Sheet_Trialbal,10,0)</f>
        <v>0</v>
      </c>
      <c r="O4448" s="306"/>
      <c r="P4448" s="301"/>
      <c r="S4448" s="364"/>
      <c r="Z4448" s="609" t="s">
        <v>4186</v>
      </c>
      <c r="AA4448" s="609"/>
    </row>
    <row r="4449" spans="1:27" ht="18">
      <c r="A4449" s="2714" t="s">
        <v>1815</v>
      </c>
      <c r="B4449" s="371">
        <v>1</v>
      </c>
      <c r="C4449" s="371"/>
      <c r="D4449" s="2716" t="str">
        <f>VLOOKUP($A4449,Sheet_NoteList,2,0)</f>
        <v>一般风险准备变动情况</v>
      </c>
      <c r="E4449" s="2716" t="s">
        <v>2742</v>
      </c>
      <c r="F4449" s="294"/>
      <c r="G4449" s="307" t="str">
        <f>"("&amp;B4449&amp;")"&amp;D4449</f>
        <v>(1)一般风险准备变动情况</v>
      </c>
      <c r="H4449" s="1517" t="str">
        <f>$A4449</f>
        <v>4102a</v>
      </c>
      <c r="I4449" s="343" t="s">
        <v>2743</v>
      </c>
      <c r="J4449" s="301" t="s">
        <v>2744</v>
      </c>
      <c r="K4449" s="2210">
        <f>K4454</f>
        <v>0</v>
      </c>
      <c r="L4449" s="345" t="str">
        <f>IF($I4449="适用",IF(ROUND(K4448-K4449,2)=0,"F/S",ROUND(K4448-K4449,2)),"#N/A")</f>
        <v>F/S</v>
      </c>
      <c r="M4449" s="301" t="s">
        <v>2745</v>
      </c>
      <c r="N4449" s="2210">
        <f>H4454</f>
        <v>0</v>
      </c>
      <c r="O4449" s="345" t="str">
        <f>IF($I4449="适用",IF(ROUND(N4448-N4449,2)=0,"F/S",ROUND(N4448-N4449,2)),"#N/A")</f>
        <v>F/S</v>
      </c>
      <c r="P4449" s="301"/>
      <c r="S4449" s="364"/>
      <c r="Z4449" s="609" t="s">
        <v>4186</v>
      </c>
      <c r="AA4449" s="609"/>
    </row>
    <row r="4450" spans="1:27" ht="0.75" customHeight="1" thickBot="1">
      <c r="A4450" s="2714"/>
      <c r="B4450" s="371"/>
      <c r="C4450" s="371"/>
      <c r="D4450" s="371"/>
      <c r="E4450" s="586"/>
      <c r="F4450" s="586"/>
      <c r="G4450" s="586" t="s">
        <v>4187</v>
      </c>
      <c r="H4450" s="371" t="s">
        <v>2904</v>
      </c>
      <c r="I4450" s="371" t="s">
        <v>3255</v>
      </c>
      <c r="J4450" s="371" t="s">
        <v>3256</v>
      </c>
      <c r="K4450" s="371" t="s">
        <v>3241</v>
      </c>
      <c r="L4450" s="291"/>
      <c r="M4450" s="291"/>
      <c r="N4450" s="291"/>
      <c r="O4450" s="291"/>
      <c r="S4450" s="364"/>
      <c r="Z4450" s="609" t="s">
        <v>4186</v>
      </c>
      <c r="AA4450" s="609"/>
    </row>
    <row r="4451" spans="1:27" ht="18">
      <c r="A4451" s="2714"/>
      <c r="B4451" s="371"/>
      <c r="C4451" s="371"/>
      <c r="D4451" s="371"/>
      <c r="E4451" s="586" t="s">
        <v>2749</v>
      </c>
      <c r="F4451" s="363"/>
      <c r="G4451" s="2458" t="s">
        <v>47</v>
      </c>
      <c r="H4451" s="2459" t="s">
        <v>2776</v>
      </c>
      <c r="I4451" s="2459" t="s">
        <v>3027</v>
      </c>
      <c r="J4451" s="2459" t="s">
        <v>3028</v>
      </c>
      <c r="K4451" s="2460" t="s">
        <v>2775</v>
      </c>
      <c r="L4451" s="291"/>
      <c r="M4451" s="291"/>
      <c r="N4451" s="291"/>
      <c r="O4451" s="291"/>
      <c r="S4451" s="364"/>
      <c r="Z4451" s="609" t="s">
        <v>4186</v>
      </c>
      <c r="AA4451" s="609"/>
    </row>
    <row r="4452" spans="1:27" ht="18">
      <c r="A4452" s="2714"/>
      <c r="B4452" s="371">
        <v>101</v>
      </c>
      <c r="C4452" s="371" t="s">
        <v>2791</v>
      </c>
      <c r="D4452" s="2716">
        <f>IF(OR(G4452="*",G4452="",G4452=0),0,COUNTIF($G$4452:$G$4454,G4452))</f>
        <v>0</v>
      </c>
      <c r="E4452" s="2721">
        <v>1</v>
      </c>
      <c r="F4452" s="294"/>
      <c r="G4452" s="2467" t="s">
        <v>2792</v>
      </c>
      <c r="H4452" s="2275"/>
      <c r="I4452" s="2275"/>
      <c r="J4452" s="2275"/>
      <c r="K4452" s="1477">
        <f>H4452+I4452-J4452</f>
        <v>0</v>
      </c>
      <c r="L4452" s="291"/>
      <c r="M4452" s="291"/>
      <c r="N4452" s="291"/>
      <c r="O4452" s="291"/>
      <c r="S4452" s="364"/>
      <c r="Z4452" s="609" t="s">
        <v>4186</v>
      </c>
      <c r="AA4452" s="609"/>
    </row>
    <row r="4453" spans="1:27" ht="18">
      <c r="A4453" s="2714"/>
      <c r="B4453" s="371">
        <v>102</v>
      </c>
      <c r="C4453" s="371" t="s">
        <v>2791</v>
      </c>
      <c r="D4453" s="2716">
        <f>IF(OR(G4453="*",G4453="",G4453=0),0,COUNTIF($G$4452:$G$4454,G4453))</f>
        <v>0</v>
      </c>
      <c r="E4453" s="2721">
        <v>1</v>
      </c>
      <c r="F4453" s="294"/>
      <c r="G4453" s="2467" t="s">
        <v>2792</v>
      </c>
      <c r="H4453" s="2275"/>
      <c r="I4453" s="2275"/>
      <c r="J4453" s="2275"/>
      <c r="K4453" s="1477">
        <f>H4453+I4453-J4453</f>
        <v>0</v>
      </c>
      <c r="L4453" s="291"/>
      <c r="M4453" s="291"/>
      <c r="N4453" s="291"/>
      <c r="O4453" s="291"/>
      <c r="S4453" s="364"/>
      <c r="Z4453" s="609" t="s">
        <v>4186</v>
      </c>
      <c r="AA4453" s="609"/>
    </row>
    <row r="4454" spans="1:27" ht="18.75" thickBot="1">
      <c r="A4454" s="2714"/>
      <c r="B4454" s="371"/>
      <c r="C4454" s="371"/>
      <c r="D4454" s="2716">
        <f>IF(OR(G4454="*",G4454="",G4454=0),0,COUNTIF($G$4452:$G$4454,G4454))</f>
        <v>1</v>
      </c>
      <c r="E4454" s="2721" t="s">
        <v>2751</v>
      </c>
      <c r="F4454" s="294"/>
      <c r="G4454" s="1529" t="s">
        <v>2752</v>
      </c>
      <c r="H4454" s="1527">
        <f>SUMPRODUCT($E4451:$E4453,H4451:H4453)</f>
        <v>0</v>
      </c>
      <c r="I4454" s="1527">
        <f>SUMPRODUCT($E4451:$E4453,I4451:I4453)</f>
        <v>0</v>
      </c>
      <c r="J4454" s="1527">
        <f>SUMPRODUCT($E4451:$E4453,J4451:J4453)</f>
        <v>0</v>
      </c>
      <c r="K4454" s="1528">
        <f>SUMPRODUCT($E4451:$E4453,K4451:K4453)</f>
        <v>0</v>
      </c>
      <c r="L4454" s="291"/>
      <c r="M4454" s="291"/>
      <c r="N4454" s="291"/>
      <c r="O4454" s="291"/>
      <c r="S4454" s="364"/>
      <c r="Z4454" s="609" t="s">
        <v>4186</v>
      </c>
      <c r="AA4454" s="609"/>
    </row>
    <row r="4455" spans="1:27" ht="18">
      <c r="A4455" s="2714"/>
      <c r="B4455" s="371"/>
      <c r="C4455" s="371" t="s">
        <v>2755</v>
      </c>
      <c r="D4455" s="371"/>
      <c r="F4455" s="294"/>
      <c r="G4455" s="301"/>
      <c r="H4455" s="315"/>
      <c r="I4455" s="315"/>
      <c r="J4455" s="315"/>
      <c r="K4455" s="315"/>
      <c r="L4455" s="291"/>
      <c r="M4455" s="291"/>
      <c r="N4455" s="291"/>
      <c r="O4455" s="291"/>
      <c r="S4455" s="364"/>
      <c r="Z4455" s="609" t="s">
        <v>4186</v>
      </c>
      <c r="AA4455" s="609"/>
    </row>
    <row r="4456" spans="1:27" ht="18">
      <c r="A4456" s="2714">
        <v>4200</v>
      </c>
      <c r="B4456" s="371">
        <v>60</v>
      </c>
      <c r="C4456" s="2716" t="str">
        <f>VLOOKUP($A4456,Sheet_Items,2,0)</f>
        <v>未分配利润</v>
      </c>
      <c r="D4456" s="371"/>
      <c r="E4456" s="2716" t="s">
        <v>2739</v>
      </c>
      <c r="F4456" s="294"/>
      <c r="G4456" s="305" t="str">
        <f>B4456&amp;" "&amp;C4456</f>
        <v>60 未分配利润</v>
      </c>
      <c r="H4456" s="306"/>
      <c r="I4456" s="306"/>
      <c r="J4456" s="306" t="s">
        <v>2740</v>
      </c>
      <c r="K4456" s="341">
        <f>VLOOKUP($A4456,Sheet_Trialbal,6,0)</f>
        <v>-25297789.149999999</v>
      </c>
      <c r="L4456" s="342"/>
      <c r="M4456" s="306" t="s">
        <v>2741</v>
      </c>
      <c r="N4456" s="341">
        <f>VLOOKUP($A4456,Sheet_Trialbal,10,0)</f>
        <v>-47230884.140000001</v>
      </c>
      <c r="O4456" s="306"/>
      <c r="P4456" s="301"/>
      <c r="S4456" s="364"/>
      <c r="Z4456" s="609" t="s">
        <v>4188</v>
      </c>
      <c r="AA4456" s="609" t="s">
        <v>5702</v>
      </c>
    </row>
    <row r="4457" spans="1:27" ht="24">
      <c r="A4457" s="2714" t="s">
        <v>1820</v>
      </c>
      <c r="B4457" s="371">
        <v>1</v>
      </c>
      <c r="C4457" s="371"/>
      <c r="D4457" s="2716" t="str">
        <f>VLOOKUP($A4457,Sheet_NoteList,2,0)</f>
        <v>未分配利润增减变动情况</v>
      </c>
      <c r="E4457" s="2716" t="s">
        <v>2742</v>
      </c>
      <c r="F4457" s="294"/>
      <c r="G4457" s="372" t="str">
        <f>"("&amp;B4457&amp;")"&amp;D4457</f>
        <v>(1)未分配利润增减变动情况</v>
      </c>
      <c r="H4457" s="1517" t="str">
        <f>$A4457</f>
        <v>4200a</v>
      </c>
      <c r="I4457" s="343" t="s">
        <v>2743</v>
      </c>
      <c r="J4457" s="301" t="s">
        <v>2744</v>
      </c>
      <c r="K4457" s="2210">
        <f>H4472</f>
        <v>-25297789.149999999</v>
      </c>
      <c r="L4457" s="345" t="str">
        <f>IF($I4457="适用",IF(ROUND(K4456-K4457,2)=0,"F/S",ROUND(K4456-K4457,2)),"#N/A")</f>
        <v>F/S</v>
      </c>
      <c r="M4457" s="301" t="s">
        <v>2745</v>
      </c>
      <c r="N4457" s="2210">
        <f>I4472</f>
        <v>-22510882.850000001</v>
      </c>
      <c r="O4457" s="345">
        <f>IF($I4457="适用",IF(ROUND(N4456-N4457,2)=0,"F/S",ROUND(N4456-N4457,2)),"#N/A")</f>
        <v>-24720001.289999999</v>
      </c>
      <c r="P4457" s="301"/>
      <c r="Q4457" s="290" t="str">
        <f>IF($I4457="不适用","",IF(ROUND(SUM($H$4460:$J$4472),2)=0,"请输入",""))</f>
        <v/>
      </c>
      <c r="S4457" s="364"/>
      <c r="Z4457" s="609" t="s">
        <v>4188</v>
      </c>
      <c r="AA4457" s="609" t="s">
        <v>5702</v>
      </c>
    </row>
    <row r="4458" spans="1:27" ht="0.75" customHeight="1" thickBot="1">
      <c r="A4458" s="2714"/>
      <c r="B4458" s="371"/>
      <c r="C4458" s="371"/>
      <c r="D4458" s="371"/>
      <c r="F4458" s="371"/>
      <c r="G4458" s="371" t="s">
        <v>4189</v>
      </c>
      <c r="H4458" s="371" t="s">
        <v>3472</v>
      </c>
      <c r="I4458" s="371" t="s">
        <v>3473</v>
      </c>
      <c r="J4458" s="476"/>
      <c r="K4458" s="472"/>
      <c r="L4458" s="472"/>
      <c r="M4458" s="472"/>
      <c r="N4458" s="442"/>
      <c r="O4458" s="442"/>
      <c r="P4458" s="442"/>
      <c r="Q4458" s="442"/>
      <c r="R4458" s="443"/>
      <c r="S4458" s="364"/>
      <c r="Z4458" s="609" t="s">
        <v>4188</v>
      </c>
      <c r="AA4458" s="609" t="s">
        <v>5702</v>
      </c>
    </row>
    <row r="4459" spans="1:27" ht="18">
      <c r="A4459" s="2714"/>
      <c r="B4459" s="371"/>
      <c r="C4459" s="371"/>
      <c r="D4459" s="371"/>
      <c r="E4459" s="2716" t="s">
        <v>2749</v>
      </c>
      <c r="F4459" s="294"/>
      <c r="G4459" s="410" t="s">
        <v>47</v>
      </c>
      <c r="H4459" s="1514" t="str">
        <f>$V$4</f>
        <v>2019年度</v>
      </c>
      <c r="I4459" s="1515" t="str">
        <f>$V$5</f>
        <v>2018年度</v>
      </c>
      <c r="J4459" s="355" t="s">
        <v>5325</v>
      </c>
      <c r="K4459" s="472"/>
      <c r="L4459" s="472"/>
      <c r="M4459" s="472"/>
      <c r="N4459" s="442"/>
      <c r="O4459" s="442"/>
      <c r="P4459" s="442"/>
      <c r="Q4459" s="442"/>
      <c r="R4459" s="443"/>
      <c r="S4459" s="364"/>
      <c r="Z4459" s="609" t="s">
        <v>4188</v>
      </c>
      <c r="AA4459" s="609" t="s">
        <v>5702</v>
      </c>
    </row>
    <row r="4460" spans="1:27" ht="18">
      <c r="A4460" s="2714"/>
      <c r="B4460" s="371">
        <v>101</v>
      </c>
      <c r="C4460" s="371"/>
      <c r="D4460" s="2716">
        <f t="shared" ref="D4460:D4472" si="503">IF(OR(G4460="*",G4460="",G4460=0),0,COUNTIF($G$4460:$G$4472,G4460))</f>
        <v>1</v>
      </c>
      <c r="E4460" s="2721">
        <v>1</v>
      </c>
      <c r="F4460" s="294"/>
      <c r="G4460" s="308" t="s">
        <v>4190</v>
      </c>
      <c r="H4460" s="309"/>
      <c r="I4460" s="346"/>
      <c r="J4460" s="617"/>
      <c r="K4460" s="472"/>
      <c r="L4460" s="472"/>
      <c r="M4460" s="472"/>
      <c r="N4460" s="442"/>
      <c r="O4460" s="442"/>
      <c r="P4460" s="442"/>
      <c r="Q4460" s="442"/>
      <c r="R4460" s="443"/>
      <c r="S4460" s="364"/>
      <c r="Z4460" s="609" t="s">
        <v>4188</v>
      </c>
      <c r="AA4460" s="609" t="s">
        <v>5702</v>
      </c>
    </row>
    <row r="4461" spans="1:27" ht="24">
      <c r="A4461" s="2714"/>
      <c r="B4461" s="371">
        <v>102</v>
      </c>
      <c r="C4461" s="371"/>
      <c r="D4461" s="2716">
        <f t="shared" si="503"/>
        <v>1</v>
      </c>
      <c r="E4461" s="2721">
        <v>1</v>
      </c>
      <c r="F4461" s="294"/>
      <c r="G4461" s="308" t="s">
        <v>4191</v>
      </c>
      <c r="H4461" s="309"/>
      <c r="I4461" s="346"/>
      <c r="J4461" s="617"/>
      <c r="K4461" s="618"/>
      <c r="L4461" s="472"/>
      <c r="M4461" s="472"/>
      <c r="N4461" s="442"/>
      <c r="O4461" s="442"/>
      <c r="P4461" s="442"/>
      <c r="Q4461" s="442"/>
      <c r="R4461" s="443"/>
      <c r="S4461" s="364"/>
      <c r="Z4461" s="609" t="s">
        <v>4188</v>
      </c>
      <c r="AA4461" s="609" t="s">
        <v>5702</v>
      </c>
    </row>
    <row r="4462" spans="1:27" ht="18">
      <c r="A4462" s="2714"/>
      <c r="B4462" s="371">
        <v>103</v>
      </c>
      <c r="C4462" s="371"/>
      <c r="D4462" s="2716">
        <f t="shared" si="503"/>
        <v>1</v>
      </c>
      <c r="E4462" s="2721">
        <v>0</v>
      </c>
      <c r="F4462" s="294"/>
      <c r="G4462" s="308" t="s">
        <v>4192</v>
      </c>
      <c r="H4462" s="320">
        <f>H4460+H4461</f>
        <v>0</v>
      </c>
      <c r="I4462" s="361">
        <f>I4460+I4461</f>
        <v>0</v>
      </c>
      <c r="J4462" s="617"/>
      <c r="K4462" s="472"/>
      <c r="L4462" s="472"/>
      <c r="M4462" s="472"/>
      <c r="N4462" s="442"/>
      <c r="O4462" s="442"/>
      <c r="P4462" s="442"/>
      <c r="Q4462" s="442"/>
      <c r="R4462" s="443"/>
      <c r="S4462" s="364"/>
      <c r="Z4462" s="609" t="s">
        <v>4188</v>
      </c>
      <c r="AA4462" s="609" t="s">
        <v>5702</v>
      </c>
    </row>
    <row r="4463" spans="1:27" ht="24">
      <c r="A4463" s="2714"/>
      <c r="B4463" s="371">
        <v>104</v>
      </c>
      <c r="C4463" s="371"/>
      <c r="D4463" s="2716">
        <f t="shared" si="503"/>
        <v>1</v>
      </c>
      <c r="E4463" s="2721">
        <v>1</v>
      </c>
      <c r="F4463" s="294"/>
      <c r="G4463" s="308" t="s">
        <v>4193</v>
      </c>
      <c r="H4463" s="309">
        <f>VLOOKUP(6811,Sheet_Trialbal,6,0)</f>
        <v>-25297789.149999999</v>
      </c>
      <c r="I4463" s="346">
        <f>VLOOKUP(6811,Sheet_Trialbal,10,0)</f>
        <v>-22510882.850000001</v>
      </c>
      <c r="J4463" s="437"/>
      <c r="K4463" s="472"/>
      <c r="L4463" s="472"/>
      <c r="M4463" s="472"/>
      <c r="N4463" s="442"/>
      <c r="O4463" s="442"/>
      <c r="P4463" s="442"/>
      <c r="Q4463" s="442"/>
      <c r="R4463" s="443"/>
      <c r="S4463" s="364"/>
      <c r="Z4463" s="609" t="s">
        <v>4188</v>
      </c>
      <c r="AA4463" s="609" t="s">
        <v>5702</v>
      </c>
    </row>
    <row r="4464" spans="1:27" ht="18">
      <c r="A4464" s="2714"/>
      <c r="B4464" s="371">
        <v>105</v>
      </c>
      <c r="C4464" s="371" t="s">
        <v>2791</v>
      </c>
      <c r="D4464" s="2716">
        <f t="shared" si="503"/>
        <v>0</v>
      </c>
      <c r="E4464" s="2721">
        <v>1</v>
      </c>
      <c r="F4464" s="294"/>
      <c r="G4464" s="319" t="s">
        <v>2792</v>
      </c>
      <c r="H4464" s="309"/>
      <c r="I4464" s="346"/>
      <c r="J4464" s="437"/>
      <c r="K4464" s="472"/>
      <c r="L4464" s="472"/>
      <c r="M4464" s="472"/>
      <c r="N4464" s="442"/>
      <c r="O4464" s="442"/>
      <c r="P4464" s="442"/>
      <c r="Q4464" s="442"/>
      <c r="R4464" s="443"/>
      <c r="S4464" s="364"/>
      <c r="Z4464" s="609" t="s">
        <v>4188</v>
      </c>
      <c r="AA4464" s="609" t="s">
        <v>5702</v>
      </c>
    </row>
    <row r="4465" spans="1:27" ht="18">
      <c r="A4465" s="2714"/>
      <c r="B4465" s="371">
        <v>106</v>
      </c>
      <c r="C4465" s="371"/>
      <c r="D4465" s="2716">
        <f t="shared" si="503"/>
        <v>1</v>
      </c>
      <c r="E4465" s="2721">
        <v>-1</v>
      </c>
      <c r="F4465" s="294"/>
      <c r="G4465" s="308" t="s">
        <v>4194</v>
      </c>
      <c r="H4465" s="309"/>
      <c r="I4465" s="346"/>
      <c r="J4465" s="437"/>
      <c r="K4465" s="472"/>
      <c r="L4465" s="472"/>
      <c r="M4465" s="472"/>
      <c r="N4465" s="442"/>
      <c r="O4465" s="442"/>
      <c r="P4465" s="442"/>
      <c r="Q4465" s="442"/>
      <c r="R4465" s="443"/>
      <c r="S4465" s="364"/>
      <c r="Z4465" s="609" t="s">
        <v>4188</v>
      </c>
      <c r="AA4465" s="609" t="s">
        <v>5702</v>
      </c>
    </row>
    <row r="4466" spans="1:27" ht="18">
      <c r="A4466" s="2714"/>
      <c r="B4466" s="371">
        <v>107</v>
      </c>
      <c r="C4466" s="371"/>
      <c r="D4466" s="2716">
        <f t="shared" si="503"/>
        <v>1</v>
      </c>
      <c r="E4466" s="2721">
        <v>-1</v>
      </c>
      <c r="F4466" s="294"/>
      <c r="G4466" s="603" t="s">
        <v>4195</v>
      </c>
      <c r="H4466" s="309"/>
      <c r="I4466" s="346"/>
      <c r="J4466" s="437"/>
      <c r="K4466" s="472"/>
      <c r="L4466" s="472"/>
      <c r="M4466" s="472"/>
      <c r="N4466" s="442"/>
      <c r="O4466" s="442"/>
      <c r="P4466" s="442"/>
      <c r="Q4466" s="442"/>
      <c r="R4466" s="443"/>
      <c r="S4466" s="364"/>
      <c r="Z4466" s="609" t="s">
        <v>4188</v>
      </c>
      <c r="AA4466" s="609" t="s">
        <v>5702</v>
      </c>
    </row>
    <row r="4467" spans="1:27" ht="18">
      <c r="A4467" s="2714"/>
      <c r="B4467" s="371">
        <v>108</v>
      </c>
      <c r="C4467" s="371"/>
      <c r="D4467" s="2716">
        <f t="shared" si="503"/>
        <v>1</v>
      </c>
      <c r="E4467" s="2721">
        <v>-1</v>
      </c>
      <c r="F4467" s="294"/>
      <c r="G4467" s="603" t="s">
        <v>1076</v>
      </c>
      <c r="H4467" s="309"/>
      <c r="I4467" s="346"/>
      <c r="J4467" s="437"/>
      <c r="K4467" s="472"/>
      <c r="L4467" s="472"/>
      <c r="M4467" s="472"/>
      <c r="N4467" s="442"/>
      <c r="O4467" s="442"/>
      <c r="P4467" s="442"/>
      <c r="Q4467" s="442"/>
      <c r="R4467" s="443"/>
      <c r="S4467" s="364"/>
      <c r="Z4467" s="609" t="s">
        <v>4188</v>
      </c>
      <c r="AA4467" s="609" t="s">
        <v>5702</v>
      </c>
    </row>
    <row r="4468" spans="1:27" ht="18">
      <c r="A4468" s="2714"/>
      <c r="B4468" s="371">
        <v>109</v>
      </c>
      <c r="C4468" s="371"/>
      <c r="D4468" s="2716">
        <f t="shared" si="503"/>
        <v>1</v>
      </c>
      <c r="E4468" s="2721">
        <v>-1</v>
      </c>
      <c r="F4468" s="294"/>
      <c r="G4468" s="603" t="s">
        <v>4196</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110</v>
      </c>
      <c r="C4469" s="371"/>
      <c r="D4469" s="2716">
        <f t="shared" si="503"/>
        <v>1</v>
      </c>
      <c r="E4469" s="2721">
        <v>-1</v>
      </c>
      <c r="F4469" s="294"/>
      <c r="G4469" s="603" t="s">
        <v>4197</v>
      </c>
      <c r="H4469" s="309"/>
      <c r="I4469" s="346"/>
      <c r="J4469" s="437"/>
      <c r="K4469" s="472"/>
      <c r="L4469" s="472"/>
      <c r="M4469" s="472"/>
      <c r="N4469" s="442"/>
      <c r="O4469" s="442"/>
      <c r="P4469" s="442"/>
      <c r="Q4469" s="442"/>
      <c r="R4469" s="443"/>
      <c r="S4469" s="364"/>
      <c r="Z4469" s="609" t="s">
        <v>4188</v>
      </c>
      <c r="AA4469" s="609" t="s">
        <v>5702</v>
      </c>
    </row>
    <row r="4470" spans="1:27" ht="18">
      <c r="A4470" s="2714"/>
      <c r="B4470" s="371">
        <v>111</v>
      </c>
      <c r="C4470" s="371" t="s">
        <v>2791</v>
      </c>
      <c r="D4470" s="2716">
        <f t="shared" si="503"/>
        <v>0</v>
      </c>
      <c r="E4470" s="2721">
        <v>-1</v>
      </c>
      <c r="F4470" s="294"/>
      <c r="G4470" s="578" t="s">
        <v>2792</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112</v>
      </c>
      <c r="C4471" s="371" t="s">
        <v>2791</v>
      </c>
      <c r="D4471" s="2716">
        <f t="shared" si="503"/>
        <v>0</v>
      </c>
      <c r="E4471" s="2721">
        <v>-1</v>
      </c>
      <c r="F4471" s="294"/>
      <c r="G4471" s="578" t="s">
        <v>2792</v>
      </c>
      <c r="H4471" s="309"/>
      <c r="I4471" s="346"/>
      <c r="J4471" s="437"/>
      <c r="K4471" s="472"/>
      <c r="L4471" s="472"/>
      <c r="M4471" s="472"/>
      <c r="N4471" s="442"/>
      <c r="O4471" s="442"/>
      <c r="P4471" s="442"/>
      <c r="Q4471" s="442"/>
      <c r="R4471" s="443"/>
      <c r="S4471" s="364"/>
      <c r="Z4471" s="609" t="s">
        <v>4188</v>
      </c>
      <c r="AA4471" s="609" t="s">
        <v>5702</v>
      </c>
    </row>
    <row r="4472" spans="1:27" ht="18.75" thickBot="1">
      <c r="A4472" s="2714"/>
      <c r="B4472" s="371"/>
      <c r="C4472" s="371"/>
      <c r="D4472" s="2716">
        <f t="shared" si="503"/>
        <v>1</v>
      </c>
      <c r="E4472" s="2721" t="s">
        <v>2751</v>
      </c>
      <c r="F4472" s="294"/>
      <c r="G4472" s="374" t="s">
        <v>4198</v>
      </c>
      <c r="H4472" s="375">
        <f>SUMPRODUCT($E4459:$E4471,H4459:H4471)</f>
        <v>-25297789.149999999</v>
      </c>
      <c r="I4472" s="395">
        <f>SUMPRODUCT($E4459:$E4471,I4459:I4471)</f>
        <v>-22510882.850000001</v>
      </c>
      <c r="J4472" s="437"/>
      <c r="K4472" s="472"/>
      <c r="L4472" s="472"/>
      <c r="M4472" s="472"/>
      <c r="N4472" s="442"/>
      <c r="O4472" s="442"/>
      <c r="P4472" s="442"/>
      <c r="Q4472" s="442"/>
      <c r="R4472" s="443"/>
      <c r="S4472" s="364"/>
      <c r="Z4472" s="609" t="s">
        <v>4188</v>
      </c>
      <c r="AA4472" s="609" t="s">
        <v>5702</v>
      </c>
    </row>
    <row r="4473" spans="1:27" ht="18">
      <c r="A4473" s="2714"/>
      <c r="B4473" s="371">
        <v>901</v>
      </c>
      <c r="C4473" s="371" t="s">
        <v>2755</v>
      </c>
      <c r="D4473" s="371"/>
      <c r="F4473" s="294"/>
      <c r="G4473" s="557"/>
      <c r="H4473" s="315"/>
      <c r="I4473" s="315"/>
      <c r="J4473" s="437"/>
      <c r="K4473" s="472"/>
      <c r="L4473" s="472"/>
      <c r="M4473" s="472"/>
      <c r="N4473" s="442"/>
      <c r="O4473" s="442"/>
      <c r="P4473" s="442"/>
      <c r="Q4473" s="442"/>
      <c r="R4473" s="443"/>
      <c r="S4473" s="364"/>
      <c r="Z4473" s="609" t="s">
        <v>4188</v>
      </c>
      <c r="AA4473" s="609" t="s">
        <v>5702</v>
      </c>
    </row>
    <row r="4474" spans="1:27" ht="24">
      <c r="A4474" s="2714" t="s">
        <v>1824</v>
      </c>
      <c r="B4474" s="371">
        <v>2</v>
      </c>
      <c r="C4474" s="371"/>
      <c r="D4474" s="2716" t="str">
        <f>VLOOKUP($A4474,Sheet_NoteList,2,0)</f>
        <v>调整本期期初未分配利润明细情况</v>
      </c>
      <c r="E4474" s="2716" t="s">
        <v>6532</v>
      </c>
      <c r="F4474" s="294"/>
      <c r="G4474" s="372" t="str">
        <f>"("&amp;B4474&amp;")"&amp;D4474</f>
        <v>(2)调整本期期初未分配利润明细情况</v>
      </c>
      <c r="H4474" s="1517" t="str">
        <f>$A4474</f>
        <v>4200b</v>
      </c>
      <c r="I4474" s="343" t="s">
        <v>5980</v>
      </c>
      <c r="J4474" s="301" t="s">
        <v>5979</v>
      </c>
      <c r="K4474" s="2210">
        <f>H4483</f>
        <v>0</v>
      </c>
      <c r="L4474" s="345"/>
      <c r="M4474" s="301"/>
      <c r="N4474" s="3071"/>
      <c r="O4474" s="315"/>
      <c r="P4474" s="301"/>
      <c r="S4474" s="364"/>
      <c r="Z4474" s="609" t="s">
        <v>4188</v>
      </c>
      <c r="AA4474" s="609" t="s">
        <v>5702</v>
      </c>
    </row>
    <row r="4475" spans="1:27" ht="0.75" customHeight="1" thickBot="1">
      <c r="A4475" s="2714"/>
      <c r="B4475" s="371"/>
      <c r="C4475" s="371"/>
      <c r="D4475" s="371"/>
      <c r="E4475" s="586"/>
      <c r="F4475" s="363"/>
      <c r="G4475" s="363" t="s">
        <v>4199</v>
      </c>
      <c r="H4475" s="294" t="s">
        <v>4200</v>
      </c>
      <c r="I4475" s="291"/>
      <c r="J4475" s="291"/>
      <c r="K4475" s="291"/>
      <c r="L4475" s="291"/>
      <c r="S4475" s="364"/>
      <c r="Z4475" s="609" t="s">
        <v>4188</v>
      </c>
      <c r="AA4475" s="609" t="s">
        <v>5702</v>
      </c>
    </row>
    <row r="4476" spans="1:27" ht="24">
      <c r="A4476" s="2714"/>
      <c r="B4476" s="371"/>
      <c r="C4476" s="371"/>
      <c r="D4476" s="371"/>
      <c r="E4476" s="586" t="s">
        <v>2749</v>
      </c>
      <c r="F4476" s="363"/>
      <c r="G4476" s="2435" t="s">
        <v>1826</v>
      </c>
      <c r="H4476" s="2436" t="s">
        <v>4201</v>
      </c>
      <c r="I4476" s="355" t="s">
        <v>6141</v>
      </c>
      <c r="J4476" s="291"/>
      <c r="K4476" s="291"/>
      <c r="L4476" s="291"/>
      <c r="S4476" s="364"/>
      <c r="Z4476" s="609" t="s">
        <v>4188</v>
      </c>
      <c r="AA4476" s="609" t="s">
        <v>5702</v>
      </c>
    </row>
    <row r="4477" spans="1:27" ht="24">
      <c r="A4477" s="2714"/>
      <c r="B4477" s="371">
        <v>101</v>
      </c>
      <c r="C4477" s="371"/>
      <c r="D4477" s="2716">
        <f t="shared" ref="D4477:D4483" si="504">IF(OR(G4477="*",G4477="",G4477=0),0,COUNTIF($G$4477:$G$4483,G4477))</f>
        <v>1</v>
      </c>
      <c r="E4477" s="2721">
        <v>1</v>
      </c>
      <c r="F4477" s="294"/>
      <c r="G4477" s="1474" t="s">
        <v>4202</v>
      </c>
      <c r="H4477" s="2296"/>
      <c r="I4477" s="291"/>
      <c r="J4477" s="291"/>
      <c r="K4477" s="291"/>
      <c r="L4477" s="291"/>
      <c r="S4477" s="364"/>
      <c r="Z4477" s="609" t="s">
        <v>4188</v>
      </c>
      <c r="AA4477" s="609" t="s">
        <v>5702</v>
      </c>
    </row>
    <row r="4478" spans="1:27" ht="18">
      <c r="A4478" s="2714"/>
      <c r="B4478" s="371">
        <v>102</v>
      </c>
      <c r="C4478" s="371"/>
      <c r="D4478" s="2716">
        <f t="shared" si="504"/>
        <v>1</v>
      </c>
      <c r="E4478" s="2721">
        <v>1</v>
      </c>
      <c r="F4478" s="294"/>
      <c r="G4478" s="1474" t="s">
        <v>2918</v>
      </c>
      <c r="H4478" s="2296"/>
      <c r="I4478" s="291"/>
      <c r="J4478" s="291"/>
      <c r="K4478" s="291"/>
      <c r="L4478" s="291"/>
      <c r="S4478" s="364"/>
      <c r="Z4478" s="609" t="s">
        <v>4188</v>
      </c>
      <c r="AA4478" s="609" t="s">
        <v>5702</v>
      </c>
    </row>
    <row r="4479" spans="1:27" ht="18">
      <c r="A4479" s="2714"/>
      <c r="B4479" s="371">
        <v>103</v>
      </c>
      <c r="C4479" s="371"/>
      <c r="D4479" s="2716">
        <f t="shared" si="504"/>
        <v>1</v>
      </c>
      <c r="E4479" s="2721">
        <v>1</v>
      </c>
      <c r="F4479" s="294"/>
      <c r="G4479" s="1474" t="s">
        <v>4203</v>
      </c>
      <c r="H4479" s="2296"/>
      <c r="I4479" s="291"/>
      <c r="J4479" s="291"/>
      <c r="K4479" s="291"/>
      <c r="L4479" s="291"/>
      <c r="S4479" s="364"/>
      <c r="Z4479" s="609" t="s">
        <v>4188</v>
      </c>
      <c r="AA4479" s="609" t="s">
        <v>5702</v>
      </c>
    </row>
    <row r="4480" spans="1:27" ht="18">
      <c r="A4480" s="2714"/>
      <c r="B4480" s="371">
        <v>104</v>
      </c>
      <c r="C4480" s="371"/>
      <c r="D4480" s="2716">
        <f t="shared" si="504"/>
        <v>1</v>
      </c>
      <c r="E4480" s="2721">
        <v>1</v>
      </c>
      <c r="F4480" s="294"/>
      <c r="G4480" s="1474" t="s">
        <v>4204</v>
      </c>
      <c r="H4480" s="2296"/>
      <c r="I4480" s="291"/>
      <c r="J4480" s="291"/>
      <c r="K4480" s="291"/>
      <c r="L4480" s="291"/>
      <c r="S4480" s="364"/>
      <c r="Z4480" s="609" t="s">
        <v>4188</v>
      </c>
      <c r="AA4480" s="609" t="s">
        <v>5702</v>
      </c>
    </row>
    <row r="4481" spans="1:27" ht="18">
      <c r="A4481" s="2714"/>
      <c r="B4481" s="371">
        <v>105</v>
      </c>
      <c r="C4481" s="371"/>
      <c r="D4481" s="2716">
        <f t="shared" si="504"/>
        <v>1</v>
      </c>
      <c r="E4481" s="2721">
        <v>1</v>
      </c>
      <c r="F4481" s="294"/>
      <c r="G4481" s="1474" t="s">
        <v>6088</v>
      </c>
      <c r="H4481" s="2296"/>
      <c r="I4481" s="291"/>
      <c r="J4481" s="291"/>
      <c r="K4481" s="291"/>
      <c r="L4481" s="291"/>
      <c r="S4481" s="364"/>
      <c r="Z4481" s="609" t="s">
        <v>4188</v>
      </c>
      <c r="AA4481" s="609" t="s">
        <v>5702</v>
      </c>
    </row>
    <row r="4482" spans="1:27" ht="18">
      <c r="A4482" s="2714"/>
      <c r="B4482" s="371">
        <v>106</v>
      </c>
      <c r="C4482" s="371" t="s">
        <v>2791</v>
      </c>
      <c r="D4482" s="2716">
        <f t="shared" si="504"/>
        <v>0</v>
      </c>
      <c r="E4482" s="2721">
        <v>1</v>
      </c>
      <c r="F4482" s="294"/>
      <c r="G4482" s="2437" t="s">
        <v>2792</v>
      </c>
      <c r="H4482" s="2296"/>
      <c r="I4482" s="291"/>
      <c r="J4482" s="291"/>
      <c r="K4482" s="291"/>
      <c r="L4482" s="291"/>
      <c r="S4482" s="364"/>
      <c r="Z4482" s="609" t="s">
        <v>4188</v>
      </c>
      <c r="AA4482" s="609" t="s">
        <v>5702</v>
      </c>
    </row>
    <row r="4483" spans="1:27" ht="18.75" thickBot="1">
      <c r="A4483" s="2714"/>
      <c r="B4483" s="371"/>
      <c r="C4483" s="371"/>
      <c r="D4483" s="2716">
        <f t="shared" si="504"/>
        <v>1</v>
      </c>
      <c r="E4483" s="2721" t="s">
        <v>2751</v>
      </c>
      <c r="F4483" s="294"/>
      <c r="G4483" s="1529" t="s">
        <v>2752</v>
      </c>
      <c r="H4483" s="1528">
        <f>SUMPRODUCT($E4476:$E4482,H4476:H4482)</f>
        <v>0</v>
      </c>
      <c r="I4483" s="291"/>
      <c r="J4483" s="291"/>
      <c r="K4483" s="291"/>
      <c r="L4483" s="291"/>
      <c r="S4483" s="364"/>
      <c r="Z4483" s="609" t="s">
        <v>4188</v>
      </c>
      <c r="AA4483" s="609" t="s">
        <v>5702</v>
      </c>
    </row>
    <row r="4484" spans="1:27" ht="18">
      <c r="A4484" s="2714"/>
      <c r="B4484" s="371"/>
      <c r="C4484" s="371" t="s">
        <v>2755</v>
      </c>
      <c r="D4484" s="371"/>
      <c r="F4484" s="294"/>
      <c r="G4484" s="301"/>
      <c r="H4484" s="315"/>
      <c r="I4484" s="291"/>
      <c r="J4484" s="291"/>
      <c r="K4484" s="291"/>
      <c r="L4484" s="291"/>
      <c r="S4484" s="364"/>
      <c r="Z4484" s="609" t="s">
        <v>4188</v>
      </c>
      <c r="AA4484" s="609" t="s">
        <v>5702</v>
      </c>
    </row>
    <row r="4485" spans="1:27" ht="18">
      <c r="A4485" s="2714">
        <v>6064</v>
      </c>
      <c r="B4485" s="371">
        <v>61</v>
      </c>
      <c r="C4485" s="2716" t="str">
        <f>VLOOKUP($A4485,Sheet_Items,2,0)</f>
        <v>营业收入、营业成本</v>
      </c>
      <c r="D4485" s="371"/>
      <c r="E4485" s="2716" t="s">
        <v>2739</v>
      </c>
      <c r="F4485" s="294"/>
      <c r="G4485" s="305" t="str">
        <f>B4485&amp;" "&amp;C4485</f>
        <v>61 营业收入、营业成本</v>
      </c>
      <c r="H4485" s="306"/>
      <c r="I4485" s="306"/>
      <c r="J4485" s="306"/>
      <c r="K4485" s="539"/>
      <c r="L4485" s="342"/>
      <c r="M4485" s="306"/>
      <c r="N4485" s="539"/>
      <c r="O4485" s="306"/>
      <c r="P4485" s="301"/>
      <c r="S4485" s="364"/>
      <c r="Z4485" s="609" t="s">
        <v>4205</v>
      </c>
      <c r="AA4485" s="609"/>
    </row>
    <row r="4486" spans="1:27" ht="18">
      <c r="A4486" s="2714">
        <v>6001</v>
      </c>
      <c r="B4486" s="371">
        <v>61.1</v>
      </c>
      <c r="C4486" s="2716" t="str">
        <f>VLOOKUP($A4486,Sheet_Items,2,0)</f>
        <v>营业收入</v>
      </c>
      <c r="D4486" s="371"/>
      <c r="F4486" s="294"/>
      <c r="G4486" s="589" t="str">
        <f>B4486&amp;" "&amp;C4486</f>
        <v>61.1 营业收入</v>
      </c>
      <c r="H4486" s="290"/>
      <c r="I4486" s="290"/>
      <c r="J4486" s="540" t="s">
        <v>4206</v>
      </c>
      <c r="K4486" s="341">
        <f>VLOOKUP($A4486,Sheet_Trialbal,6,0)</f>
        <v>328458.53999999998</v>
      </c>
      <c r="L4486" s="541"/>
      <c r="M4486" s="540" t="s">
        <v>4207</v>
      </c>
      <c r="N4486" s="341">
        <f>VLOOKUP($A4486,Sheet_Trialbal,10,0)</f>
        <v>6282.79</v>
      </c>
      <c r="O4486" s="542"/>
      <c r="S4486" s="364"/>
      <c r="Z4486" s="609" t="s">
        <v>4208</v>
      </c>
      <c r="AA4486" s="609" t="s">
        <v>4212</v>
      </c>
    </row>
    <row r="4487" spans="1:27" ht="18">
      <c r="A4487" s="2714">
        <v>6401</v>
      </c>
      <c r="B4487" s="371">
        <v>61.2</v>
      </c>
      <c r="C4487" s="2716" t="str">
        <f>VLOOKUP($A4487,Sheet_Items,2,0)</f>
        <v>营业成本</v>
      </c>
      <c r="D4487" s="371"/>
      <c r="F4487" s="294"/>
      <c r="G4487" s="589" t="str">
        <f>B4487&amp;" "&amp;C4487</f>
        <v>61.2 营业成本</v>
      </c>
      <c r="H4487" s="290"/>
      <c r="I4487" s="290"/>
      <c r="J4487" s="540" t="s">
        <v>4206</v>
      </c>
      <c r="K4487" s="341">
        <f>VLOOKUP($A4487,Sheet_Trialbal,6,0)</f>
        <v>8990453.4299999997</v>
      </c>
      <c r="L4487" s="541"/>
      <c r="M4487" s="540" t="s">
        <v>4207</v>
      </c>
      <c r="N4487" s="341">
        <f>VLOOKUP($A4487,Sheet_Trialbal,10,0)</f>
        <v>0</v>
      </c>
      <c r="O4487" s="540"/>
      <c r="S4487" s="364"/>
      <c r="Z4487" s="609" t="s">
        <v>4209</v>
      </c>
      <c r="AA4487" s="609" t="s">
        <v>5703</v>
      </c>
    </row>
    <row r="4488" spans="1:27" ht="24">
      <c r="A4488" s="2714" t="s">
        <v>1844</v>
      </c>
      <c r="B4488" s="371">
        <v>1</v>
      </c>
      <c r="C4488" s="371"/>
      <c r="D4488" s="2716" t="str">
        <f>VLOOKUP($A4488,Sheet_NoteList,2,0)</f>
        <v>营业收入及营业成本明细列示</v>
      </c>
      <c r="E4488" s="2716" t="s">
        <v>2742</v>
      </c>
      <c r="F4488" s="293"/>
      <c r="G4488" s="372" t="str">
        <f>"("&amp;B4488&amp;")"&amp;D4488</f>
        <v>(1)营业收入及营业成本明细列示</v>
      </c>
      <c r="H4488" s="1517" t="str">
        <f>$A4488</f>
        <v>6064h</v>
      </c>
      <c r="I4488" s="343" t="s">
        <v>2743</v>
      </c>
      <c r="J4488" s="301" t="s">
        <v>4210</v>
      </c>
      <c r="K4488" s="2210">
        <f>H4496</f>
        <v>328458.53999999998</v>
      </c>
      <c r="L4488" s="349">
        <f>IF($I4488="适用",IF(ROUND(K$4485-K4488,2)=0,"F/S",ROUND(K$4485-K4488,2)),"#N/A")</f>
        <v>-328458.53999999998</v>
      </c>
      <c r="M4488" s="301" t="s">
        <v>4211</v>
      </c>
      <c r="N4488" s="2210">
        <f>I4496</f>
        <v>8990453.4299999997</v>
      </c>
      <c r="O4488" s="349">
        <f>IF($I4488="适用",IF(ROUND(N$4485-N4488,2)=0,"F/S",ROUND(N$4485-N4488,2)),"#N/A")</f>
        <v>-8990453.4299999997</v>
      </c>
      <c r="P4488" s="301"/>
      <c r="S4488" s="364"/>
      <c r="Z4488" s="609" t="s">
        <v>4205</v>
      </c>
      <c r="AA4488" s="609" t="s">
        <v>4212</v>
      </c>
    </row>
    <row r="4489" spans="1:27" ht="0.75" customHeight="1">
      <c r="A4489" s="2714"/>
      <c r="B4489" s="371"/>
      <c r="C4489" s="371"/>
      <c r="D4489" s="2716"/>
      <c r="E4489" s="586"/>
      <c r="F4489" s="586"/>
      <c r="G4489" s="2224" t="s">
        <v>4213</v>
      </c>
      <c r="H4489" s="371" t="s">
        <v>2747</v>
      </c>
      <c r="I4489" s="371" t="s">
        <v>2748</v>
      </c>
      <c r="J4489" s="371" t="s">
        <v>2948</v>
      </c>
      <c r="K4489" s="547" t="s">
        <v>3034</v>
      </c>
      <c r="L4489" s="428"/>
      <c r="M4489" s="433"/>
      <c r="N4489" s="428"/>
      <c r="O4489" s="428"/>
      <c r="P4489" s="433"/>
      <c r="Q4489" s="442"/>
      <c r="R4489" s="443"/>
      <c r="S4489" s="364"/>
      <c r="Z4489" s="609" t="s">
        <v>4205</v>
      </c>
      <c r="AA4489" s="609" t="s">
        <v>4212</v>
      </c>
    </row>
    <row r="4490" spans="1:27" ht="0.75" customHeight="1" thickBot="1">
      <c r="A4490" s="2714"/>
      <c r="B4490" s="371"/>
      <c r="C4490" s="371"/>
      <c r="D4490" s="2716"/>
      <c r="E4490" s="586"/>
      <c r="F4490" s="586"/>
      <c r="G4490" s="2224"/>
      <c r="H4490" s="371" t="s">
        <v>4214</v>
      </c>
      <c r="I4490" s="371" t="s">
        <v>4215</v>
      </c>
      <c r="J4490" s="371" t="s">
        <v>4216</v>
      </c>
      <c r="K4490" s="547" t="s">
        <v>4217</v>
      </c>
      <c r="L4490" s="428"/>
      <c r="M4490" s="433"/>
      <c r="N4490" s="428"/>
      <c r="O4490" s="428"/>
      <c r="P4490" s="433"/>
      <c r="Q4490" s="442"/>
      <c r="R4490" s="443"/>
      <c r="S4490" s="364"/>
      <c r="Z4490" s="609" t="s">
        <v>4205</v>
      </c>
      <c r="AA4490" s="609" t="s">
        <v>4212</v>
      </c>
    </row>
    <row r="4491" spans="1:27" ht="18" customHeight="1">
      <c r="A4491" s="2714"/>
      <c r="B4491" s="371"/>
      <c r="C4491" s="371"/>
      <c r="D4491" s="2716"/>
      <c r="E4491" s="586" t="s">
        <v>2749</v>
      </c>
      <c r="F4491" s="414"/>
      <c r="G4491" s="3220" t="s">
        <v>2870</v>
      </c>
      <c r="H4491" s="3188" t="str">
        <f>$V$4</f>
        <v>2019年度</v>
      </c>
      <c r="I4491" s="3263"/>
      <c r="J4491" s="3188" t="str">
        <f>$V$5</f>
        <v>2018年度</v>
      </c>
      <c r="K4491" s="3264"/>
      <c r="L4491" s="355" t="s">
        <v>5326</v>
      </c>
      <c r="M4491" s="433"/>
      <c r="N4491" s="428"/>
      <c r="O4491" s="428"/>
      <c r="P4491" s="433"/>
      <c r="Q4491" s="442"/>
      <c r="R4491" s="443"/>
      <c r="S4491" s="364"/>
      <c r="Z4491" s="609" t="s">
        <v>4205</v>
      </c>
      <c r="AA4491" s="609" t="s">
        <v>4212</v>
      </c>
    </row>
    <row r="4492" spans="1:27" ht="18">
      <c r="A4492" s="2714"/>
      <c r="B4492" s="371"/>
      <c r="C4492" s="371"/>
      <c r="D4492" s="2716"/>
      <c r="E4492" s="586" t="s">
        <v>2749</v>
      </c>
      <c r="F4492" s="414"/>
      <c r="G4492" s="3221"/>
      <c r="H4492" s="2471" t="s">
        <v>4218</v>
      </c>
      <c r="I4492" s="2471" t="s">
        <v>3411</v>
      </c>
      <c r="J4492" s="2471" t="s">
        <v>4218</v>
      </c>
      <c r="K4492" s="2472" t="s">
        <v>3411</v>
      </c>
      <c r="L4492" s="434"/>
      <c r="M4492" s="435"/>
      <c r="N4492" s="434"/>
      <c r="O4492" s="434"/>
      <c r="P4492" s="435"/>
      <c r="Q4492" s="442"/>
      <c r="R4492" s="443"/>
      <c r="S4492" s="364"/>
      <c r="Z4492" s="609" t="s">
        <v>4205</v>
      </c>
      <c r="AA4492" s="609" t="s">
        <v>4212</v>
      </c>
    </row>
    <row r="4493" spans="1:27" ht="18">
      <c r="A4493" s="2714"/>
      <c r="B4493" s="371">
        <v>101</v>
      </c>
      <c r="C4493" s="371"/>
      <c r="D4493" s="2716">
        <f>IF(OR(G4493="*",G4493="",G4493=0),0,COUNTIF($G$4493:$G$4496,G4493))</f>
        <v>1</v>
      </c>
      <c r="E4493" s="2721">
        <v>1</v>
      </c>
      <c r="F4493" s="293"/>
      <c r="G4493" s="1474" t="s">
        <v>4219</v>
      </c>
      <c r="H4493" s="1476">
        <f>H4502</f>
        <v>0</v>
      </c>
      <c r="I4493" s="1476">
        <f>H4511</f>
        <v>8990453.4299999997</v>
      </c>
      <c r="J4493" s="1476">
        <f>I4502</f>
        <v>0</v>
      </c>
      <c r="K4493" s="1477">
        <f>I4511</f>
        <v>0</v>
      </c>
      <c r="L4493" s="355" t="s">
        <v>5359</v>
      </c>
      <c r="M4493" s="438"/>
      <c r="N4493" s="439"/>
      <c r="O4493" s="437"/>
      <c r="P4493" s="438"/>
      <c r="Q4493" s="442"/>
      <c r="R4493" s="443"/>
      <c r="S4493" s="364"/>
      <c r="Z4493" s="609" t="s">
        <v>4205</v>
      </c>
      <c r="AA4493" s="609" t="s">
        <v>4212</v>
      </c>
    </row>
    <row r="4494" spans="1:27" ht="18">
      <c r="A4494" s="2714"/>
      <c r="B4494" s="371">
        <v>102</v>
      </c>
      <c r="C4494" s="371"/>
      <c r="D4494" s="2716">
        <f>IF(OR(G4494="*",G4494="",G4494=0),0,COUNTIF($G$4493:$G$4496,G4494))</f>
        <v>1</v>
      </c>
      <c r="E4494" s="2721">
        <v>1</v>
      </c>
      <c r="F4494" s="293"/>
      <c r="G4494" s="1474" t="s">
        <v>4220</v>
      </c>
      <c r="H4494" s="1476">
        <f>H4503</f>
        <v>328458.53999999998</v>
      </c>
      <c r="I4494" s="1476">
        <f>H4512</f>
        <v>0</v>
      </c>
      <c r="J4494" s="1476">
        <f>I4503</f>
        <v>6282.79</v>
      </c>
      <c r="K4494" s="1477">
        <f>I4512</f>
        <v>0</v>
      </c>
      <c r="L4494" s="355" t="s">
        <v>5359</v>
      </c>
      <c r="M4494" s="438"/>
      <c r="N4494" s="439"/>
      <c r="O4494" s="437"/>
      <c r="P4494" s="438"/>
      <c r="Q4494" s="442"/>
      <c r="R4494" s="443"/>
      <c r="S4494" s="364"/>
      <c r="Z4494" s="609" t="s">
        <v>4205</v>
      </c>
      <c r="AA4494" s="609" t="s">
        <v>4212</v>
      </c>
    </row>
    <row r="4495" spans="1:27" ht="18">
      <c r="A4495" s="2714"/>
      <c r="B4495" s="371">
        <v>103</v>
      </c>
      <c r="C4495" s="371" t="s">
        <v>2791</v>
      </c>
      <c r="D4495" s="2716">
        <f>IF(OR(G4495="*",G4495="",G4495=0),0,COUNTIF($G$4493:$G$4496,G4495))</f>
        <v>0</v>
      </c>
      <c r="E4495" s="2721">
        <v>1</v>
      </c>
      <c r="F4495" s="293"/>
      <c r="G4495" s="2448" t="s">
        <v>2792</v>
      </c>
      <c r="H4495" s="2275"/>
      <c r="I4495" s="2275"/>
      <c r="J4495" s="2275"/>
      <c r="K4495" s="2296"/>
      <c r="L4495" s="437"/>
      <c r="M4495" s="438"/>
      <c r="N4495" s="439"/>
      <c r="O4495" s="437"/>
      <c r="P4495" s="438"/>
      <c r="Q4495" s="442"/>
      <c r="R4495" s="443"/>
      <c r="S4495" s="364"/>
      <c r="Z4495" s="609" t="s">
        <v>4205</v>
      </c>
      <c r="AA4495" s="609" t="s">
        <v>4212</v>
      </c>
    </row>
    <row r="4496" spans="1:27" ht="18.75" thickBot="1">
      <c r="A4496" s="2714"/>
      <c r="B4496" s="371"/>
      <c r="C4496" s="371"/>
      <c r="D4496" s="2716">
        <f>IF(OR(G4496="*",G4496="",G4496=0),0,COUNTIF($G$4493:$G$4496,G4496))</f>
        <v>1</v>
      </c>
      <c r="E4496" s="2721" t="s">
        <v>2751</v>
      </c>
      <c r="F4496" s="293"/>
      <c r="G4496" s="374" t="s">
        <v>2752</v>
      </c>
      <c r="H4496" s="1478">
        <f>SUMPRODUCT($E4492:$E4495,H4492:H4495)</f>
        <v>328458.53999999998</v>
      </c>
      <c r="I4496" s="1478">
        <f>SUMPRODUCT($E4492:$E4495,I4492:I4495)</f>
        <v>8990453.4299999997</v>
      </c>
      <c r="J4496" s="1478">
        <f>SUMPRODUCT($E4492:$E4495,J4492:J4495)</f>
        <v>6282.79</v>
      </c>
      <c r="K4496" s="1479">
        <f>SUMPRODUCT($E4492:$E4495,K4492:K4495)</f>
        <v>0</v>
      </c>
      <c r="L4496" s="437"/>
      <c r="M4496" s="440"/>
      <c r="N4496" s="439"/>
      <c r="O4496" s="437"/>
      <c r="P4496" s="440"/>
      <c r="Q4496" s="442"/>
      <c r="R4496" s="443"/>
      <c r="S4496" s="364"/>
      <c r="Z4496" s="609" t="s">
        <v>4205</v>
      </c>
      <c r="AA4496" s="609" t="s">
        <v>4212</v>
      </c>
    </row>
    <row r="4497" spans="1:29" ht="18">
      <c r="A4497" s="2714"/>
      <c r="B4497" s="371"/>
      <c r="C4497" s="371" t="s">
        <v>2755</v>
      </c>
      <c r="D4497" s="2716"/>
      <c r="F4497" s="293"/>
      <c r="G4497" s="376"/>
      <c r="H4497" s="315"/>
      <c r="I4497" s="396"/>
      <c r="J4497" s="315"/>
      <c r="K4497" s="423"/>
      <c r="L4497" s="427"/>
      <c r="M4497" s="425"/>
      <c r="N4497" s="426"/>
      <c r="O4497" s="427"/>
      <c r="P4497" s="425"/>
      <c r="Q4497" s="442"/>
      <c r="R4497" s="443"/>
      <c r="S4497" s="364"/>
      <c r="Z4497" s="609" t="s">
        <v>4205</v>
      </c>
      <c r="AA4497" s="609" t="s">
        <v>4212</v>
      </c>
    </row>
    <row r="4498" spans="1:29" ht="18">
      <c r="A4498" s="2714" t="s">
        <v>1848</v>
      </c>
      <c r="B4498" s="371">
        <v>2</v>
      </c>
      <c r="C4498" s="371"/>
      <c r="D4498" s="2716" t="str">
        <f>VLOOKUP($A4498,Sheet_NoteList,2,0)</f>
        <v>营业收入明细项目</v>
      </c>
      <c r="E4498" s="2716" t="s">
        <v>2742</v>
      </c>
      <c r="F4498" s="294"/>
      <c r="G4498" s="307" t="str">
        <f>"("&amp;B4498&amp;")"&amp;D4498</f>
        <v>(2)营业收入明细项目</v>
      </c>
      <c r="H4498" s="1517" t="str">
        <f>$A4498</f>
        <v>6064a</v>
      </c>
      <c r="I4498" s="343" t="s">
        <v>2743</v>
      </c>
      <c r="J4498" s="301" t="s">
        <v>4210</v>
      </c>
      <c r="K4498" s="2210">
        <f>H4505</f>
        <v>328458.53999999998</v>
      </c>
      <c r="L4498" s="345" t="str">
        <f>IF($I4498="适用",IF(ROUND(K$4486-K4498,2)=0,"F/S",ROUND(K$4486-K4498,2)),"#N/A")</f>
        <v>F/S</v>
      </c>
      <c r="M4498" s="301" t="s">
        <v>4211</v>
      </c>
      <c r="N4498" s="2210">
        <f>I4505</f>
        <v>6282.79</v>
      </c>
      <c r="O4498" s="345" t="str">
        <f>IF($I4498="适用",IF(ROUND(N$4486-N4498,2)=0,"F/S",ROUND(N$4486-N4498,2)),"#N/A")</f>
        <v>F/S</v>
      </c>
      <c r="P4498" s="301"/>
      <c r="Q4498" s="290" t="str">
        <f>IF($I4498="不适用","",IF(ROUND(SUM($H$4501:$I$4505),2)=0,"请输入",""))</f>
        <v/>
      </c>
      <c r="S4498" s="364"/>
      <c r="Z4498" s="609" t="s">
        <v>4221</v>
      </c>
      <c r="AA4498" s="609" t="s">
        <v>4212</v>
      </c>
    </row>
    <row r="4499" spans="1:29" ht="0.75" customHeight="1" thickBot="1">
      <c r="A4499" s="2714"/>
      <c r="B4499" s="371"/>
      <c r="C4499" s="371"/>
      <c r="D4499" s="371"/>
      <c r="E4499" s="586"/>
      <c r="F4499" s="586"/>
      <c r="G4499" s="586" t="s">
        <v>4222</v>
      </c>
      <c r="H4499" s="371" t="s">
        <v>4223</v>
      </c>
      <c r="I4499" s="371" t="s">
        <v>4224</v>
      </c>
      <c r="J4499" s="291"/>
      <c r="K4499" s="291"/>
      <c r="L4499" s="291"/>
      <c r="M4499" s="291"/>
      <c r="S4499" s="364"/>
      <c r="Z4499" s="609" t="s">
        <v>4221</v>
      </c>
      <c r="AA4499" s="609" t="s">
        <v>4212</v>
      </c>
    </row>
    <row r="4500" spans="1:29" ht="18">
      <c r="A4500" s="2714"/>
      <c r="B4500" s="371"/>
      <c r="C4500" s="371"/>
      <c r="D4500" s="371"/>
      <c r="E4500" s="586" t="s">
        <v>2749</v>
      </c>
      <c r="F4500" s="363"/>
      <c r="G4500" s="2449" t="s">
        <v>47</v>
      </c>
      <c r="H4500" s="2445" t="str">
        <f>$V$4</f>
        <v>2019年度</v>
      </c>
      <c r="I4500" s="2444" t="str">
        <f>$V$5</f>
        <v>2018年度</v>
      </c>
      <c r="J4500" s="594"/>
      <c r="K4500" s="291"/>
      <c r="L4500" s="291"/>
      <c r="M4500" s="291"/>
      <c r="S4500" s="364"/>
      <c r="Z4500" s="609" t="s">
        <v>4221</v>
      </c>
      <c r="AA4500" s="609" t="s">
        <v>4212</v>
      </c>
    </row>
    <row r="4501" spans="1:29" ht="18">
      <c r="A4501" s="2714"/>
      <c r="B4501" s="371">
        <v>101</v>
      </c>
      <c r="C4501" s="371"/>
      <c r="D4501" s="2716">
        <f>IF(OR(G4501="*",G4501="",G4501=0),0,COUNTIF($G$4501:$G$4505,G4501))</f>
        <v>1</v>
      </c>
      <c r="E4501" s="2721">
        <v>0</v>
      </c>
      <c r="F4501" s="294"/>
      <c r="G4501" s="1474" t="s">
        <v>631</v>
      </c>
      <c r="H4501" s="1476">
        <f>SUM(H4502:H4504)</f>
        <v>328458.53999999998</v>
      </c>
      <c r="I4501" s="1477">
        <f>SUM(I4502:I4504)</f>
        <v>6282.79</v>
      </c>
      <c r="J4501" s="291"/>
      <c r="K4501" s="291"/>
      <c r="L4501" s="291"/>
      <c r="M4501" s="291"/>
      <c r="S4501" s="364"/>
      <c r="Z4501" s="609" t="s">
        <v>4221</v>
      </c>
      <c r="AA4501" s="609" t="s">
        <v>4212</v>
      </c>
    </row>
    <row r="4502" spans="1:29" ht="18">
      <c r="A4502" s="2714"/>
      <c r="B4502" s="371">
        <v>102</v>
      </c>
      <c r="C4502" s="371"/>
      <c r="D4502" s="2716">
        <f>IF(OR(G4502="*",G4502="",G4502=0),0,COUNTIF($G$4501:$G$4505,G4502))</f>
        <v>1</v>
      </c>
      <c r="E4502" s="2721">
        <v>1</v>
      </c>
      <c r="F4502" s="294"/>
      <c r="G4502" s="1474" t="s">
        <v>4225</v>
      </c>
      <c r="H4502" s="2275"/>
      <c r="I4502" s="2296"/>
      <c r="J4502" s="1533" t="str">
        <f ca="1">HYPERLINK("#'"&amp;$G$1&amp;"'!"&amp;ADDRESS(ROW(Notes!H4534),COLUMN(Notes!H4534),4),"* 请勿删除此行！点击往勾稽单元格，F5+Enter返回")</f>
        <v>* 请勿删除此行！点击往勾稽单元格，F5+Enter返回</v>
      </c>
      <c r="K4502" s="291"/>
      <c r="L4502" s="291"/>
      <c r="M4502" s="291"/>
      <c r="S4502" s="364"/>
      <c r="Z4502" s="609" t="s">
        <v>4221</v>
      </c>
      <c r="AA4502" s="609" t="s">
        <v>4212</v>
      </c>
      <c r="AC4502" s="369" t="s">
        <v>6574</v>
      </c>
    </row>
    <row r="4503" spans="1:29" ht="18">
      <c r="A4503" s="2714"/>
      <c r="B4503" s="371">
        <v>103</v>
      </c>
      <c r="C4503" s="371"/>
      <c r="D4503" s="2716">
        <f>IF(OR(G4503="*",G4503="",G4503=0),0,COUNTIF($G$4501:$G$4505,G4503))</f>
        <v>1</v>
      </c>
      <c r="E4503" s="2721">
        <v>1</v>
      </c>
      <c r="F4503" s="294"/>
      <c r="G4503" s="1474" t="s">
        <v>4226</v>
      </c>
      <c r="H4503" s="2275">
        <v>328458.53999999998</v>
      </c>
      <c r="I4503" s="2296">
        <v>6282.79</v>
      </c>
      <c r="J4503" s="291"/>
      <c r="K4503" s="291"/>
      <c r="L4503" s="291"/>
      <c r="M4503" s="291"/>
      <c r="S4503" s="364"/>
      <c r="Z4503" s="609" t="s">
        <v>4221</v>
      </c>
      <c r="AA4503" s="609" t="s">
        <v>4212</v>
      </c>
    </row>
    <row r="4504" spans="1:29" ht="18">
      <c r="A4504" s="2714"/>
      <c r="B4504" s="371">
        <v>104</v>
      </c>
      <c r="C4504" s="371" t="s">
        <v>2791</v>
      </c>
      <c r="D4504" s="2716">
        <f>IF(OR(G4504="*",G4504="",G4504=0),0,COUNTIF($G$4501:$G$4505,G4504))</f>
        <v>0</v>
      </c>
      <c r="E4504" s="2721">
        <v>1</v>
      </c>
      <c r="F4504" s="294"/>
      <c r="G4504" s="2448" t="s">
        <v>2792</v>
      </c>
      <c r="H4504" s="2275"/>
      <c r="I4504" s="2296"/>
      <c r="J4504" s="291"/>
      <c r="K4504" s="291"/>
      <c r="L4504" s="291"/>
      <c r="M4504" s="291"/>
      <c r="S4504" s="364"/>
      <c r="Z4504" s="609" t="s">
        <v>4221</v>
      </c>
      <c r="AA4504" s="609" t="s">
        <v>4212</v>
      </c>
    </row>
    <row r="4505" spans="1:29" ht="18.75" thickBot="1">
      <c r="A4505" s="2714"/>
      <c r="B4505" s="371"/>
      <c r="C4505" s="371"/>
      <c r="D4505" s="2716">
        <f>IF(OR(G4505="*",G4505="",G4505=0),0,COUNTIF($G$4501:$G$4505,G4505))</f>
        <v>1</v>
      </c>
      <c r="E4505" s="2721" t="s">
        <v>2751</v>
      </c>
      <c r="F4505" s="294"/>
      <c r="G4505" s="374" t="s">
        <v>2752</v>
      </c>
      <c r="H4505" s="1478">
        <f>SUMPRODUCT($E4500:$E4504,H4500:H4504)</f>
        <v>328458.53999999998</v>
      </c>
      <c r="I4505" s="1479">
        <f>SUMPRODUCT($E4500:$E4504,I4500:I4504)</f>
        <v>6282.79</v>
      </c>
      <c r="J4505" s="291"/>
      <c r="K4505" s="291"/>
      <c r="L4505" s="291"/>
      <c r="M4505" s="291"/>
      <c r="S4505" s="364"/>
      <c r="Z4505" s="609" t="s">
        <v>4221</v>
      </c>
      <c r="AA4505" s="609" t="s">
        <v>4212</v>
      </c>
    </row>
    <row r="4506" spans="1:29" ht="18">
      <c r="A4506" s="2714"/>
      <c r="B4506" s="371"/>
      <c r="C4506" s="371" t="s">
        <v>2755</v>
      </c>
      <c r="D4506" s="371"/>
      <c r="F4506" s="294"/>
      <c r="G4506" s="301"/>
      <c r="H4506" s="315"/>
      <c r="I4506" s="315"/>
      <c r="J4506" s="291"/>
      <c r="K4506" s="291"/>
      <c r="L4506" s="291"/>
      <c r="M4506" s="291"/>
      <c r="S4506" s="364"/>
      <c r="Z4506" s="609" t="s">
        <v>4221</v>
      </c>
      <c r="AA4506" s="609" t="s">
        <v>4212</v>
      </c>
    </row>
    <row r="4507" spans="1:29" ht="18">
      <c r="A4507" s="2714" t="s">
        <v>1851</v>
      </c>
      <c r="B4507" s="371">
        <v>3</v>
      </c>
      <c r="C4507" s="371"/>
      <c r="D4507" s="2716" t="str">
        <f>VLOOKUP($A4507,Sheet_NoteList,2,0)</f>
        <v>营业成本明细项目</v>
      </c>
      <c r="E4507" s="2716" t="s">
        <v>2742</v>
      </c>
      <c r="F4507" s="294"/>
      <c r="G4507" s="307" t="str">
        <f>"("&amp;B4507&amp;")"&amp;D4507</f>
        <v>(3)营业成本明细项目</v>
      </c>
      <c r="H4507" s="1517" t="str">
        <f>$A4507</f>
        <v>6064b</v>
      </c>
      <c r="I4507" s="343" t="s">
        <v>2743</v>
      </c>
      <c r="J4507" s="301" t="s">
        <v>4210</v>
      </c>
      <c r="K4507" s="2210">
        <f>H4514</f>
        <v>8990453.4299999997</v>
      </c>
      <c r="L4507" s="345" t="str">
        <f>IF($I4507="适用",IF(ROUND(K$4487-K4507,2)=0,"F/S",ROUND(K$4487-K4507,2)),"#N/A")</f>
        <v>F/S</v>
      </c>
      <c r="M4507" s="301" t="s">
        <v>4211</v>
      </c>
      <c r="N4507" s="2210">
        <f>I4514</f>
        <v>0</v>
      </c>
      <c r="O4507" s="345" t="str">
        <f>IF($I4507="适用",IF(ROUND(N$4487-N4507,2)=0,"F/S",ROUND(N$4487-N4507,2)),"#N/A")</f>
        <v>F/S</v>
      </c>
      <c r="P4507" s="301"/>
      <c r="Q4507" s="290" t="str">
        <f>IF($I4507="不适用","",IF(ROUND(SUM($H$4510:$I$4514),2)=0,"请输入",""))</f>
        <v/>
      </c>
      <c r="S4507" s="364"/>
      <c r="Z4507" s="609" t="s">
        <v>4221</v>
      </c>
      <c r="AA4507" s="609" t="s">
        <v>5703</v>
      </c>
    </row>
    <row r="4508" spans="1:29" ht="0.75" customHeight="1" thickBot="1">
      <c r="A4508" s="2714"/>
      <c r="B4508" s="371"/>
      <c r="C4508" s="371"/>
      <c r="D4508" s="371"/>
      <c r="E4508" s="586"/>
      <c r="F4508" s="586"/>
      <c r="G4508" s="586" t="s">
        <v>4227</v>
      </c>
      <c r="H4508" s="371" t="s">
        <v>4223</v>
      </c>
      <c r="I4508" s="371" t="s">
        <v>4224</v>
      </c>
      <c r="J4508" s="291"/>
      <c r="K4508" s="291"/>
      <c r="L4508" s="291"/>
      <c r="M4508" s="291"/>
      <c r="S4508" s="364"/>
      <c r="Z4508" s="609" t="s">
        <v>4221</v>
      </c>
      <c r="AA4508" s="609" t="s">
        <v>5703</v>
      </c>
    </row>
    <row r="4509" spans="1:29" ht="18">
      <c r="A4509" s="2714"/>
      <c r="B4509" s="371"/>
      <c r="C4509" s="371"/>
      <c r="D4509" s="371"/>
      <c r="E4509" s="586" t="s">
        <v>2749</v>
      </c>
      <c r="F4509" s="363"/>
      <c r="G4509" s="2449" t="s">
        <v>47</v>
      </c>
      <c r="H4509" s="2445" t="str">
        <f>$V$4</f>
        <v>2019年度</v>
      </c>
      <c r="I4509" s="2444" t="str">
        <f>$V$5</f>
        <v>2018年度</v>
      </c>
      <c r="J4509" s="594"/>
      <c r="K4509" s="291"/>
      <c r="L4509" s="291"/>
      <c r="M4509" s="291"/>
      <c r="S4509" s="364"/>
      <c r="Z4509" s="609" t="s">
        <v>4221</v>
      </c>
      <c r="AA4509" s="609" t="s">
        <v>5703</v>
      </c>
    </row>
    <row r="4510" spans="1:29" ht="18">
      <c r="A4510" s="2714"/>
      <c r="B4510" s="371">
        <v>101</v>
      </c>
      <c r="C4510" s="371"/>
      <c r="D4510" s="2716">
        <f>IF(OR(G4510="*",G4510="",G4510=0),0,COUNTIF($G$4510:$G$4514,G4510))</f>
        <v>1</v>
      </c>
      <c r="E4510" s="2721">
        <v>0</v>
      </c>
      <c r="F4510" s="294"/>
      <c r="G4510" s="1474" t="s">
        <v>671</v>
      </c>
      <c r="H4510" s="1476">
        <f>SUM(H4511:H4513)</f>
        <v>8990453.4299999997</v>
      </c>
      <c r="I4510" s="1477">
        <f>SUM(I4511:I4513)</f>
        <v>0</v>
      </c>
      <c r="J4510" s="291"/>
      <c r="K4510" s="291"/>
      <c r="L4510" s="291"/>
      <c r="M4510" s="291"/>
      <c r="S4510" s="364"/>
      <c r="Z4510" s="609" t="s">
        <v>4221</v>
      </c>
      <c r="AA4510" s="609" t="s">
        <v>5703</v>
      </c>
    </row>
    <row r="4511" spans="1:29" ht="18">
      <c r="A4511" s="2714"/>
      <c r="B4511" s="371">
        <v>102</v>
      </c>
      <c r="C4511" s="371"/>
      <c r="D4511" s="2716">
        <f>IF(OR(G4511="*",G4511="",G4511=0),0,COUNTIF($G$4510:$G$4514,G4511))</f>
        <v>1</v>
      </c>
      <c r="E4511" s="2721">
        <v>1</v>
      </c>
      <c r="F4511" s="294"/>
      <c r="G4511" s="1474" t="s">
        <v>4228</v>
      </c>
      <c r="H4511" s="2275">
        <v>8990453.4299999997</v>
      </c>
      <c r="I4511" s="2296"/>
      <c r="J4511" s="1533" t="str">
        <f ca="1">HYPERLINK("#'"&amp;$G$1&amp;"'!"&amp;ADDRESS(ROW(Notes!I4534),COLUMN(Notes!I4534),4),"* 请勿删除此行！点击往勾稽单元格，F5+Enter返回")</f>
        <v>* 请勿删除此行！点击往勾稽单元格，F5+Enter返回</v>
      </c>
      <c r="K4511" s="291"/>
      <c r="L4511" s="291"/>
      <c r="M4511" s="291"/>
      <c r="S4511" s="364"/>
      <c r="Z4511" s="609" t="s">
        <v>4221</v>
      </c>
      <c r="AA4511" s="609" t="s">
        <v>5703</v>
      </c>
      <c r="AC4511" s="369" t="s">
        <v>6574</v>
      </c>
    </row>
    <row r="4512" spans="1:29" ht="18">
      <c r="A4512" s="2714"/>
      <c r="B4512" s="371">
        <v>103</v>
      </c>
      <c r="C4512" s="371"/>
      <c r="D4512" s="2716">
        <f>IF(OR(G4512="*",G4512="",G4512=0),0,COUNTIF($G$4510:$G$4514,G4512))</f>
        <v>1</v>
      </c>
      <c r="E4512" s="2721">
        <v>1</v>
      </c>
      <c r="F4512" s="294"/>
      <c r="G4512" s="1474" t="s">
        <v>4229</v>
      </c>
      <c r="H4512" s="2275"/>
      <c r="I4512" s="2296"/>
      <c r="J4512" s="291"/>
      <c r="K4512" s="291"/>
      <c r="L4512" s="291"/>
      <c r="M4512" s="291"/>
      <c r="S4512" s="364"/>
      <c r="Z4512" s="609" t="s">
        <v>4221</v>
      </c>
      <c r="AA4512" s="609" t="s">
        <v>5703</v>
      </c>
    </row>
    <row r="4513" spans="1:27" ht="18">
      <c r="A4513" s="2714"/>
      <c r="B4513" s="371">
        <v>104</v>
      </c>
      <c r="C4513" s="371" t="s">
        <v>2791</v>
      </c>
      <c r="D4513" s="2716">
        <f>IF(OR(G4513="*",G4513="",G4513=0),0,COUNTIF($G$4510:$G$4514,G4513))</f>
        <v>0</v>
      </c>
      <c r="E4513" s="2721">
        <v>1</v>
      </c>
      <c r="F4513" s="294"/>
      <c r="G4513" s="2448" t="s">
        <v>2792</v>
      </c>
      <c r="H4513" s="2275"/>
      <c r="I4513" s="2296"/>
      <c r="J4513" s="291"/>
      <c r="K4513" s="291"/>
      <c r="L4513" s="291"/>
      <c r="M4513" s="291"/>
      <c r="S4513" s="364"/>
      <c r="Z4513" s="609" t="s">
        <v>4221</v>
      </c>
      <c r="AA4513" s="609" t="s">
        <v>5703</v>
      </c>
    </row>
    <row r="4514" spans="1:27" ht="18.75" thickBot="1">
      <c r="A4514" s="2714"/>
      <c r="B4514" s="371"/>
      <c r="C4514" s="371"/>
      <c r="D4514" s="2716">
        <f>IF(OR(G4514="*",G4514="",G4514=0),0,COUNTIF($G$4510:$G$4514,G4514))</f>
        <v>1</v>
      </c>
      <c r="E4514" s="2721" t="s">
        <v>2751</v>
      </c>
      <c r="F4514" s="294"/>
      <c r="G4514" s="374" t="s">
        <v>2752</v>
      </c>
      <c r="H4514" s="1478">
        <f>SUMPRODUCT($E4509:$E4513,H4509:H4513)</f>
        <v>8990453.4299999997</v>
      </c>
      <c r="I4514" s="1479">
        <f>SUMPRODUCT($E4509:$E4513,I4509:I4513)</f>
        <v>0</v>
      </c>
      <c r="J4514" s="291"/>
      <c r="K4514" s="291"/>
      <c r="L4514" s="291"/>
      <c r="M4514" s="291"/>
      <c r="S4514" s="364"/>
      <c r="Z4514" s="609" t="s">
        <v>4221</v>
      </c>
      <c r="AA4514" s="609" t="s">
        <v>5703</v>
      </c>
    </row>
    <row r="4515" spans="1:27" ht="18">
      <c r="A4515" s="2714"/>
      <c r="B4515" s="371"/>
      <c r="C4515" s="371" t="s">
        <v>2755</v>
      </c>
      <c r="D4515" s="371"/>
      <c r="F4515" s="294"/>
      <c r="G4515" s="301"/>
      <c r="H4515" s="315"/>
      <c r="I4515" s="315"/>
      <c r="J4515" s="291"/>
      <c r="K4515" s="291"/>
      <c r="L4515" s="291"/>
      <c r="M4515" s="291"/>
      <c r="S4515" s="364"/>
      <c r="Z4515" s="609" t="s">
        <v>4221</v>
      </c>
      <c r="AA4515" s="609" t="s">
        <v>5703</v>
      </c>
    </row>
    <row r="4516" spans="1:27" ht="24">
      <c r="A4516" s="2714" t="s">
        <v>1854</v>
      </c>
      <c r="B4516" s="371">
        <v>4</v>
      </c>
      <c r="C4516" s="371"/>
      <c r="D4516" s="2716" t="str">
        <f>VLOOKUP($A4516,Sheet_NoteList,2,0)</f>
        <v>主营业务（分行业或业务）</v>
      </c>
      <c r="E4516" s="2716" t="s">
        <v>2742</v>
      </c>
      <c r="F4516" s="294"/>
      <c r="G4516" s="372" t="str">
        <f>"("&amp;B4516&amp;")"&amp;D4516</f>
        <v>(4)主营业务（分行业或业务）</v>
      </c>
      <c r="H4516" s="1517" t="str">
        <f>$A4516</f>
        <v>6064c</v>
      </c>
      <c r="I4516" s="343" t="s">
        <v>2743</v>
      </c>
      <c r="J4516" s="301" t="s">
        <v>4210</v>
      </c>
      <c r="K4516" s="2210">
        <f>H4531-I4531</f>
        <v>-8990453.4299999997</v>
      </c>
      <c r="L4516" s="345" t="str">
        <f>IF($I4516="适用",IF(ROUND(H$4502-H$4511-K4516,2)=0,"F/S",ROUND(H$4502-H$4511-K4516,2)),"#N/A")</f>
        <v>F/S</v>
      </c>
      <c r="M4516" s="301" t="s">
        <v>4211</v>
      </c>
      <c r="N4516" s="2210">
        <f>J4531-K4531</f>
        <v>0</v>
      </c>
      <c r="O4516" s="345" t="str">
        <f>IF($I4516="适用",IF(ROUND(I$4502-I$4511-N4516,2)=0,"F/S",ROUND(I$4502-I$4511-N4516,2)),"#N/A")</f>
        <v>F/S</v>
      </c>
      <c r="P4516" s="301"/>
      <c r="Q4516" s="290" t="str">
        <f>IF($I4516="不适用","",IF(ROUND(SUM($H$4521:$K$4531),2)=0,"请输入",""))</f>
        <v/>
      </c>
      <c r="S4516" s="364"/>
      <c r="Z4516" s="609" t="s">
        <v>4221</v>
      </c>
      <c r="AA4516" s="609" t="s">
        <v>6578</v>
      </c>
    </row>
    <row r="4517" spans="1:27" ht="0.75" customHeight="1">
      <c r="A4517" s="2714"/>
      <c r="B4517" s="371"/>
      <c r="C4517" s="371"/>
      <c r="D4517" s="371"/>
      <c r="E4517" s="586"/>
      <c r="F4517" s="363"/>
      <c r="G4517" s="363" t="s">
        <v>4230</v>
      </c>
      <c r="H4517" s="294" t="s">
        <v>4231</v>
      </c>
      <c r="I4517" s="294" t="s">
        <v>4232</v>
      </c>
      <c r="J4517" s="294" t="s">
        <v>4233</v>
      </c>
      <c r="K4517" s="294" t="s">
        <v>4234</v>
      </c>
      <c r="L4517" s="291"/>
      <c r="M4517" s="291"/>
      <c r="N4517" s="291"/>
      <c r="O4517" s="291"/>
      <c r="S4517" s="364"/>
      <c r="Z4517" s="609" t="s">
        <v>4221</v>
      </c>
      <c r="AA4517" s="609" t="s">
        <v>6578</v>
      </c>
    </row>
    <row r="4518" spans="1:27" ht="0.75" customHeight="1" thickBot="1">
      <c r="A4518" s="2714"/>
      <c r="B4518" s="371"/>
      <c r="C4518" s="371"/>
      <c r="D4518" s="371"/>
      <c r="E4518" s="586"/>
      <c r="F4518" s="363"/>
      <c r="G4518" s="363"/>
      <c r="H4518" s="294" t="s">
        <v>4235</v>
      </c>
      <c r="I4518" s="294" t="s">
        <v>4236</v>
      </c>
      <c r="J4518" s="294" t="s">
        <v>4237</v>
      </c>
      <c r="K4518" s="294" t="s">
        <v>4238</v>
      </c>
      <c r="L4518" s="291"/>
      <c r="M4518" s="291"/>
      <c r="N4518" s="291"/>
      <c r="O4518" s="291"/>
      <c r="S4518" s="364"/>
      <c r="Z4518" s="609" t="s">
        <v>4221</v>
      </c>
      <c r="AA4518" s="609" t="s">
        <v>6578</v>
      </c>
    </row>
    <row r="4519" spans="1:27" ht="18">
      <c r="A4519" s="2714"/>
      <c r="B4519" s="371"/>
      <c r="C4519" s="371"/>
      <c r="D4519" s="371"/>
      <c r="E4519" s="586" t="s">
        <v>2749</v>
      </c>
      <c r="F4519" s="363"/>
      <c r="G4519" s="3227" t="s">
        <v>6089</v>
      </c>
      <c r="H4519" s="3170" t="str">
        <f>$V$4</f>
        <v>2019年度</v>
      </c>
      <c r="I4519" s="3207"/>
      <c r="J4519" s="3170" t="str">
        <f>$V$5</f>
        <v>2018年度</v>
      </c>
      <c r="K4519" s="3245"/>
      <c r="L4519" s="355" t="s">
        <v>5326</v>
      </c>
      <c r="M4519" s="291"/>
      <c r="N4519" s="291"/>
      <c r="O4519" s="291"/>
      <c r="S4519" s="364"/>
      <c r="Z4519" s="609" t="s">
        <v>4221</v>
      </c>
      <c r="AA4519" s="609" t="s">
        <v>6578</v>
      </c>
    </row>
    <row r="4520" spans="1:27" ht="18">
      <c r="A4520" s="2714"/>
      <c r="B4520" s="371"/>
      <c r="C4520" s="371"/>
      <c r="D4520" s="371"/>
      <c r="E4520" s="586" t="s">
        <v>2749</v>
      </c>
      <c r="F4520" s="363"/>
      <c r="G4520" s="3228"/>
      <c r="H4520" s="2443" t="s">
        <v>4218</v>
      </c>
      <c r="I4520" s="2443" t="s">
        <v>3411</v>
      </c>
      <c r="J4520" s="2443" t="s">
        <v>4218</v>
      </c>
      <c r="K4520" s="2450" t="s">
        <v>3411</v>
      </c>
      <c r="L4520" s="291"/>
      <c r="M4520" s="291"/>
      <c r="N4520" s="291"/>
      <c r="O4520" s="291"/>
      <c r="S4520" s="364"/>
      <c r="Z4520" s="609" t="s">
        <v>4221</v>
      </c>
      <c r="AA4520" s="609" t="s">
        <v>6578</v>
      </c>
    </row>
    <row r="4521" spans="1:27" ht="18">
      <c r="A4521" s="2714"/>
      <c r="B4521" s="371">
        <v>101</v>
      </c>
      <c r="C4521" s="371" t="s">
        <v>2791</v>
      </c>
      <c r="D4521" s="2716">
        <f t="shared" ref="D4521:D4531" si="505">IF(OR(G4521="*",G4521="",G4521=0),0,COUNTIF($G$4521:$G$4531,G4521))</f>
        <v>1</v>
      </c>
      <c r="E4521" s="2721">
        <v>1</v>
      </c>
      <c r="F4521" s="294"/>
      <c r="G4521" s="2448" t="s">
        <v>6821</v>
      </c>
      <c r="H4521" s="2275"/>
      <c r="I4521" s="2275">
        <v>8990453.4299999997</v>
      </c>
      <c r="J4521" s="2275"/>
      <c r="K4521" s="2296"/>
      <c r="L4521" s="291"/>
      <c r="M4521" s="291"/>
      <c r="N4521" s="291"/>
      <c r="O4521" s="291"/>
      <c r="S4521" s="364"/>
      <c r="Z4521" s="609" t="s">
        <v>4221</v>
      </c>
      <c r="AA4521" s="609" t="s">
        <v>6578</v>
      </c>
    </row>
    <row r="4522" spans="1:27" ht="18">
      <c r="A4522" s="2714"/>
      <c r="B4522" s="371">
        <v>102</v>
      </c>
      <c r="C4522" s="371" t="s">
        <v>2791</v>
      </c>
      <c r="D4522" s="2716">
        <f t="shared" si="505"/>
        <v>0</v>
      </c>
      <c r="E4522" s="2721">
        <v>1</v>
      </c>
      <c r="F4522" s="294"/>
      <c r="G4522" s="2448" t="s">
        <v>2792</v>
      </c>
      <c r="H4522" s="2275"/>
      <c r="I4522" s="2275"/>
      <c r="J4522" s="2275"/>
      <c r="K4522" s="2296"/>
      <c r="L4522" s="291"/>
      <c r="M4522" s="291"/>
      <c r="N4522" s="291"/>
      <c r="O4522" s="291"/>
      <c r="S4522" s="364"/>
      <c r="Z4522" s="609" t="s">
        <v>4221</v>
      </c>
      <c r="AA4522" s="609" t="s">
        <v>6578</v>
      </c>
    </row>
    <row r="4523" spans="1:27" ht="18">
      <c r="A4523" s="2714"/>
      <c r="B4523" s="371">
        <v>103</v>
      </c>
      <c r="C4523" s="371" t="s">
        <v>2791</v>
      </c>
      <c r="D4523" s="2716">
        <f t="shared" si="505"/>
        <v>0</v>
      </c>
      <c r="E4523" s="2721">
        <v>1</v>
      </c>
      <c r="F4523" s="294"/>
      <c r="G4523" s="2448" t="s">
        <v>2792</v>
      </c>
      <c r="H4523" s="2275"/>
      <c r="I4523" s="2275"/>
      <c r="J4523" s="2275"/>
      <c r="K4523" s="2296"/>
      <c r="L4523" s="291"/>
      <c r="M4523" s="291"/>
      <c r="N4523" s="291"/>
      <c r="O4523" s="291"/>
      <c r="S4523" s="364"/>
      <c r="Z4523" s="609" t="s">
        <v>4221</v>
      </c>
      <c r="AA4523" s="609" t="s">
        <v>6578</v>
      </c>
    </row>
    <row r="4524" spans="1:27" ht="18">
      <c r="A4524" s="2714"/>
      <c r="B4524" s="371">
        <v>104</v>
      </c>
      <c r="C4524" s="371" t="s">
        <v>2791</v>
      </c>
      <c r="D4524" s="2716">
        <f t="shared" si="505"/>
        <v>0</v>
      </c>
      <c r="E4524" s="2721">
        <v>1</v>
      </c>
      <c r="F4524" s="294"/>
      <c r="G4524" s="2448" t="s">
        <v>2792</v>
      </c>
      <c r="H4524" s="2275"/>
      <c r="I4524" s="2275"/>
      <c r="J4524" s="2275"/>
      <c r="K4524" s="2296"/>
      <c r="L4524" s="291"/>
      <c r="M4524" s="291"/>
      <c r="N4524" s="291"/>
      <c r="O4524" s="291"/>
      <c r="S4524" s="364"/>
      <c r="Z4524" s="609" t="s">
        <v>4221</v>
      </c>
      <c r="AA4524" s="609" t="s">
        <v>6578</v>
      </c>
    </row>
    <row r="4525" spans="1:27" ht="18">
      <c r="A4525" s="2714"/>
      <c r="B4525" s="371">
        <v>105</v>
      </c>
      <c r="C4525" s="371" t="s">
        <v>2791</v>
      </c>
      <c r="D4525" s="2716">
        <f t="shared" si="505"/>
        <v>0</v>
      </c>
      <c r="E4525" s="2721">
        <v>1</v>
      </c>
      <c r="F4525" s="294"/>
      <c r="G4525" s="2448" t="s">
        <v>2792</v>
      </c>
      <c r="H4525" s="2275"/>
      <c r="I4525" s="2275"/>
      <c r="J4525" s="2275"/>
      <c r="K4525" s="2296"/>
      <c r="L4525" s="291"/>
      <c r="M4525" s="291"/>
      <c r="N4525" s="291"/>
      <c r="O4525" s="291"/>
      <c r="S4525" s="364"/>
      <c r="Z4525" s="609" t="s">
        <v>4221</v>
      </c>
      <c r="AA4525" s="609" t="s">
        <v>6578</v>
      </c>
    </row>
    <row r="4526" spans="1:27" ht="18">
      <c r="A4526" s="2714"/>
      <c r="B4526" s="371">
        <v>106</v>
      </c>
      <c r="C4526" s="371" t="s">
        <v>2791</v>
      </c>
      <c r="D4526" s="2716">
        <f t="shared" si="505"/>
        <v>0</v>
      </c>
      <c r="E4526" s="2721">
        <v>1</v>
      </c>
      <c r="F4526" s="294"/>
      <c r="G4526" s="2448" t="s">
        <v>2792</v>
      </c>
      <c r="H4526" s="2275"/>
      <c r="I4526" s="2275"/>
      <c r="J4526" s="2275"/>
      <c r="K4526" s="2296"/>
      <c r="L4526" s="291"/>
      <c r="M4526" s="291"/>
      <c r="N4526" s="291"/>
      <c r="O4526" s="291"/>
      <c r="S4526" s="364"/>
      <c r="Z4526" s="609" t="s">
        <v>4221</v>
      </c>
      <c r="AA4526" s="609" t="s">
        <v>6578</v>
      </c>
    </row>
    <row r="4527" spans="1:27" ht="18">
      <c r="A4527" s="2714"/>
      <c r="B4527" s="371">
        <v>107</v>
      </c>
      <c r="C4527" s="371" t="s">
        <v>2791</v>
      </c>
      <c r="D4527" s="2716">
        <f t="shared" si="505"/>
        <v>0</v>
      </c>
      <c r="E4527" s="2721">
        <v>1</v>
      </c>
      <c r="F4527" s="294"/>
      <c r="G4527" s="2448" t="s">
        <v>2792</v>
      </c>
      <c r="H4527" s="2275"/>
      <c r="I4527" s="2275"/>
      <c r="J4527" s="2275"/>
      <c r="K4527" s="2296"/>
      <c r="L4527" s="291"/>
      <c r="M4527" s="291"/>
      <c r="N4527" s="291"/>
      <c r="O4527" s="291"/>
      <c r="S4527" s="364"/>
      <c r="Z4527" s="609" t="s">
        <v>4221</v>
      </c>
      <c r="AA4527" s="609" t="s">
        <v>6578</v>
      </c>
    </row>
    <row r="4528" spans="1:27" ht="18">
      <c r="A4528" s="2714"/>
      <c r="B4528" s="371">
        <v>108</v>
      </c>
      <c r="C4528" s="371" t="s">
        <v>2791</v>
      </c>
      <c r="D4528" s="2716">
        <f t="shared" si="505"/>
        <v>0</v>
      </c>
      <c r="E4528" s="2721">
        <v>1</v>
      </c>
      <c r="F4528" s="294"/>
      <c r="G4528" s="2448" t="s">
        <v>2792</v>
      </c>
      <c r="H4528" s="2275"/>
      <c r="I4528" s="2275"/>
      <c r="J4528" s="2275"/>
      <c r="K4528" s="2296"/>
      <c r="L4528" s="291"/>
      <c r="M4528" s="291"/>
      <c r="N4528" s="291"/>
      <c r="O4528" s="291"/>
      <c r="S4528" s="364"/>
      <c r="Z4528" s="609" t="s">
        <v>4221</v>
      </c>
      <c r="AA4528" s="609" t="s">
        <v>6578</v>
      </c>
    </row>
    <row r="4529" spans="1:27" ht="18">
      <c r="A4529" s="2714"/>
      <c r="B4529" s="371">
        <v>109</v>
      </c>
      <c r="C4529" s="371" t="s">
        <v>2791</v>
      </c>
      <c r="D4529" s="2716">
        <f t="shared" si="505"/>
        <v>0</v>
      </c>
      <c r="E4529" s="2721">
        <v>1</v>
      </c>
      <c r="F4529" s="294"/>
      <c r="G4529" s="2448" t="s">
        <v>2792</v>
      </c>
      <c r="H4529" s="2275"/>
      <c r="I4529" s="2275"/>
      <c r="J4529" s="2275"/>
      <c r="K4529" s="2296"/>
      <c r="L4529" s="291"/>
      <c r="M4529" s="291"/>
      <c r="N4529" s="291"/>
      <c r="O4529" s="291"/>
      <c r="S4529" s="364"/>
      <c r="Z4529" s="609" t="s">
        <v>4221</v>
      </c>
      <c r="AA4529" s="609" t="s">
        <v>6578</v>
      </c>
    </row>
    <row r="4530" spans="1:27" ht="18">
      <c r="A4530" s="2714"/>
      <c r="B4530" s="371">
        <v>110</v>
      </c>
      <c r="C4530" s="371" t="s">
        <v>2791</v>
      </c>
      <c r="D4530" s="2716">
        <f t="shared" si="505"/>
        <v>0</v>
      </c>
      <c r="E4530" s="2721">
        <v>1</v>
      </c>
      <c r="F4530" s="294"/>
      <c r="G4530" s="2448" t="s">
        <v>2792</v>
      </c>
      <c r="H4530" s="2275"/>
      <c r="I4530" s="2275"/>
      <c r="J4530" s="2275"/>
      <c r="K4530" s="2296"/>
      <c r="L4530" s="291"/>
      <c r="M4530" s="291"/>
      <c r="N4530" s="291"/>
      <c r="O4530" s="291"/>
      <c r="S4530" s="364"/>
      <c r="Z4530" s="609" t="s">
        <v>4221</v>
      </c>
      <c r="AA4530" s="609" t="s">
        <v>6578</v>
      </c>
    </row>
    <row r="4531" spans="1:27" ht="18.75" thickBot="1">
      <c r="A4531" s="2714"/>
      <c r="B4531" s="371"/>
      <c r="C4531" s="371"/>
      <c r="D4531" s="2716">
        <f t="shared" si="505"/>
        <v>1</v>
      </c>
      <c r="E4531" s="2721" t="s">
        <v>2751</v>
      </c>
      <c r="F4531" s="294"/>
      <c r="G4531" s="2234" t="s">
        <v>2752</v>
      </c>
      <c r="H4531" s="2235">
        <f>SUMPRODUCT($E4520:$E4530,H4520:H4530)</f>
        <v>0</v>
      </c>
      <c r="I4531" s="2235">
        <f>SUMPRODUCT($E4520:$E4530,I4520:I4530)</f>
        <v>8990453.4299999997</v>
      </c>
      <c r="J4531" s="2235">
        <f>SUMPRODUCT($E4520:$E4530,J4520:J4530)</f>
        <v>0</v>
      </c>
      <c r="K4531" s="2236">
        <f>SUMPRODUCT($E4520:$E4530,K4520:K4530)</f>
        <v>0</v>
      </c>
      <c r="L4531" s="291"/>
      <c r="M4531" s="291"/>
      <c r="N4531" s="291"/>
      <c r="O4531" s="291"/>
      <c r="S4531" s="364"/>
      <c r="Z4531" s="609" t="s">
        <v>4221</v>
      </c>
      <c r="AA4531" s="609" t="s">
        <v>6578</v>
      </c>
    </row>
    <row r="4532" spans="1:27" ht="18.75" thickBot="1">
      <c r="A4532" s="2714"/>
      <c r="B4532" s="371"/>
      <c r="C4532" s="371" t="s">
        <v>2755</v>
      </c>
      <c r="D4532" s="371"/>
      <c r="F4532" s="294"/>
      <c r="G4532" s="301"/>
      <c r="H4532" s="315" t="s">
        <v>3002</v>
      </c>
      <c r="I4532" s="315" t="s">
        <v>3002</v>
      </c>
      <c r="J4532" s="315" t="s">
        <v>3002</v>
      </c>
      <c r="K4532" s="315" t="s">
        <v>3002</v>
      </c>
      <c r="L4532" s="291"/>
      <c r="M4532" s="291"/>
      <c r="N4532" s="291"/>
      <c r="O4532" s="291"/>
      <c r="S4532" s="364"/>
      <c r="Z4532" s="609" t="s">
        <v>4221</v>
      </c>
      <c r="AA4532" s="609" t="s">
        <v>6578</v>
      </c>
    </row>
    <row r="4533" spans="1:27" ht="18.75" thickTop="1">
      <c r="A4533" s="2714"/>
      <c r="B4533" s="371"/>
      <c r="C4533" s="371" t="s">
        <v>2565</v>
      </c>
      <c r="D4533" s="371"/>
      <c r="F4533" s="294"/>
      <c r="G4533" s="454" t="s">
        <v>2756</v>
      </c>
      <c r="H4533" s="455" t="str">
        <f>$G$4498</f>
        <v>(2)营业收入明细项目</v>
      </c>
      <c r="I4533" s="455"/>
      <c r="J4533" s="455" t="str">
        <f>$G$4507</f>
        <v>(3)营业成本明细项目</v>
      </c>
      <c r="K4533" s="487"/>
      <c r="L4533" s="291"/>
      <c r="M4533" s="291"/>
      <c r="N4533" s="291"/>
      <c r="O4533" s="291"/>
      <c r="S4533" s="364"/>
      <c r="Z4533" s="609" t="s">
        <v>4221</v>
      </c>
      <c r="AA4533" s="609" t="s">
        <v>6578</v>
      </c>
    </row>
    <row r="4534" spans="1:27" ht="18">
      <c r="A4534" s="2714"/>
      <c r="B4534" s="371"/>
      <c r="C4534" s="371" t="s">
        <v>2565</v>
      </c>
      <c r="D4534" s="371"/>
      <c r="F4534" s="294"/>
      <c r="G4534" s="316" t="str">
        <f>$G$4502</f>
        <v>其中：主营业务收入</v>
      </c>
      <c r="H4534" s="2252">
        <f ca="1">HYPERLINK("#'"&amp;$G$1&amp;"'!"&amp;ADDRESS(ROW(Notes!H4502),COLUMN(Notes!H4502),4),$H$4502)</f>
        <v>0</v>
      </c>
      <c r="I4534" s="2252">
        <f ca="1">HYPERLINK("#'"&amp;$G$1&amp;"'!"&amp;ADDRESS(ROW(Notes!H4511),COLUMN(Notes!H4511),4),$H$4511)</f>
        <v>8990453.4299999997</v>
      </c>
      <c r="J4534" s="2252">
        <f ca="1">HYPERLINK("#'"&amp;$G$1&amp;"'!"&amp;ADDRESS(ROW(Notes!I4502),COLUMN(Notes!I4502),4),$I$4502)</f>
        <v>0</v>
      </c>
      <c r="K4534" s="2252">
        <f ca="1">HYPERLINK("#'"&amp;$G$1&amp;"'!"&amp;ADDRESS(ROW(Notes!I4511),COLUMN(Notes!I4511),4),$I$4511)</f>
        <v>0</v>
      </c>
      <c r="L4534" s="291"/>
      <c r="M4534" s="291"/>
      <c r="N4534" s="291"/>
      <c r="O4534" s="291"/>
      <c r="S4534" s="364"/>
      <c r="Z4534" s="609" t="s">
        <v>4221</v>
      </c>
      <c r="AA4534" s="609" t="s">
        <v>6578</v>
      </c>
    </row>
    <row r="4535" spans="1:27" ht="18">
      <c r="A4535" s="2714"/>
      <c r="B4535" s="371"/>
      <c r="C4535" s="371" t="s">
        <v>2565</v>
      </c>
      <c r="D4535" s="371"/>
      <c r="F4535" s="294"/>
      <c r="G4535" s="316" t="s">
        <v>3003</v>
      </c>
      <c r="H4535" s="2252">
        <f ca="1">HYPERLINK("#'"&amp;$G$1&amp;"'!"&amp;ADDRESS(ROW(Notes!H4531),COLUMN(Notes!H4531),4),H4531)</f>
        <v>0</v>
      </c>
      <c r="I4535" s="2252">
        <f ca="1">HYPERLINK("#'"&amp;$G$1&amp;"'!"&amp;ADDRESS(ROW(Notes!I4531),COLUMN(Notes!I4531),4),I4531)</f>
        <v>8990453.4299999997</v>
      </c>
      <c r="J4535" s="2252">
        <f ca="1">HYPERLINK("#'"&amp;$G$1&amp;"'!"&amp;ADDRESS(ROW(Notes!J4531),COLUMN(Notes!J4531),4),J4531)</f>
        <v>0</v>
      </c>
      <c r="K4535" s="2252">
        <f ca="1">HYPERLINK("#'"&amp;$G$1&amp;"'!"&amp;ADDRESS(ROW(Notes!K4531),COLUMN(Notes!K4531),4),K4531)</f>
        <v>0</v>
      </c>
      <c r="L4535" s="291"/>
      <c r="M4535" s="291"/>
      <c r="N4535" s="291"/>
      <c r="O4535" s="291"/>
      <c r="S4535" s="364"/>
      <c r="Z4535" s="609" t="s">
        <v>4221</v>
      </c>
      <c r="AA4535" s="609" t="s">
        <v>6578</v>
      </c>
    </row>
    <row r="4536" spans="1:27" ht="18.75" thickBot="1">
      <c r="A4536" s="2714"/>
      <c r="B4536" s="371"/>
      <c r="C4536" s="371" t="s">
        <v>2565</v>
      </c>
      <c r="D4536" s="371"/>
      <c r="F4536" s="294"/>
      <c r="G4536" s="457" t="s">
        <v>2757</v>
      </c>
      <c r="H4536" s="458">
        <f ca="1">IF(AND(H4534="",H4535=""),"",ROUND(H4534-H4535,2))</f>
        <v>0</v>
      </c>
      <c r="I4536" s="458">
        <f ca="1">IF(AND(I4534="",I4535=""),"",ROUND(I4534-I4535,2))</f>
        <v>0</v>
      </c>
      <c r="J4536" s="458">
        <f ca="1">IF(AND(J4534="",J4535=""),"",ROUND(J4534-J4535,2))</f>
        <v>0</v>
      </c>
      <c r="K4536" s="458">
        <f ca="1">IF(AND(K4534="",K4535=""),"",ROUND(K4534-K4535,2))</f>
        <v>0</v>
      </c>
      <c r="L4536" s="291"/>
      <c r="M4536" s="291"/>
      <c r="N4536" s="291"/>
      <c r="O4536" s="291"/>
      <c r="S4536" s="364"/>
      <c r="Z4536" s="609" t="s">
        <v>4221</v>
      </c>
      <c r="AA4536" s="609" t="s">
        <v>6578</v>
      </c>
    </row>
    <row r="4537" spans="1:27" ht="18.75" thickTop="1">
      <c r="A4537" s="2714"/>
      <c r="B4537" s="371"/>
      <c r="C4537" s="371" t="s">
        <v>2565</v>
      </c>
      <c r="D4537" s="371"/>
      <c r="F4537" s="294"/>
      <c r="G4537" s="354"/>
      <c r="H4537" s="459" t="str">
        <f ca="1">IF(OR(H4536=0,H4536=""),"√","？")</f>
        <v>√</v>
      </c>
      <c r="I4537" s="459" t="str">
        <f ca="1">IF(OR(I4536=0,I4536=""),"√","？")</f>
        <v>√</v>
      </c>
      <c r="J4537" s="459" t="str">
        <f ca="1">IF(OR(J4536=0,J4536=""),"√","？")</f>
        <v>√</v>
      </c>
      <c r="K4537" s="459" t="str">
        <f ca="1">IF(OR(K4536=0,K4536=""),"√","？")</f>
        <v>√</v>
      </c>
      <c r="L4537" s="291"/>
      <c r="M4537" s="291"/>
      <c r="N4537" s="291"/>
      <c r="O4537" s="291"/>
      <c r="S4537" s="364"/>
      <c r="Z4537" s="609" t="s">
        <v>4221</v>
      </c>
      <c r="AA4537" s="609" t="s">
        <v>6578</v>
      </c>
    </row>
    <row r="4538" spans="1:27" ht="18">
      <c r="A4538" s="2714"/>
      <c r="B4538" s="371"/>
      <c r="C4538" s="371" t="s">
        <v>2565</v>
      </c>
      <c r="D4538" s="371"/>
      <c r="F4538" s="294"/>
      <c r="G4538" s="460" t="s">
        <v>2759</v>
      </c>
      <c r="H4538" s="461"/>
      <c r="I4538" s="461"/>
      <c r="J4538" s="461"/>
      <c r="K4538" s="605">
        <f ca="1">SUMIF($H$4537:$K$4537,"&lt;&gt;√",$H$4536:$K$4536)</f>
        <v>0</v>
      </c>
      <c r="L4538" s="475" t="str">
        <f ca="1">IF(OR(K4538=0,K4538=""),"√","？")</f>
        <v>√</v>
      </c>
      <c r="M4538" s="291"/>
      <c r="N4538" s="291"/>
      <c r="O4538" s="291"/>
      <c r="S4538" s="364"/>
      <c r="Z4538" s="609" t="s">
        <v>4221</v>
      </c>
      <c r="AA4538" s="609" t="s">
        <v>6578</v>
      </c>
    </row>
    <row r="4539" spans="1:27" ht="18">
      <c r="A4539" s="2714"/>
      <c r="B4539" s="371"/>
      <c r="C4539" s="371" t="s">
        <v>2565</v>
      </c>
      <c r="D4539" s="371"/>
      <c r="F4539" s="294"/>
      <c r="G4539" s="354"/>
      <c r="H4539" s="461"/>
      <c r="I4539" s="461"/>
      <c r="J4539" s="461"/>
      <c r="K4539" s="461"/>
      <c r="L4539" s="291"/>
      <c r="M4539" s="291"/>
      <c r="N4539" s="291"/>
      <c r="O4539" s="291"/>
      <c r="S4539" s="364"/>
      <c r="Z4539" s="609" t="s">
        <v>4221</v>
      </c>
      <c r="AA4539" s="609" t="s">
        <v>6578</v>
      </c>
    </row>
    <row r="4540" spans="1:27" ht="18">
      <c r="A4540" s="2714" t="s">
        <v>1859</v>
      </c>
      <c r="B4540" s="371">
        <v>5</v>
      </c>
      <c r="C4540" s="371"/>
      <c r="D4540" s="2716" t="str">
        <f>VLOOKUP($A4540,Sheet_NoteList,2,0)</f>
        <v>主营业务（分产品）</v>
      </c>
      <c r="E4540" s="2716" t="s">
        <v>2742</v>
      </c>
      <c r="F4540" s="294"/>
      <c r="G4540" s="307" t="str">
        <f>"("&amp;B4540&amp;")"&amp;D4540</f>
        <v>(5)主营业务（分产品）</v>
      </c>
      <c r="H4540" s="1517" t="str">
        <f>$A4540</f>
        <v>6064d</v>
      </c>
      <c r="I4540" s="343" t="s">
        <v>2743</v>
      </c>
      <c r="J4540" s="301" t="s">
        <v>4210</v>
      </c>
      <c r="K4540" s="2210">
        <f>H4554-I4554</f>
        <v>-8990453.4299999997</v>
      </c>
      <c r="L4540" s="345" t="str">
        <f>IF($I4540="适用",IF(ROUND(H$4502-H$4511-K4540,2)=0,"F/S",ROUND(H$4502-H$4511-K4540,2)),"#N/A")</f>
        <v>F/S</v>
      </c>
      <c r="M4540" s="301" t="s">
        <v>4211</v>
      </c>
      <c r="N4540" s="2210">
        <f>J4554-K4554</f>
        <v>0</v>
      </c>
      <c r="O4540" s="345" t="str">
        <f>IF($I4540="适用",IF(ROUND(I$4502-I$4511-N4540,2)=0,"F/S",ROUND(I$4502-I$4511-N4540,2)),"#N/A")</f>
        <v>F/S</v>
      </c>
      <c r="P4540" s="301"/>
      <c r="Q4540" s="290" t="str">
        <f>IF($I4540="不适用","",IF(ROUND(SUM($H$4545:$K$4554),2)=0,"请输入",""))</f>
        <v/>
      </c>
      <c r="S4540" s="364"/>
      <c r="Z4540" s="609" t="s">
        <v>4221</v>
      </c>
      <c r="AA4540" s="609" t="s">
        <v>6578</v>
      </c>
    </row>
    <row r="4541" spans="1:27" ht="0.75" customHeight="1">
      <c r="A4541" s="2714"/>
      <c r="B4541" s="371"/>
      <c r="C4541" s="371"/>
      <c r="D4541" s="371"/>
      <c r="E4541" s="586"/>
      <c r="F4541" s="363"/>
      <c r="G4541" s="363" t="s">
        <v>4239</v>
      </c>
      <c r="H4541" s="294" t="s">
        <v>4231</v>
      </c>
      <c r="I4541" s="294" t="s">
        <v>4232</v>
      </c>
      <c r="J4541" s="294" t="s">
        <v>4233</v>
      </c>
      <c r="K4541" s="294" t="s">
        <v>4234</v>
      </c>
      <c r="L4541" s="291"/>
      <c r="M4541" s="291"/>
      <c r="N4541" s="291"/>
      <c r="O4541" s="291"/>
      <c r="S4541" s="364"/>
      <c r="Z4541" s="609" t="s">
        <v>4221</v>
      </c>
      <c r="AA4541" s="609" t="s">
        <v>6578</v>
      </c>
    </row>
    <row r="4542" spans="1:27" ht="0.75" customHeight="1" thickBot="1">
      <c r="A4542" s="2714"/>
      <c r="B4542" s="371"/>
      <c r="C4542" s="371"/>
      <c r="D4542" s="371"/>
      <c r="E4542" s="586"/>
      <c r="F4542" s="363"/>
      <c r="G4542" s="363"/>
      <c r="H4542" s="294" t="s">
        <v>4235</v>
      </c>
      <c r="I4542" s="294" t="s">
        <v>4236</v>
      </c>
      <c r="J4542" s="294" t="s">
        <v>4237</v>
      </c>
      <c r="K4542" s="294" t="s">
        <v>4238</v>
      </c>
      <c r="L4542" s="291"/>
      <c r="M4542" s="291"/>
      <c r="N4542" s="291"/>
      <c r="O4542" s="291"/>
      <c r="S4542" s="364"/>
      <c r="Z4542" s="609" t="s">
        <v>4221</v>
      </c>
      <c r="AA4542" s="609" t="s">
        <v>6578</v>
      </c>
    </row>
    <row r="4543" spans="1:27" ht="18">
      <c r="A4543" s="2714"/>
      <c r="B4543" s="371"/>
      <c r="C4543" s="371"/>
      <c r="D4543" s="371"/>
      <c r="E4543" s="586" t="s">
        <v>2749</v>
      </c>
      <c r="F4543" s="363"/>
      <c r="G4543" s="3227" t="s">
        <v>1861</v>
      </c>
      <c r="H4543" s="3170" t="str">
        <f>$V$4</f>
        <v>2019年度</v>
      </c>
      <c r="I4543" s="3207"/>
      <c r="J4543" s="3170" t="str">
        <f>$V$5</f>
        <v>2018年度</v>
      </c>
      <c r="K4543" s="3245"/>
      <c r="L4543" s="355" t="s">
        <v>5326</v>
      </c>
      <c r="M4543" s="291"/>
      <c r="N4543" s="291"/>
      <c r="O4543" s="291"/>
      <c r="S4543" s="364"/>
      <c r="Z4543" s="609" t="s">
        <v>4221</v>
      </c>
      <c r="AA4543" s="609" t="s">
        <v>6578</v>
      </c>
    </row>
    <row r="4544" spans="1:27" ht="18">
      <c r="A4544" s="2714"/>
      <c r="B4544" s="371"/>
      <c r="C4544" s="371"/>
      <c r="D4544" s="371"/>
      <c r="E4544" s="586" t="s">
        <v>2749</v>
      </c>
      <c r="F4544" s="363"/>
      <c r="G4544" s="3228"/>
      <c r="H4544" s="2443" t="s">
        <v>4218</v>
      </c>
      <c r="I4544" s="2443" t="s">
        <v>3411</v>
      </c>
      <c r="J4544" s="2443" t="s">
        <v>4218</v>
      </c>
      <c r="K4544" s="2450" t="s">
        <v>3411</v>
      </c>
      <c r="L4544" s="291"/>
      <c r="M4544" s="291"/>
      <c r="N4544" s="291"/>
      <c r="O4544" s="291"/>
      <c r="S4544" s="364"/>
      <c r="Z4544" s="609" t="s">
        <v>4221</v>
      </c>
      <c r="AA4544" s="609" t="s">
        <v>6578</v>
      </c>
    </row>
    <row r="4545" spans="1:27" ht="18">
      <c r="A4545" s="2714"/>
      <c r="B4545" s="371">
        <v>101</v>
      </c>
      <c r="C4545" s="371" t="s">
        <v>2791</v>
      </c>
      <c r="D4545" s="2716">
        <f t="shared" ref="D4545:D4554" si="506">IF(OR(G4545="*",G4545="",G4545=0),0,COUNTIF($G$4545:$G$4554,G4545))</f>
        <v>1</v>
      </c>
      <c r="E4545" s="2721">
        <v>1</v>
      </c>
      <c r="F4545" s="294"/>
      <c r="G4545" s="2448" t="s">
        <v>6820</v>
      </c>
      <c r="H4545" s="2275"/>
      <c r="I4545" s="2275">
        <v>8990453.4299999997</v>
      </c>
      <c r="J4545" s="2275"/>
      <c r="K4545" s="2296"/>
      <c r="L4545" s="291"/>
      <c r="M4545" s="291"/>
      <c r="N4545" s="291"/>
      <c r="O4545" s="291"/>
      <c r="S4545" s="364"/>
      <c r="Z4545" s="609" t="s">
        <v>4221</v>
      </c>
      <c r="AA4545" s="609" t="s">
        <v>6578</v>
      </c>
    </row>
    <row r="4546" spans="1:27" ht="18">
      <c r="A4546" s="2714"/>
      <c r="B4546" s="371">
        <v>102</v>
      </c>
      <c r="C4546" s="371" t="s">
        <v>2791</v>
      </c>
      <c r="D4546" s="2716">
        <f t="shared" si="506"/>
        <v>0</v>
      </c>
      <c r="E4546" s="2721">
        <v>1</v>
      </c>
      <c r="F4546" s="294"/>
      <c r="G4546" s="2448" t="s">
        <v>2792</v>
      </c>
      <c r="H4546" s="2275"/>
      <c r="I4546" s="2275"/>
      <c r="J4546" s="2275"/>
      <c r="K4546" s="2296"/>
      <c r="L4546" s="291"/>
      <c r="M4546" s="291"/>
      <c r="N4546" s="291"/>
      <c r="O4546" s="291"/>
      <c r="S4546" s="364"/>
      <c r="Z4546" s="609" t="s">
        <v>4221</v>
      </c>
      <c r="AA4546" s="609" t="s">
        <v>6578</v>
      </c>
    </row>
    <row r="4547" spans="1:27" ht="18">
      <c r="A4547" s="2714"/>
      <c r="B4547" s="371">
        <v>103</v>
      </c>
      <c r="C4547" s="371" t="s">
        <v>2791</v>
      </c>
      <c r="D4547" s="2716">
        <f t="shared" si="506"/>
        <v>0</v>
      </c>
      <c r="E4547" s="2721">
        <v>1</v>
      </c>
      <c r="F4547" s="294"/>
      <c r="G4547" s="2448" t="s">
        <v>2792</v>
      </c>
      <c r="H4547" s="2275"/>
      <c r="I4547" s="2275"/>
      <c r="J4547" s="2275"/>
      <c r="K4547" s="2296"/>
      <c r="L4547" s="291"/>
      <c r="M4547" s="291"/>
      <c r="N4547" s="291"/>
      <c r="O4547" s="291"/>
      <c r="S4547" s="364"/>
      <c r="Z4547" s="609" t="s">
        <v>4221</v>
      </c>
      <c r="AA4547" s="609" t="s">
        <v>6578</v>
      </c>
    </row>
    <row r="4548" spans="1:27" ht="18">
      <c r="A4548" s="2714"/>
      <c r="B4548" s="371">
        <v>104</v>
      </c>
      <c r="C4548" s="371" t="s">
        <v>2791</v>
      </c>
      <c r="D4548" s="2716">
        <f t="shared" si="506"/>
        <v>0</v>
      </c>
      <c r="E4548" s="2721">
        <v>1</v>
      </c>
      <c r="F4548" s="294"/>
      <c r="G4548" s="2448" t="s">
        <v>2792</v>
      </c>
      <c r="H4548" s="2275"/>
      <c r="I4548" s="2275"/>
      <c r="J4548" s="2275"/>
      <c r="K4548" s="2296"/>
      <c r="L4548" s="291"/>
      <c r="M4548" s="291"/>
      <c r="N4548" s="291"/>
      <c r="O4548" s="291"/>
      <c r="S4548" s="364"/>
      <c r="Z4548" s="609" t="s">
        <v>4221</v>
      </c>
      <c r="AA4548" s="609" t="s">
        <v>6578</v>
      </c>
    </row>
    <row r="4549" spans="1:27" ht="18">
      <c r="A4549" s="2714"/>
      <c r="B4549" s="371">
        <v>105</v>
      </c>
      <c r="C4549" s="371" t="s">
        <v>2791</v>
      </c>
      <c r="D4549" s="2716">
        <f t="shared" si="506"/>
        <v>0</v>
      </c>
      <c r="E4549" s="2721">
        <v>1</v>
      </c>
      <c r="F4549" s="294"/>
      <c r="G4549" s="2448" t="s">
        <v>2792</v>
      </c>
      <c r="H4549" s="2275"/>
      <c r="I4549" s="2275"/>
      <c r="J4549" s="2275"/>
      <c r="K4549" s="2296"/>
      <c r="L4549" s="291"/>
      <c r="M4549" s="291"/>
      <c r="N4549" s="291"/>
      <c r="O4549" s="291"/>
      <c r="S4549" s="364"/>
      <c r="Z4549" s="609" t="s">
        <v>4221</v>
      </c>
      <c r="AA4549" s="609" t="s">
        <v>6578</v>
      </c>
    </row>
    <row r="4550" spans="1:27" ht="18">
      <c r="A4550" s="2714"/>
      <c r="B4550" s="371">
        <v>106</v>
      </c>
      <c r="C4550" s="371" t="s">
        <v>2791</v>
      </c>
      <c r="D4550" s="2716">
        <f t="shared" si="506"/>
        <v>0</v>
      </c>
      <c r="E4550" s="2721">
        <v>1</v>
      </c>
      <c r="F4550" s="294"/>
      <c r="G4550" s="2448" t="s">
        <v>2792</v>
      </c>
      <c r="H4550" s="2275"/>
      <c r="I4550" s="2275"/>
      <c r="J4550" s="2275"/>
      <c r="K4550" s="2296"/>
      <c r="L4550" s="291"/>
      <c r="M4550" s="291"/>
      <c r="N4550" s="291"/>
      <c r="O4550" s="291"/>
      <c r="S4550" s="364"/>
      <c r="Z4550" s="609" t="s">
        <v>4221</v>
      </c>
      <c r="AA4550" s="609" t="s">
        <v>6578</v>
      </c>
    </row>
    <row r="4551" spans="1:27" ht="18">
      <c r="A4551" s="2714"/>
      <c r="B4551" s="371">
        <v>107</v>
      </c>
      <c r="C4551" s="371" t="s">
        <v>2791</v>
      </c>
      <c r="D4551" s="2716">
        <f t="shared" si="506"/>
        <v>0</v>
      </c>
      <c r="E4551" s="2721">
        <v>1</v>
      </c>
      <c r="F4551" s="294"/>
      <c r="G4551" s="2448" t="s">
        <v>2792</v>
      </c>
      <c r="H4551" s="2275"/>
      <c r="I4551" s="2275"/>
      <c r="J4551" s="2275"/>
      <c r="K4551" s="2296"/>
      <c r="L4551" s="291"/>
      <c r="M4551" s="291"/>
      <c r="N4551" s="291"/>
      <c r="O4551" s="291"/>
      <c r="S4551" s="364"/>
      <c r="Z4551" s="609" t="s">
        <v>4221</v>
      </c>
      <c r="AA4551" s="609" t="s">
        <v>6578</v>
      </c>
    </row>
    <row r="4552" spans="1:27" ht="18">
      <c r="A4552" s="2714"/>
      <c r="B4552" s="371">
        <v>108</v>
      </c>
      <c r="C4552" s="371" t="s">
        <v>2791</v>
      </c>
      <c r="D4552" s="2716">
        <f t="shared" si="506"/>
        <v>0</v>
      </c>
      <c r="E4552" s="2721">
        <v>1</v>
      </c>
      <c r="F4552" s="294"/>
      <c r="G4552" s="2448" t="s">
        <v>2792</v>
      </c>
      <c r="H4552" s="2275"/>
      <c r="I4552" s="2275"/>
      <c r="J4552" s="2275"/>
      <c r="K4552" s="2296"/>
      <c r="L4552" s="291"/>
      <c r="M4552" s="291"/>
      <c r="N4552" s="291"/>
      <c r="O4552" s="291"/>
      <c r="S4552" s="364"/>
      <c r="Z4552" s="609" t="s">
        <v>4221</v>
      </c>
      <c r="AA4552" s="609" t="s">
        <v>6578</v>
      </c>
    </row>
    <row r="4553" spans="1:27" ht="18">
      <c r="A4553" s="2714"/>
      <c r="B4553" s="371">
        <v>109</v>
      </c>
      <c r="C4553" s="371" t="s">
        <v>2791</v>
      </c>
      <c r="D4553" s="2716">
        <f t="shared" si="506"/>
        <v>0</v>
      </c>
      <c r="E4553" s="2721">
        <v>1</v>
      </c>
      <c r="F4553" s="294"/>
      <c r="G4553" s="2448" t="s">
        <v>2792</v>
      </c>
      <c r="H4553" s="2275"/>
      <c r="I4553" s="2275"/>
      <c r="J4553" s="2275"/>
      <c r="K4553" s="2296"/>
      <c r="L4553" s="291"/>
      <c r="M4553" s="291"/>
      <c r="N4553" s="291"/>
      <c r="O4553" s="291"/>
      <c r="S4553" s="364"/>
      <c r="Z4553" s="609" t="s">
        <v>4221</v>
      </c>
      <c r="AA4553" s="609" t="s">
        <v>6578</v>
      </c>
    </row>
    <row r="4554" spans="1:27" ht="18.75" thickBot="1">
      <c r="A4554" s="2714"/>
      <c r="B4554" s="371"/>
      <c r="C4554" s="371"/>
      <c r="D4554" s="2716">
        <f t="shared" si="506"/>
        <v>1</v>
      </c>
      <c r="E4554" s="2721" t="s">
        <v>2751</v>
      </c>
      <c r="F4554" s="294"/>
      <c r="G4554" s="2234" t="s">
        <v>2752</v>
      </c>
      <c r="H4554" s="2235">
        <f>SUMPRODUCT($E4544:$E4553,H4544:H4553)</f>
        <v>0</v>
      </c>
      <c r="I4554" s="2235">
        <f>SUMPRODUCT($E4544:$E4553,I4544:I4553)</f>
        <v>8990453.4299999997</v>
      </c>
      <c r="J4554" s="2235">
        <f>SUMPRODUCT($E4544:$E4553,J4544:J4553)</f>
        <v>0</v>
      </c>
      <c r="K4554" s="2236">
        <f>SUMPRODUCT($E4544:$E4553,K4544:K4553)</f>
        <v>0</v>
      </c>
      <c r="L4554" s="291"/>
      <c r="M4554" s="291"/>
      <c r="N4554" s="291"/>
      <c r="O4554" s="291"/>
      <c r="S4554" s="364"/>
      <c r="Z4554" s="609" t="s">
        <v>4221</v>
      </c>
      <c r="AA4554" s="609" t="s">
        <v>6578</v>
      </c>
    </row>
    <row r="4555" spans="1:27" ht="18.75" thickBot="1">
      <c r="A4555" s="2714"/>
      <c r="B4555" s="371"/>
      <c r="C4555" s="371" t="s">
        <v>2755</v>
      </c>
      <c r="D4555" s="371"/>
      <c r="F4555" s="294"/>
      <c r="G4555" s="301"/>
      <c r="H4555" s="315" t="s">
        <v>3002</v>
      </c>
      <c r="I4555" s="315" t="s">
        <v>3002</v>
      </c>
      <c r="J4555" s="315" t="s">
        <v>3002</v>
      </c>
      <c r="K4555" s="315" t="s">
        <v>3002</v>
      </c>
      <c r="L4555" s="291"/>
      <c r="M4555" s="291"/>
      <c r="N4555" s="291"/>
      <c r="O4555" s="291"/>
      <c r="S4555" s="364"/>
      <c r="Z4555" s="609" t="s">
        <v>4221</v>
      </c>
      <c r="AA4555" s="609" t="s">
        <v>6578</v>
      </c>
    </row>
    <row r="4556" spans="1:27" ht="18.75" thickTop="1">
      <c r="A4556" s="2714"/>
      <c r="B4556" s="371"/>
      <c r="C4556" s="371" t="s">
        <v>2565</v>
      </c>
      <c r="D4556" s="371"/>
      <c r="F4556" s="294"/>
      <c r="G4556" s="454" t="s">
        <v>2756</v>
      </c>
      <c r="H4556" s="455" t="str">
        <f>$G$4498</f>
        <v>(2)营业收入明细项目</v>
      </c>
      <c r="I4556" s="455"/>
      <c r="J4556" s="455" t="str">
        <f>$G$4507</f>
        <v>(3)营业成本明细项目</v>
      </c>
      <c r="K4556" s="487"/>
      <c r="L4556" s="291"/>
      <c r="M4556" s="291"/>
      <c r="N4556" s="291"/>
      <c r="O4556" s="291"/>
      <c r="S4556" s="364"/>
      <c r="Z4556" s="609" t="s">
        <v>4221</v>
      </c>
      <c r="AA4556" s="609" t="s">
        <v>6578</v>
      </c>
    </row>
    <row r="4557" spans="1:27" ht="18">
      <c r="A4557" s="2714"/>
      <c r="B4557" s="371"/>
      <c r="C4557" s="371" t="s">
        <v>2565</v>
      </c>
      <c r="D4557" s="371"/>
      <c r="F4557" s="294"/>
      <c r="G4557" s="316" t="str">
        <f>$G$4502</f>
        <v>其中：主营业务收入</v>
      </c>
      <c r="H4557" s="2252">
        <f ca="1">HYPERLINK("#'"&amp;$G$1&amp;"'!"&amp;ADDRESS(ROW(Notes!H4502),COLUMN(Notes!H4502),4),$H$4502)</f>
        <v>0</v>
      </c>
      <c r="I4557" s="2252">
        <f ca="1">HYPERLINK("#'"&amp;$G$1&amp;"'!"&amp;ADDRESS(ROW(Notes!H4511),COLUMN(Notes!H4511),4),$H$4511)</f>
        <v>8990453.4299999997</v>
      </c>
      <c r="J4557" s="2252">
        <f ca="1">HYPERLINK("#'"&amp;$G$1&amp;"'!"&amp;ADDRESS(ROW(Notes!I4502),COLUMN(Notes!I4502),4),$I$4502)</f>
        <v>0</v>
      </c>
      <c r="K4557" s="2252">
        <f ca="1">HYPERLINK("#'"&amp;$G$1&amp;"'!"&amp;ADDRESS(ROW(Notes!I4511),COLUMN(Notes!I4511),4),$I$4511)</f>
        <v>0</v>
      </c>
      <c r="L4557" s="291"/>
      <c r="M4557" s="291"/>
      <c r="N4557" s="291"/>
      <c r="O4557" s="291"/>
      <c r="S4557" s="364"/>
      <c r="Z4557" s="609" t="s">
        <v>4221</v>
      </c>
      <c r="AA4557" s="609" t="s">
        <v>6578</v>
      </c>
    </row>
    <row r="4558" spans="1:27" ht="18">
      <c r="A4558" s="2714"/>
      <c r="B4558" s="371"/>
      <c r="C4558" s="371" t="s">
        <v>2565</v>
      </c>
      <c r="D4558" s="371"/>
      <c r="F4558" s="294"/>
      <c r="G4558" s="316" t="s">
        <v>3003</v>
      </c>
      <c r="H4558" s="456">
        <f>H4554</f>
        <v>0</v>
      </c>
      <c r="I4558" s="456">
        <f>I4554</f>
        <v>8990453.4299999997</v>
      </c>
      <c r="J4558" s="456">
        <f>J4554</f>
        <v>0</v>
      </c>
      <c r="K4558" s="456">
        <f>K4554</f>
        <v>0</v>
      </c>
      <c r="L4558" s="291"/>
      <c r="M4558" s="291"/>
      <c r="N4558" s="291"/>
      <c r="O4558" s="291"/>
      <c r="S4558" s="364"/>
      <c r="Z4558" s="609" t="s">
        <v>4221</v>
      </c>
      <c r="AA4558" s="609" t="s">
        <v>6578</v>
      </c>
    </row>
    <row r="4559" spans="1:27" ht="18.75" thickBot="1">
      <c r="A4559" s="2714"/>
      <c r="B4559" s="371"/>
      <c r="C4559" s="371" t="s">
        <v>2565</v>
      </c>
      <c r="D4559" s="371"/>
      <c r="F4559" s="294"/>
      <c r="G4559" s="457" t="s">
        <v>2757</v>
      </c>
      <c r="H4559" s="458">
        <f ca="1">IF(AND(H4557="",H4558=""),"",ROUND(H4557-H4558,2))</f>
        <v>0</v>
      </c>
      <c r="I4559" s="458">
        <f ca="1">IF(AND(I4557="",I4558=""),"",ROUND(I4557-I4558,2))</f>
        <v>0</v>
      </c>
      <c r="J4559" s="458">
        <f ca="1">IF(AND(J4557="",J4558=""),"",ROUND(J4557-J4558,2))</f>
        <v>0</v>
      </c>
      <c r="K4559" s="458">
        <f ca="1">IF(AND(K4557="",K4558=""),"",ROUND(K4557-K4558,2))</f>
        <v>0</v>
      </c>
      <c r="L4559" s="291"/>
      <c r="M4559" s="291"/>
      <c r="N4559" s="291"/>
      <c r="O4559" s="291"/>
      <c r="S4559" s="364"/>
      <c r="Z4559" s="609" t="s">
        <v>4221</v>
      </c>
      <c r="AA4559" s="609" t="s">
        <v>6578</v>
      </c>
    </row>
    <row r="4560" spans="1:27" ht="18.75" thickTop="1">
      <c r="A4560" s="2714"/>
      <c r="B4560" s="371"/>
      <c r="C4560" s="371" t="s">
        <v>2565</v>
      </c>
      <c r="D4560" s="371"/>
      <c r="F4560" s="294"/>
      <c r="G4560" s="354"/>
      <c r="H4560" s="459" t="str">
        <f ca="1">IF(OR(H4559=0,H4559=""),"√","？")</f>
        <v>√</v>
      </c>
      <c r="I4560" s="459" t="str">
        <f ca="1">IF(OR(I4559=0,I4559=""),"√","？")</f>
        <v>√</v>
      </c>
      <c r="J4560" s="459" t="str">
        <f ca="1">IF(OR(J4559=0,J4559=""),"√","？")</f>
        <v>√</v>
      </c>
      <c r="K4560" s="459" t="str">
        <f ca="1">IF(OR(K4559=0,K4559=""),"√","？")</f>
        <v>√</v>
      </c>
      <c r="L4560" s="291"/>
      <c r="M4560" s="291"/>
      <c r="N4560" s="291"/>
      <c r="O4560" s="291"/>
      <c r="S4560" s="364"/>
      <c r="Z4560" s="609" t="s">
        <v>4221</v>
      </c>
      <c r="AA4560" s="609" t="s">
        <v>6578</v>
      </c>
    </row>
    <row r="4561" spans="1:27" ht="18">
      <c r="A4561" s="2714"/>
      <c r="B4561" s="371"/>
      <c r="C4561" s="371" t="s">
        <v>2565</v>
      </c>
      <c r="D4561" s="371"/>
      <c r="F4561" s="294"/>
      <c r="G4561" s="460" t="s">
        <v>2759</v>
      </c>
      <c r="H4561" s="461"/>
      <c r="I4561" s="461"/>
      <c r="J4561" s="461"/>
      <c r="K4561" s="605">
        <f ca="1">SUMIF($H$4560:$K$4560,"&lt;&gt;√",$H$4559:$K$4559)</f>
        <v>0</v>
      </c>
      <c r="L4561" s="475" t="str">
        <f ca="1">IF(OR(K4561=0,K4561=""),"√","？")</f>
        <v>√</v>
      </c>
      <c r="M4561" s="291"/>
      <c r="N4561" s="291"/>
      <c r="O4561" s="291"/>
      <c r="S4561" s="364"/>
      <c r="Z4561" s="609" t="s">
        <v>4221</v>
      </c>
      <c r="AA4561" s="609" t="s">
        <v>6578</v>
      </c>
    </row>
    <row r="4562" spans="1:27" ht="18">
      <c r="A4562" s="2714"/>
      <c r="B4562" s="371"/>
      <c r="C4562" s="371" t="s">
        <v>2565</v>
      </c>
      <c r="D4562" s="371"/>
      <c r="F4562" s="294"/>
      <c r="G4562" s="354"/>
      <c r="H4562" s="461"/>
      <c r="I4562" s="461"/>
      <c r="J4562" s="461"/>
      <c r="K4562" s="461"/>
      <c r="L4562" s="291"/>
      <c r="M4562" s="291"/>
      <c r="N4562" s="291"/>
      <c r="O4562" s="291"/>
      <c r="S4562" s="364"/>
      <c r="Z4562" s="609" t="s">
        <v>4221</v>
      </c>
      <c r="AA4562" s="609" t="s">
        <v>6578</v>
      </c>
    </row>
    <row r="4563" spans="1:27" ht="18">
      <c r="A4563" s="2714" t="s">
        <v>1863</v>
      </c>
      <c r="B4563" s="371">
        <v>6</v>
      </c>
      <c r="C4563" s="371"/>
      <c r="D4563" s="2716" t="str">
        <f>VLOOKUP($A4563,Sheet_NoteList,2,0)</f>
        <v>主营业务（分地区）</v>
      </c>
      <c r="E4563" s="2716" t="s">
        <v>2742</v>
      </c>
      <c r="F4563" s="294"/>
      <c r="G4563" s="307" t="str">
        <f>"("&amp;B4563&amp;")"&amp;D4563</f>
        <v>(6)主营业务（分地区）</v>
      </c>
      <c r="H4563" s="1517" t="str">
        <f>$A4563</f>
        <v>6064e</v>
      </c>
      <c r="I4563" s="343" t="s">
        <v>2743</v>
      </c>
      <c r="J4563" s="301" t="s">
        <v>4210</v>
      </c>
      <c r="K4563" s="2210">
        <f>H4573-I4573</f>
        <v>-8990453.4299999997</v>
      </c>
      <c r="L4563" s="345" t="str">
        <f>IF($I4563="适用",IF(ROUND(H$4502-H$4511-K4563,2)=0,"F/S",ROUND(H$4502-H$4511-K4563,2)),"#N/A")</f>
        <v>F/S</v>
      </c>
      <c r="M4563" s="301" t="s">
        <v>4211</v>
      </c>
      <c r="N4563" s="2210">
        <f>J4573-K4573</f>
        <v>0</v>
      </c>
      <c r="O4563" s="345" t="str">
        <f>IF($I4563="适用",IF(ROUND(I$4502-I$4511-N4563,2)=0,"F/S",ROUND(I$4502-I$4511-N4563,2)),"#N/A")</f>
        <v>F/S</v>
      </c>
      <c r="P4563" s="301"/>
      <c r="Q4563" s="290" t="str">
        <f>IF($I4563="不适用","",IF(ROUND(SUM($H$4568:$K$4573),2)=0,"请输入",""))</f>
        <v/>
      </c>
      <c r="S4563" s="364"/>
      <c r="Z4563" s="609" t="s">
        <v>4221</v>
      </c>
      <c r="AA4563" s="609" t="s">
        <v>6578</v>
      </c>
    </row>
    <row r="4564" spans="1:27" ht="0.75" customHeight="1">
      <c r="A4564" s="2714"/>
      <c r="B4564" s="371"/>
      <c r="C4564" s="371"/>
      <c r="D4564" s="371"/>
      <c r="E4564" s="586"/>
      <c r="F4564" s="363"/>
      <c r="G4564" s="363" t="s">
        <v>4240</v>
      </c>
      <c r="H4564" s="294" t="s">
        <v>4231</v>
      </c>
      <c r="I4564" s="294" t="s">
        <v>4232</v>
      </c>
      <c r="J4564" s="294" t="s">
        <v>4233</v>
      </c>
      <c r="K4564" s="294" t="s">
        <v>4234</v>
      </c>
      <c r="L4564" s="291"/>
      <c r="M4564" s="291"/>
      <c r="N4564" s="291"/>
      <c r="O4564" s="291"/>
      <c r="S4564" s="364"/>
      <c r="Z4564" s="609" t="s">
        <v>4221</v>
      </c>
      <c r="AA4564" s="609" t="s">
        <v>6578</v>
      </c>
    </row>
    <row r="4565" spans="1:27" ht="0.75" customHeight="1" thickBot="1">
      <c r="A4565" s="2714"/>
      <c r="B4565" s="371"/>
      <c r="C4565" s="371"/>
      <c r="D4565" s="371"/>
      <c r="E4565" s="586"/>
      <c r="F4565" s="363"/>
      <c r="G4565" s="363"/>
      <c r="H4565" s="294" t="s">
        <v>4235</v>
      </c>
      <c r="I4565" s="294" t="s">
        <v>4236</v>
      </c>
      <c r="J4565" s="294" t="s">
        <v>4237</v>
      </c>
      <c r="K4565" s="294" t="s">
        <v>4238</v>
      </c>
      <c r="L4565" s="291"/>
      <c r="M4565" s="291"/>
      <c r="N4565" s="291"/>
      <c r="O4565" s="291"/>
      <c r="S4565" s="364"/>
      <c r="Z4565" s="609" t="s">
        <v>4221</v>
      </c>
      <c r="AA4565" s="609" t="s">
        <v>6578</v>
      </c>
    </row>
    <row r="4566" spans="1:27" ht="18">
      <c r="A4566" s="2714"/>
      <c r="B4566" s="371"/>
      <c r="C4566" s="371"/>
      <c r="D4566" s="371"/>
      <c r="E4566" s="586" t="s">
        <v>2749</v>
      </c>
      <c r="F4566" s="363"/>
      <c r="G4566" s="3227" t="s">
        <v>1865</v>
      </c>
      <c r="H4566" s="3170" t="str">
        <f>$V$4</f>
        <v>2019年度</v>
      </c>
      <c r="I4566" s="3207"/>
      <c r="J4566" s="3170" t="str">
        <f>$V$5</f>
        <v>2018年度</v>
      </c>
      <c r="K4566" s="3245"/>
      <c r="L4566" s="355" t="s">
        <v>5326</v>
      </c>
      <c r="M4566" s="291"/>
      <c r="N4566" s="291"/>
      <c r="O4566" s="291"/>
      <c r="S4566" s="364"/>
      <c r="Z4566" s="609" t="s">
        <v>4221</v>
      </c>
      <c r="AA4566" s="609" t="s">
        <v>6578</v>
      </c>
    </row>
    <row r="4567" spans="1:27" ht="18">
      <c r="A4567" s="2714"/>
      <c r="B4567" s="371"/>
      <c r="C4567" s="371"/>
      <c r="D4567" s="371"/>
      <c r="E4567" s="586" t="s">
        <v>2749</v>
      </c>
      <c r="F4567" s="363"/>
      <c r="G4567" s="3228"/>
      <c r="H4567" s="2443" t="s">
        <v>4218</v>
      </c>
      <c r="I4567" s="2443" t="s">
        <v>3411</v>
      </c>
      <c r="J4567" s="2443" t="s">
        <v>4218</v>
      </c>
      <c r="K4567" s="2450" t="s">
        <v>3411</v>
      </c>
      <c r="L4567" s="291"/>
      <c r="M4567" s="291"/>
      <c r="N4567" s="291"/>
      <c r="O4567" s="291"/>
      <c r="S4567" s="364"/>
      <c r="Z4567" s="609" t="s">
        <v>4221</v>
      </c>
      <c r="AA4567" s="609" t="s">
        <v>6578</v>
      </c>
    </row>
    <row r="4568" spans="1:27" ht="18">
      <c r="A4568" s="2714"/>
      <c r="B4568" s="371">
        <v>101</v>
      </c>
      <c r="C4568" s="371" t="s">
        <v>2791</v>
      </c>
      <c r="D4568" s="2716">
        <f t="shared" ref="D4568:D4573" si="507">IF(OR(G4568="*",G4568="",G4568=0),0,COUNTIF($G$4568:$G$4573,G4568))</f>
        <v>1</v>
      </c>
      <c r="E4568" s="2721">
        <v>1</v>
      </c>
      <c r="F4568" s="294"/>
      <c r="G4568" s="2448" t="s">
        <v>6822</v>
      </c>
      <c r="H4568" s="2275"/>
      <c r="I4568" s="2275">
        <v>8990453.4299999997</v>
      </c>
      <c r="J4568" s="2275"/>
      <c r="K4568" s="2296"/>
      <c r="L4568" s="291"/>
      <c r="M4568" s="291"/>
      <c r="N4568" s="291"/>
      <c r="O4568" s="291"/>
      <c r="S4568" s="364"/>
      <c r="Z4568" s="609" t="s">
        <v>4221</v>
      </c>
      <c r="AA4568" s="609" t="s">
        <v>6578</v>
      </c>
    </row>
    <row r="4569" spans="1:27" ht="18">
      <c r="A4569" s="2714"/>
      <c r="B4569" s="371">
        <v>102</v>
      </c>
      <c r="C4569" s="371" t="s">
        <v>2791</v>
      </c>
      <c r="D4569" s="2716">
        <f t="shared" si="507"/>
        <v>0</v>
      </c>
      <c r="E4569" s="2721">
        <v>1</v>
      </c>
      <c r="F4569" s="294"/>
      <c r="G4569" s="2448" t="s">
        <v>2792</v>
      </c>
      <c r="H4569" s="2275"/>
      <c r="I4569" s="2275"/>
      <c r="J4569" s="2275"/>
      <c r="K4569" s="2296"/>
      <c r="L4569" s="291"/>
      <c r="M4569" s="291"/>
      <c r="N4569" s="291"/>
      <c r="O4569" s="291"/>
      <c r="S4569" s="364"/>
      <c r="Z4569" s="609" t="s">
        <v>4221</v>
      </c>
      <c r="AA4569" s="609" t="s">
        <v>6578</v>
      </c>
    </row>
    <row r="4570" spans="1:27" ht="18">
      <c r="A4570" s="2714"/>
      <c r="B4570" s="371">
        <v>103</v>
      </c>
      <c r="C4570" s="371" t="s">
        <v>2791</v>
      </c>
      <c r="D4570" s="2716">
        <f t="shared" si="507"/>
        <v>0</v>
      </c>
      <c r="E4570" s="2721">
        <v>1</v>
      </c>
      <c r="F4570" s="294"/>
      <c r="G4570" s="2448" t="s">
        <v>2792</v>
      </c>
      <c r="H4570" s="2275"/>
      <c r="I4570" s="2275"/>
      <c r="J4570" s="2275"/>
      <c r="K4570" s="2296"/>
      <c r="L4570" s="291"/>
      <c r="M4570" s="291"/>
      <c r="N4570" s="291"/>
      <c r="O4570" s="291"/>
      <c r="S4570" s="364"/>
      <c r="Z4570" s="609" t="s">
        <v>4221</v>
      </c>
      <c r="AA4570" s="609" t="s">
        <v>6578</v>
      </c>
    </row>
    <row r="4571" spans="1:27" ht="18">
      <c r="A4571" s="2714"/>
      <c r="B4571" s="371">
        <v>104</v>
      </c>
      <c r="C4571" s="371" t="s">
        <v>2791</v>
      </c>
      <c r="D4571" s="2716">
        <f t="shared" si="507"/>
        <v>0</v>
      </c>
      <c r="E4571" s="2721">
        <v>1</v>
      </c>
      <c r="F4571" s="294"/>
      <c r="G4571" s="2448" t="s">
        <v>2792</v>
      </c>
      <c r="H4571" s="2275"/>
      <c r="I4571" s="2275"/>
      <c r="J4571" s="2275"/>
      <c r="K4571" s="2296"/>
      <c r="L4571" s="291"/>
      <c r="M4571" s="291"/>
      <c r="N4571" s="291"/>
      <c r="O4571" s="291"/>
      <c r="S4571" s="364"/>
      <c r="Z4571" s="609" t="s">
        <v>4221</v>
      </c>
      <c r="AA4571" s="609" t="s">
        <v>6578</v>
      </c>
    </row>
    <row r="4572" spans="1:27" ht="18">
      <c r="A4572" s="2714"/>
      <c r="B4572" s="371">
        <v>105</v>
      </c>
      <c r="C4572" s="371" t="s">
        <v>2791</v>
      </c>
      <c r="D4572" s="2716">
        <f t="shared" si="507"/>
        <v>0</v>
      </c>
      <c r="E4572" s="2721">
        <v>1</v>
      </c>
      <c r="F4572" s="294"/>
      <c r="G4572" s="2448" t="s">
        <v>2792</v>
      </c>
      <c r="H4572" s="2275"/>
      <c r="I4572" s="2275"/>
      <c r="J4572" s="2275"/>
      <c r="K4572" s="2296"/>
      <c r="L4572" s="291"/>
      <c r="M4572" s="291"/>
      <c r="N4572" s="291"/>
      <c r="O4572" s="291"/>
      <c r="S4572" s="364"/>
      <c r="Z4572" s="609" t="s">
        <v>4221</v>
      </c>
      <c r="AA4572" s="609" t="s">
        <v>6578</v>
      </c>
    </row>
    <row r="4573" spans="1:27" ht="18.75" thickBot="1">
      <c r="A4573" s="2714"/>
      <c r="B4573" s="371"/>
      <c r="C4573" s="371"/>
      <c r="D4573" s="2716">
        <f t="shared" si="507"/>
        <v>1</v>
      </c>
      <c r="E4573" s="2721" t="s">
        <v>2751</v>
      </c>
      <c r="F4573" s="294"/>
      <c r="G4573" s="2234" t="s">
        <v>2752</v>
      </c>
      <c r="H4573" s="2235">
        <f>SUMPRODUCT($E4567:$E4572,H4567:H4572)</f>
        <v>0</v>
      </c>
      <c r="I4573" s="2235">
        <f>SUMPRODUCT($E4567:$E4572,I4567:I4572)</f>
        <v>8990453.4299999997</v>
      </c>
      <c r="J4573" s="2235">
        <f>SUMPRODUCT($E4567:$E4572,J4567:J4572)</f>
        <v>0</v>
      </c>
      <c r="K4573" s="2236">
        <f>SUMPRODUCT($E4567:$E4572,K4567:K4572)</f>
        <v>0</v>
      </c>
      <c r="L4573" s="291"/>
      <c r="M4573" s="291"/>
      <c r="N4573" s="291"/>
      <c r="O4573" s="291"/>
      <c r="S4573" s="364"/>
      <c r="Z4573" s="609" t="s">
        <v>4221</v>
      </c>
      <c r="AA4573" s="609" t="s">
        <v>6578</v>
      </c>
    </row>
    <row r="4574" spans="1:27" ht="18.75" thickBot="1">
      <c r="A4574" s="2714"/>
      <c r="B4574" s="371"/>
      <c r="C4574" s="371" t="s">
        <v>2755</v>
      </c>
      <c r="D4574" s="371"/>
      <c r="F4574" s="294"/>
      <c r="G4574" s="301"/>
      <c r="H4574" s="315" t="s">
        <v>3002</v>
      </c>
      <c r="I4574" s="315" t="s">
        <v>3002</v>
      </c>
      <c r="J4574" s="315" t="s">
        <v>3002</v>
      </c>
      <c r="K4574" s="315" t="s">
        <v>3002</v>
      </c>
      <c r="L4574" s="291"/>
      <c r="M4574" s="291"/>
      <c r="N4574" s="291"/>
      <c r="O4574" s="291"/>
      <c r="S4574" s="364"/>
      <c r="Z4574" s="609" t="s">
        <v>4221</v>
      </c>
      <c r="AA4574" s="609" t="s">
        <v>6578</v>
      </c>
    </row>
    <row r="4575" spans="1:27" ht="18.75" thickTop="1">
      <c r="A4575" s="2714"/>
      <c r="B4575" s="371"/>
      <c r="C4575" s="371" t="s">
        <v>2565</v>
      </c>
      <c r="D4575" s="371"/>
      <c r="F4575" s="294"/>
      <c r="G4575" s="454" t="s">
        <v>2756</v>
      </c>
      <c r="H4575" s="455" t="str">
        <f>$G$4498</f>
        <v>(2)营业收入明细项目</v>
      </c>
      <c r="I4575" s="455"/>
      <c r="J4575" s="455" t="str">
        <f>$G$4507</f>
        <v>(3)营业成本明细项目</v>
      </c>
      <c r="K4575" s="487"/>
      <c r="L4575" s="291"/>
      <c r="M4575" s="291"/>
      <c r="N4575" s="291"/>
      <c r="O4575" s="291"/>
      <c r="S4575" s="364"/>
      <c r="Z4575" s="609" t="s">
        <v>4221</v>
      </c>
      <c r="AA4575" s="609" t="s">
        <v>6578</v>
      </c>
    </row>
    <row r="4576" spans="1:27" ht="18">
      <c r="A4576" s="2714"/>
      <c r="B4576" s="371"/>
      <c r="C4576" s="371" t="s">
        <v>2565</v>
      </c>
      <c r="D4576" s="371"/>
      <c r="F4576" s="294"/>
      <c r="G4576" s="316" t="str">
        <f>$G$4502</f>
        <v>其中：主营业务收入</v>
      </c>
      <c r="H4576" s="2252">
        <f ca="1">HYPERLINK("#'"&amp;$G$1&amp;"'!"&amp;ADDRESS(ROW(Notes!H4502),COLUMN(Notes!H4502),4),$H$4502)</f>
        <v>0</v>
      </c>
      <c r="I4576" s="2252">
        <f ca="1">HYPERLINK("#'"&amp;$G$1&amp;"'!"&amp;ADDRESS(ROW(Notes!H4511),COLUMN(Notes!H4511),4),$H$4511)</f>
        <v>8990453.4299999997</v>
      </c>
      <c r="J4576" s="2252">
        <f ca="1">HYPERLINK("#'"&amp;$G$1&amp;"'!"&amp;ADDRESS(ROW(Notes!I4502),COLUMN(Notes!I4502),4),$I$4502)</f>
        <v>0</v>
      </c>
      <c r="K4576" s="2252">
        <f ca="1">HYPERLINK("#'"&amp;$G$1&amp;"'!"&amp;ADDRESS(ROW(Notes!I4511),COLUMN(Notes!I4511),4),$I$4511)</f>
        <v>0</v>
      </c>
      <c r="L4576" s="291"/>
      <c r="M4576" s="291"/>
      <c r="N4576" s="291"/>
      <c r="O4576" s="291"/>
      <c r="S4576" s="364"/>
      <c r="Z4576" s="609" t="s">
        <v>4221</v>
      </c>
      <c r="AA4576" s="609" t="s">
        <v>6578</v>
      </c>
    </row>
    <row r="4577" spans="1:27" ht="18">
      <c r="A4577" s="2714"/>
      <c r="B4577" s="371"/>
      <c r="C4577" s="371" t="s">
        <v>2565</v>
      </c>
      <c r="D4577" s="371"/>
      <c r="F4577" s="294"/>
      <c r="G4577" s="316" t="s">
        <v>3003</v>
      </c>
      <c r="H4577" s="456">
        <f>H4573</f>
        <v>0</v>
      </c>
      <c r="I4577" s="456">
        <f>I4573</f>
        <v>8990453.4299999997</v>
      </c>
      <c r="J4577" s="456">
        <f>J4573</f>
        <v>0</v>
      </c>
      <c r="K4577" s="456">
        <f>K4573</f>
        <v>0</v>
      </c>
      <c r="L4577" s="291"/>
      <c r="M4577" s="291"/>
      <c r="N4577" s="291"/>
      <c r="O4577" s="291"/>
      <c r="S4577" s="364"/>
      <c r="Z4577" s="609" t="s">
        <v>4221</v>
      </c>
      <c r="AA4577" s="609" t="s">
        <v>6578</v>
      </c>
    </row>
    <row r="4578" spans="1:27" ht="18.75" thickBot="1">
      <c r="A4578" s="2714"/>
      <c r="B4578" s="371"/>
      <c r="C4578" s="371" t="s">
        <v>2565</v>
      </c>
      <c r="D4578" s="371"/>
      <c r="F4578" s="294"/>
      <c r="G4578" s="457" t="s">
        <v>2757</v>
      </c>
      <c r="H4578" s="458">
        <f ca="1">IF(AND(H4576="",H4577=""),"",ROUND(H4576-H4577,2))</f>
        <v>0</v>
      </c>
      <c r="I4578" s="458">
        <f ca="1">IF(AND(I4576="",I4577=""),"",ROUND(I4576-I4577,2))</f>
        <v>0</v>
      </c>
      <c r="J4578" s="458">
        <f ca="1">IF(AND(J4576="",J4577=""),"",ROUND(J4576-J4577,2))</f>
        <v>0</v>
      </c>
      <c r="K4578" s="458">
        <f ca="1">IF(AND(K4576="",K4577=""),"",ROUND(K4576-K4577,2))</f>
        <v>0</v>
      </c>
      <c r="L4578" s="291"/>
      <c r="M4578" s="291"/>
      <c r="N4578" s="291"/>
      <c r="O4578" s="291"/>
      <c r="S4578" s="364"/>
      <c r="Z4578" s="609" t="s">
        <v>4221</v>
      </c>
      <c r="AA4578" s="609" t="s">
        <v>6578</v>
      </c>
    </row>
    <row r="4579" spans="1:27" ht="18.75" thickTop="1">
      <c r="A4579" s="2714"/>
      <c r="B4579" s="371"/>
      <c r="C4579" s="371" t="s">
        <v>2565</v>
      </c>
      <c r="D4579" s="371"/>
      <c r="F4579" s="294"/>
      <c r="G4579" s="354"/>
      <c r="H4579" s="459" t="str">
        <f ca="1">IF(OR(H4578=0,H4578=""),"√","？")</f>
        <v>√</v>
      </c>
      <c r="I4579" s="459" t="str">
        <f ca="1">IF(OR(I4578=0,I4578=""),"√","？")</f>
        <v>√</v>
      </c>
      <c r="J4579" s="459" t="str">
        <f ca="1">IF(OR(J4578=0,J4578=""),"√","？")</f>
        <v>√</v>
      </c>
      <c r="K4579" s="459" t="str">
        <f ca="1">IF(OR(K4578=0,K4578=""),"√","？")</f>
        <v>√</v>
      </c>
      <c r="L4579" s="291"/>
      <c r="M4579" s="291"/>
      <c r="N4579" s="291"/>
      <c r="O4579" s="291"/>
      <c r="S4579" s="364"/>
      <c r="Z4579" s="609" t="s">
        <v>4221</v>
      </c>
      <c r="AA4579" s="609" t="s">
        <v>6578</v>
      </c>
    </row>
    <row r="4580" spans="1:27" ht="18">
      <c r="A4580" s="2714"/>
      <c r="B4580" s="371"/>
      <c r="C4580" s="371" t="s">
        <v>2565</v>
      </c>
      <c r="D4580" s="371"/>
      <c r="F4580" s="294"/>
      <c r="G4580" s="460" t="s">
        <v>2759</v>
      </c>
      <c r="H4580" s="461"/>
      <c r="I4580" s="461"/>
      <c r="J4580" s="461"/>
      <c r="K4580" s="605">
        <f ca="1">SUMIF($H$4579:$K$4579,"&lt;&gt;√",$H$4578:$K$4578)</f>
        <v>0</v>
      </c>
      <c r="L4580" s="475" t="str">
        <f ca="1">IF(OR(K4580=0,K4580=""),"√","？")</f>
        <v>√</v>
      </c>
      <c r="M4580" s="291"/>
      <c r="N4580" s="291"/>
      <c r="O4580" s="291"/>
      <c r="S4580" s="364"/>
      <c r="Z4580" s="609" t="s">
        <v>4221</v>
      </c>
      <c r="AA4580" s="609" t="s">
        <v>6578</v>
      </c>
    </row>
    <row r="4581" spans="1:27" ht="18">
      <c r="A4581" s="2714"/>
      <c r="B4581" s="371"/>
      <c r="C4581" s="371" t="s">
        <v>2565</v>
      </c>
      <c r="D4581" s="371"/>
      <c r="F4581" s="294"/>
      <c r="G4581" s="354"/>
      <c r="H4581" s="461"/>
      <c r="I4581" s="461"/>
      <c r="J4581" s="461"/>
      <c r="K4581" s="461"/>
      <c r="L4581" s="291"/>
      <c r="M4581" s="291"/>
      <c r="N4581" s="291"/>
      <c r="O4581" s="291"/>
      <c r="S4581" s="364"/>
      <c r="Z4581" s="609" t="s">
        <v>4221</v>
      </c>
      <c r="AA4581" s="609" t="s">
        <v>6578</v>
      </c>
    </row>
    <row r="4582" spans="1:27" ht="18">
      <c r="A4582" s="2714" t="s">
        <v>1868</v>
      </c>
      <c r="B4582" s="371">
        <v>6</v>
      </c>
      <c r="C4582" s="371"/>
      <c r="D4582" s="2716" t="str">
        <f>VLOOKUP($A4582,Sheet_NoteList,2,0)</f>
        <v>本期销售前十名情况</v>
      </c>
      <c r="E4582" s="2716" t="s">
        <v>6534</v>
      </c>
      <c r="F4582" s="294"/>
      <c r="G4582" s="597" t="str">
        <f>"("&amp;B4582&amp;")"&amp;D4582</f>
        <v>(6)本期销售前十名情况</v>
      </c>
      <c r="H4582" s="1517" t="str">
        <f>$A4582</f>
        <v>6064f</v>
      </c>
      <c r="I4582" s="343" t="s">
        <v>5974</v>
      </c>
      <c r="J4582" s="301"/>
      <c r="K4582" s="391"/>
      <c r="L4582" s="345"/>
      <c r="M4582" s="301"/>
      <c r="N4582" s="391"/>
      <c r="O4582" s="345"/>
      <c r="P4582" s="301"/>
      <c r="S4582" s="364"/>
      <c r="Z4582" s="609" t="s">
        <v>4221</v>
      </c>
      <c r="AA4582" s="609" t="s">
        <v>4212</v>
      </c>
    </row>
    <row r="4583" spans="1:27" ht="0.75" customHeight="1" thickBot="1">
      <c r="A4583" s="2714"/>
      <c r="B4583" s="371"/>
      <c r="C4583" s="371"/>
      <c r="D4583" s="371"/>
      <c r="E4583" s="586"/>
      <c r="F4583" s="586"/>
      <c r="G4583" s="586" t="s">
        <v>4241</v>
      </c>
      <c r="H4583" s="371" t="s">
        <v>4223</v>
      </c>
      <c r="I4583" s="291"/>
      <c r="J4583" s="291"/>
      <c r="K4583" s="291"/>
      <c r="L4583" s="291"/>
      <c r="M4583" s="291"/>
      <c r="S4583" s="364"/>
      <c r="Z4583" s="609" t="s">
        <v>4221</v>
      </c>
      <c r="AA4583" s="609" t="s">
        <v>4212</v>
      </c>
    </row>
    <row r="4584" spans="1:27" ht="18">
      <c r="A4584" s="2714"/>
      <c r="B4584" s="371"/>
      <c r="C4584" s="371"/>
      <c r="D4584" s="371"/>
      <c r="E4584" s="586" t="s">
        <v>2749</v>
      </c>
      <c r="F4584" s="363"/>
      <c r="G4584" s="2451" t="s">
        <v>1870</v>
      </c>
      <c r="H4584" s="2446" t="s">
        <v>4242</v>
      </c>
      <c r="I4584" s="355" t="s">
        <v>6141</v>
      </c>
      <c r="J4584" s="291"/>
      <c r="K4584" s="291"/>
      <c r="L4584" s="291"/>
      <c r="M4584" s="291"/>
      <c r="S4584" s="364"/>
      <c r="Z4584" s="609" t="s">
        <v>4221</v>
      </c>
      <c r="AA4584" s="609" t="s">
        <v>4212</v>
      </c>
    </row>
    <row r="4585" spans="1:27" ht="18">
      <c r="A4585" s="2714"/>
      <c r="B4585" s="371">
        <v>101</v>
      </c>
      <c r="C4585" s="371" t="s">
        <v>2791</v>
      </c>
      <c r="D4585" s="2716">
        <f t="shared" ref="D4585:D4595" si="508">IF(OR(G4585="*",G4585="",G4585=0),0,COUNTIF($G$4585:$G$4595,G4585))</f>
        <v>0</v>
      </c>
      <c r="E4585" s="2721">
        <v>1</v>
      </c>
      <c r="F4585" s="294"/>
      <c r="G4585" s="2448" t="s">
        <v>2792</v>
      </c>
      <c r="H4585" s="2296"/>
      <c r="I4585" s="579"/>
      <c r="J4585" s="291"/>
      <c r="K4585" s="291"/>
      <c r="L4585" s="291"/>
      <c r="M4585" s="291"/>
      <c r="S4585" s="364"/>
      <c r="Z4585" s="609" t="s">
        <v>4221</v>
      </c>
      <c r="AA4585" s="609" t="s">
        <v>4212</v>
      </c>
    </row>
    <row r="4586" spans="1:27" ht="18">
      <c r="A4586" s="2714"/>
      <c r="B4586" s="371">
        <v>102</v>
      </c>
      <c r="C4586" s="371" t="s">
        <v>2791</v>
      </c>
      <c r="D4586" s="2716">
        <f t="shared" si="508"/>
        <v>0</v>
      </c>
      <c r="E4586" s="2721">
        <v>1</v>
      </c>
      <c r="F4586" s="294"/>
      <c r="G4586" s="2448" t="s">
        <v>2792</v>
      </c>
      <c r="H4586" s="2296"/>
      <c r="I4586" s="291"/>
      <c r="J4586" s="291"/>
      <c r="K4586" s="291"/>
      <c r="L4586" s="291"/>
      <c r="M4586" s="291"/>
      <c r="S4586" s="364"/>
      <c r="Z4586" s="609" t="s">
        <v>4221</v>
      </c>
      <c r="AA4586" s="609" t="s">
        <v>4212</v>
      </c>
    </row>
    <row r="4587" spans="1:27" ht="18">
      <c r="A4587" s="2714"/>
      <c r="B4587" s="371">
        <v>103</v>
      </c>
      <c r="C4587" s="371" t="s">
        <v>2791</v>
      </c>
      <c r="D4587" s="2716">
        <f t="shared" si="508"/>
        <v>0</v>
      </c>
      <c r="E4587" s="2721">
        <v>1</v>
      </c>
      <c r="F4587" s="294"/>
      <c r="G4587" s="2448" t="s">
        <v>2792</v>
      </c>
      <c r="H4587" s="2296"/>
      <c r="I4587" s="291"/>
      <c r="J4587" s="291"/>
      <c r="K4587" s="291"/>
      <c r="L4587" s="291"/>
      <c r="M4587" s="291"/>
      <c r="S4587" s="364"/>
      <c r="Z4587" s="609" t="s">
        <v>4221</v>
      </c>
      <c r="AA4587" s="609" t="s">
        <v>4212</v>
      </c>
    </row>
    <row r="4588" spans="1:27" ht="18">
      <c r="A4588" s="2714"/>
      <c r="B4588" s="371">
        <v>104</v>
      </c>
      <c r="C4588" s="371" t="s">
        <v>2791</v>
      </c>
      <c r="D4588" s="2716">
        <f t="shared" si="508"/>
        <v>0</v>
      </c>
      <c r="E4588" s="2721">
        <v>1</v>
      </c>
      <c r="F4588" s="294"/>
      <c r="G4588" s="2448" t="s">
        <v>2792</v>
      </c>
      <c r="H4588" s="2296"/>
      <c r="I4588" s="291"/>
      <c r="J4588" s="291"/>
      <c r="K4588" s="291"/>
      <c r="L4588" s="291"/>
      <c r="M4588" s="291"/>
      <c r="S4588" s="364"/>
      <c r="Z4588" s="609" t="s">
        <v>4221</v>
      </c>
      <c r="AA4588" s="609" t="s">
        <v>4212</v>
      </c>
    </row>
    <row r="4589" spans="1:27" ht="18">
      <c r="A4589" s="2714"/>
      <c r="B4589" s="371">
        <v>105</v>
      </c>
      <c r="C4589" s="371" t="s">
        <v>2791</v>
      </c>
      <c r="D4589" s="2716">
        <f t="shared" si="508"/>
        <v>0</v>
      </c>
      <c r="E4589" s="2721">
        <v>1</v>
      </c>
      <c r="F4589" s="294"/>
      <c r="G4589" s="2448" t="s">
        <v>2792</v>
      </c>
      <c r="H4589" s="2296"/>
      <c r="I4589" s="291"/>
      <c r="J4589" s="291"/>
      <c r="K4589" s="291"/>
      <c r="L4589" s="291"/>
      <c r="M4589" s="291"/>
      <c r="S4589" s="364"/>
      <c r="Z4589" s="609" t="s">
        <v>4221</v>
      </c>
      <c r="AA4589" s="609" t="s">
        <v>4212</v>
      </c>
    </row>
    <row r="4590" spans="1:27" ht="18">
      <c r="A4590" s="2714"/>
      <c r="B4590" s="371">
        <v>106</v>
      </c>
      <c r="C4590" s="371" t="s">
        <v>2791</v>
      </c>
      <c r="D4590" s="2716">
        <f t="shared" si="508"/>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107</v>
      </c>
      <c r="C4591" s="371" t="s">
        <v>2791</v>
      </c>
      <c r="D4591" s="2716">
        <f t="shared" si="508"/>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108</v>
      </c>
      <c r="C4592" s="371" t="s">
        <v>2791</v>
      </c>
      <c r="D4592" s="2716">
        <f t="shared" si="508"/>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109</v>
      </c>
      <c r="C4593" s="371" t="s">
        <v>2791</v>
      </c>
      <c r="D4593" s="2716">
        <f t="shared" si="508"/>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110</v>
      </c>
      <c r="C4594" s="371" t="s">
        <v>2791</v>
      </c>
      <c r="D4594" s="2716">
        <f t="shared" si="508"/>
        <v>0</v>
      </c>
      <c r="E4594" s="2721">
        <v>1</v>
      </c>
      <c r="F4594" s="294"/>
      <c r="G4594" s="2448" t="s">
        <v>2792</v>
      </c>
      <c r="H4594" s="2296"/>
      <c r="I4594" s="291"/>
      <c r="J4594" s="291"/>
      <c r="K4594" s="291"/>
      <c r="L4594" s="291"/>
      <c r="M4594" s="291"/>
      <c r="S4594" s="364"/>
      <c r="Z4594" s="609" t="s">
        <v>4221</v>
      </c>
      <c r="AA4594" s="609" t="s">
        <v>4212</v>
      </c>
    </row>
    <row r="4595" spans="1:27" ht="18.75" thickBot="1">
      <c r="A4595" s="2714"/>
      <c r="B4595" s="371"/>
      <c r="C4595" s="371"/>
      <c r="D4595" s="2716">
        <f t="shared" si="508"/>
        <v>1</v>
      </c>
      <c r="E4595" s="2721" t="s">
        <v>2751</v>
      </c>
      <c r="F4595" s="294"/>
      <c r="G4595" s="1529" t="s">
        <v>2752</v>
      </c>
      <c r="H4595" s="1528">
        <f>SUMPRODUCT($E4584:$E4594,H4584:H4594)</f>
        <v>0</v>
      </c>
      <c r="I4595" s="357"/>
      <c r="J4595" s="357"/>
      <c r="K4595" s="291"/>
      <c r="L4595" s="291"/>
      <c r="M4595" s="291"/>
      <c r="S4595" s="364"/>
      <c r="Z4595" s="609" t="s">
        <v>4221</v>
      </c>
      <c r="AA4595" s="609" t="s">
        <v>4212</v>
      </c>
    </row>
    <row r="4596" spans="1:27" ht="18">
      <c r="A4596" s="2714"/>
      <c r="B4596" s="371"/>
      <c r="C4596" s="371" t="s">
        <v>2755</v>
      </c>
      <c r="D4596" s="371"/>
      <c r="F4596" s="294"/>
      <c r="G4596" s="301"/>
      <c r="H4596" s="315"/>
      <c r="I4596" s="291"/>
      <c r="J4596" s="291"/>
      <c r="K4596" s="291"/>
      <c r="L4596" s="291"/>
      <c r="M4596" s="291"/>
      <c r="S4596" s="364"/>
      <c r="Z4596" s="609" t="s">
        <v>4221</v>
      </c>
      <c r="AA4596" s="609" t="s">
        <v>4212</v>
      </c>
    </row>
    <row r="4597" spans="1:27" ht="18">
      <c r="A4597" s="2714" t="s">
        <v>1872</v>
      </c>
      <c r="B4597" s="371">
        <v>7</v>
      </c>
      <c r="C4597" s="371"/>
      <c r="D4597" s="2716" t="str">
        <f>VLOOKUP($A4597,Sheet_NoteList,2,0)</f>
        <v>本期采购前十名情况</v>
      </c>
      <c r="E4597" s="2716" t="s">
        <v>6532</v>
      </c>
      <c r="F4597" s="294"/>
      <c r="G4597" s="597" t="str">
        <f>"("&amp;B4597&amp;")"&amp;D4597</f>
        <v>(7)本期采购前十名情况</v>
      </c>
      <c r="H4597" s="1517" t="str">
        <f>$A4597</f>
        <v>6064g</v>
      </c>
      <c r="I4597" s="343" t="s">
        <v>5965</v>
      </c>
      <c r="J4597" s="301"/>
      <c r="K4597" s="391"/>
      <c r="L4597" s="345"/>
      <c r="M4597" s="301"/>
      <c r="N4597" s="391"/>
      <c r="O4597" s="345"/>
      <c r="P4597" s="301"/>
      <c r="S4597" s="364"/>
      <c r="Z4597" s="609" t="s">
        <v>4221</v>
      </c>
      <c r="AA4597" s="609" t="s">
        <v>5703</v>
      </c>
    </row>
    <row r="4598" spans="1:27" ht="0.75" customHeight="1" thickBot="1">
      <c r="A4598" s="2714"/>
      <c r="B4598" s="371"/>
      <c r="C4598" s="371"/>
      <c r="D4598" s="371"/>
      <c r="E4598" s="586"/>
      <c r="F4598" s="586"/>
      <c r="G4598" s="586" t="s">
        <v>4243</v>
      </c>
      <c r="H4598" s="371" t="s">
        <v>4223</v>
      </c>
      <c r="I4598" s="291"/>
      <c r="J4598" s="291"/>
      <c r="K4598" s="291"/>
      <c r="L4598" s="291"/>
      <c r="M4598" s="291"/>
      <c r="S4598" s="364"/>
      <c r="Z4598" s="609" t="s">
        <v>4221</v>
      </c>
      <c r="AA4598" s="609" t="s">
        <v>5703</v>
      </c>
    </row>
    <row r="4599" spans="1:27" ht="18">
      <c r="A4599" s="2714"/>
      <c r="B4599" s="371"/>
      <c r="C4599" s="371"/>
      <c r="D4599" s="371"/>
      <c r="E4599" s="586" t="s">
        <v>2749</v>
      </c>
      <c r="F4599" s="363"/>
      <c r="G4599" s="2451" t="s">
        <v>1874</v>
      </c>
      <c r="H4599" s="2446" t="s">
        <v>4242</v>
      </c>
      <c r="I4599" s="355" t="s">
        <v>6141</v>
      </c>
      <c r="J4599" s="291"/>
      <c r="K4599" s="291"/>
      <c r="L4599" s="291"/>
      <c r="M4599" s="291"/>
      <c r="S4599" s="364"/>
      <c r="Z4599" s="609" t="s">
        <v>4221</v>
      </c>
      <c r="AA4599" s="609" t="s">
        <v>5703</v>
      </c>
    </row>
    <row r="4600" spans="1:27" ht="18">
      <c r="A4600" s="2714"/>
      <c r="B4600" s="371">
        <v>101</v>
      </c>
      <c r="C4600" s="371" t="s">
        <v>2791</v>
      </c>
      <c r="D4600" s="2716">
        <f t="shared" ref="D4600:D4610" si="509">IF(OR(G4600="*",G4600="",G4600=0),0,COUNTIF($G$4600:$G$4610,G4600))</f>
        <v>0</v>
      </c>
      <c r="E4600" s="2721">
        <v>1</v>
      </c>
      <c r="F4600" s="294"/>
      <c r="G4600" s="2448" t="s">
        <v>2792</v>
      </c>
      <c r="H4600" s="2296"/>
      <c r="I4600" s="579"/>
      <c r="J4600" s="291"/>
      <c r="K4600" s="291"/>
      <c r="L4600" s="291"/>
      <c r="M4600" s="291"/>
      <c r="S4600" s="364"/>
      <c r="Z4600" s="609" t="s">
        <v>4221</v>
      </c>
      <c r="AA4600" s="609" t="s">
        <v>5703</v>
      </c>
    </row>
    <row r="4601" spans="1:27" ht="18">
      <c r="A4601" s="2714"/>
      <c r="B4601" s="371">
        <v>102</v>
      </c>
      <c r="C4601" s="371" t="s">
        <v>2791</v>
      </c>
      <c r="D4601" s="2716">
        <f t="shared" si="509"/>
        <v>0</v>
      </c>
      <c r="E4601" s="2721">
        <v>1</v>
      </c>
      <c r="F4601" s="294"/>
      <c r="G4601" s="2448" t="s">
        <v>2792</v>
      </c>
      <c r="H4601" s="2296"/>
      <c r="I4601" s="291"/>
      <c r="J4601" s="291"/>
      <c r="K4601" s="291"/>
      <c r="L4601" s="291"/>
      <c r="M4601" s="291"/>
      <c r="S4601" s="364"/>
      <c r="Z4601" s="609" t="s">
        <v>4221</v>
      </c>
      <c r="AA4601" s="609" t="s">
        <v>5703</v>
      </c>
    </row>
    <row r="4602" spans="1:27" ht="18">
      <c r="A4602" s="2714"/>
      <c r="B4602" s="371">
        <v>103</v>
      </c>
      <c r="C4602" s="371" t="s">
        <v>2791</v>
      </c>
      <c r="D4602" s="2716">
        <f t="shared" si="509"/>
        <v>0</v>
      </c>
      <c r="E4602" s="2721">
        <v>1</v>
      </c>
      <c r="F4602" s="294"/>
      <c r="G4602" s="2448" t="s">
        <v>2792</v>
      </c>
      <c r="H4602" s="2296"/>
      <c r="I4602" s="291"/>
      <c r="J4602" s="291"/>
      <c r="K4602" s="291"/>
      <c r="L4602" s="291"/>
      <c r="M4602" s="291"/>
      <c r="S4602" s="364"/>
      <c r="Z4602" s="609" t="s">
        <v>4221</v>
      </c>
      <c r="AA4602" s="609" t="s">
        <v>5703</v>
      </c>
    </row>
    <row r="4603" spans="1:27" ht="18">
      <c r="A4603" s="2714"/>
      <c r="B4603" s="371">
        <v>104</v>
      </c>
      <c r="C4603" s="371" t="s">
        <v>2791</v>
      </c>
      <c r="D4603" s="2716">
        <f t="shared" si="509"/>
        <v>0</v>
      </c>
      <c r="E4603" s="2721">
        <v>1</v>
      </c>
      <c r="F4603" s="294"/>
      <c r="G4603" s="2448" t="s">
        <v>2792</v>
      </c>
      <c r="H4603" s="2296"/>
      <c r="I4603" s="291"/>
      <c r="J4603" s="291"/>
      <c r="K4603" s="291"/>
      <c r="L4603" s="291"/>
      <c r="M4603" s="291"/>
      <c r="S4603" s="364"/>
      <c r="Z4603" s="609" t="s">
        <v>4221</v>
      </c>
      <c r="AA4603" s="609" t="s">
        <v>5703</v>
      </c>
    </row>
    <row r="4604" spans="1:27" ht="18">
      <c r="A4604" s="2714"/>
      <c r="B4604" s="371">
        <v>105</v>
      </c>
      <c r="C4604" s="371" t="s">
        <v>2791</v>
      </c>
      <c r="D4604" s="2716">
        <f t="shared" si="509"/>
        <v>0</v>
      </c>
      <c r="E4604" s="2721">
        <v>1</v>
      </c>
      <c r="F4604" s="294"/>
      <c r="G4604" s="2448" t="s">
        <v>2792</v>
      </c>
      <c r="H4604" s="2296"/>
      <c r="I4604" s="291"/>
      <c r="J4604" s="291"/>
      <c r="K4604" s="291"/>
      <c r="L4604" s="291"/>
      <c r="M4604" s="291"/>
      <c r="S4604" s="364"/>
      <c r="Z4604" s="609" t="s">
        <v>4221</v>
      </c>
      <c r="AA4604" s="609" t="s">
        <v>5703</v>
      </c>
    </row>
    <row r="4605" spans="1:27" ht="18">
      <c r="A4605" s="2714"/>
      <c r="B4605" s="371">
        <v>106</v>
      </c>
      <c r="C4605" s="371" t="s">
        <v>2791</v>
      </c>
      <c r="D4605" s="2716">
        <f t="shared" si="509"/>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107</v>
      </c>
      <c r="C4606" s="371" t="s">
        <v>2791</v>
      </c>
      <c r="D4606" s="2716">
        <f t="shared" si="509"/>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108</v>
      </c>
      <c r="C4607" s="371" t="s">
        <v>2791</v>
      </c>
      <c r="D4607" s="2716">
        <f t="shared" si="509"/>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109</v>
      </c>
      <c r="C4608" s="371" t="s">
        <v>2791</v>
      </c>
      <c r="D4608" s="2716">
        <f t="shared" si="509"/>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110</v>
      </c>
      <c r="C4609" s="371" t="s">
        <v>2791</v>
      </c>
      <c r="D4609" s="2716">
        <f t="shared" si="509"/>
        <v>0</v>
      </c>
      <c r="E4609" s="2721">
        <v>1</v>
      </c>
      <c r="F4609" s="294"/>
      <c r="G4609" s="2448" t="s">
        <v>2792</v>
      </c>
      <c r="H4609" s="2296"/>
      <c r="I4609" s="291"/>
      <c r="J4609" s="291"/>
      <c r="K4609" s="291"/>
      <c r="L4609" s="291"/>
      <c r="M4609" s="291"/>
      <c r="S4609" s="364"/>
      <c r="Z4609" s="609" t="s">
        <v>4221</v>
      </c>
      <c r="AA4609" s="609" t="s">
        <v>5703</v>
      </c>
    </row>
    <row r="4610" spans="1:27" ht="18.75" thickBot="1">
      <c r="A4610" s="2714"/>
      <c r="B4610" s="371"/>
      <c r="C4610" s="371"/>
      <c r="D4610" s="2716">
        <f t="shared" si="509"/>
        <v>1</v>
      </c>
      <c r="E4610" s="2721" t="s">
        <v>2751</v>
      </c>
      <c r="F4610" s="294"/>
      <c r="G4610" s="1529" t="s">
        <v>2752</v>
      </c>
      <c r="H4610" s="1528">
        <f>SUMPRODUCT($E4599:$E4609,H4599:H4609)</f>
        <v>0</v>
      </c>
      <c r="I4610" s="357"/>
      <c r="J4610" s="357"/>
      <c r="K4610" s="291"/>
      <c r="L4610" s="291"/>
      <c r="M4610" s="291"/>
      <c r="S4610" s="364"/>
      <c r="Z4610" s="609" t="s">
        <v>4221</v>
      </c>
      <c r="AA4610" s="609" t="s">
        <v>5703</v>
      </c>
    </row>
    <row r="4611" spans="1:27" ht="18">
      <c r="A4611" s="2714"/>
      <c r="B4611" s="371"/>
      <c r="C4611" s="371" t="s">
        <v>2755</v>
      </c>
      <c r="D4611" s="371"/>
      <c r="F4611" s="294"/>
      <c r="G4611" s="301"/>
      <c r="H4611" s="315"/>
      <c r="I4611" s="291"/>
      <c r="J4611" s="291"/>
      <c r="K4611" s="291"/>
      <c r="L4611" s="291"/>
      <c r="M4611" s="291"/>
      <c r="S4611" s="364"/>
      <c r="Z4611" s="609" t="s">
        <v>4221</v>
      </c>
      <c r="AA4611" s="609" t="s">
        <v>5703</v>
      </c>
    </row>
    <row r="4612" spans="1:27" ht="18">
      <c r="A4612" s="2714" t="s">
        <v>1840</v>
      </c>
      <c r="B4612" s="371">
        <v>8</v>
      </c>
      <c r="C4612" s="371"/>
      <c r="D4612" s="2716" t="str">
        <f>VLOOKUP($A4612,Sheet_NoteList,2,0)</f>
        <v>营业收入补充资料</v>
      </c>
      <c r="E4612" s="2716" t="s">
        <v>6532</v>
      </c>
      <c r="F4612" s="294"/>
      <c r="G4612" s="307" t="str">
        <f>"("&amp;B4612&amp;")"&amp;D4612</f>
        <v>(8)营业收入补充资料</v>
      </c>
      <c r="H4612" s="1517" t="str">
        <f>$A4612</f>
        <v>6001x</v>
      </c>
      <c r="I4612" s="343" t="s">
        <v>5965</v>
      </c>
      <c r="J4612" s="301" t="s">
        <v>5981</v>
      </c>
      <c r="K4612" s="2210">
        <f>H4620</f>
        <v>0</v>
      </c>
      <c r="L4612" s="345"/>
      <c r="M4612" s="301" t="s">
        <v>5982</v>
      </c>
      <c r="N4612" s="2210">
        <f>I4620</f>
        <v>0</v>
      </c>
      <c r="O4612" s="345"/>
      <c r="P4612" s="301"/>
      <c r="S4612" s="364"/>
      <c r="Z4612" s="609" t="s">
        <v>4221</v>
      </c>
      <c r="AA4612" s="609" t="s">
        <v>4212</v>
      </c>
    </row>
    <row r="4613" spans="1:27" ht="0.75" customHeight="1" thickBot="1">
      <c r="A4613" s="2714"/>
      <c r="B4613" s="371"/>
      <c r="C4613" s="371"/>
      <c r="D4613" s="371"/>
      <c r="E4613" s="586"/>
      <c r="F4613" s="586"/>
      <c r="G4613" s="586" t="s">
        <v>4244</v>
      </c>
      <c r="H4613" s="371" t="s">
        <v>4223</v>
      </c>
      <c r="I4613" s="371" t="s">
        <v>4224</v>
      </c>
      <c r="J4613" s="291"/>
      <c r="K4613" s="291"/>
      <c r="L4613" s="291"/>
      <c r="M4613" s="291"/>
      <c r="S4613" s="364"/>
      <c r="Z4613" s="609" t="s">
        <v>4221</v>
      </c>
      <c r="AA4613" s="609" t="s">
        <v>4212</v>
      </c>
    </row>
    <row r="4614" spans="1:27" ht="18">
      <c r="A4614" s="2714"/>
      <c r="B4614" s="371"/>
      <c r="C4614" s="371"/>
      <c r="D4614" s="371"/>
      <c r="E4614" s="586" t="s">
        <v>2749</v>
      </c>
      <c r="F4614" s="363"/>
      <c r="G4614" s="2451" t="s">
        <v>47</v>
      </c>
      <c r="H4614" s="2447" t="s">
        <v>4242</v>
      </c>
      <c r="I4614" s="2446" t="s">
        <v>4245</v>
      </c>
      <c r="J4614" s="355" t="s">
        <v>6141</v>
      </c>
      <c r="K4614" s="291"/>
      <c r="L4614" s="291"/>
      <c r="M4614" s="291"/>
      <c r="S4614" s="364"/>
      <c r="Z4614" s="609" t="s">
        <v>4221</v>
      </c>
      <c r="AA4614" s="609" t="s">
        <v>4212</v>
      </c>
    </row>
    <row r="4615" spans="1:27" ht="18">
      <c r="A4615" s="2714"/>
      <c r="B4615" s="371">
        <v>101</v>
      </c>
      <c r="C4615" s="371" t="s">
        <v>2791</v>
      </c>
      <c r="D4615" s="2716">
        <f t="shared" ref="D4615:D4620" si="510">IF(OR(G4615="*",G4615="",G4615=0),0,COUNTIF($G$4615:$G$4620,G4615))</f>
        <v>0</v>
      </c>
      <c r="E4615" s="2721">
        <v>1</v>
      </c>
      <c r="F4615" s="294"/>
      <c r="G4615" s="2448" t="s">
        <v>2792</v>
      </c>
      <c r="H4615" s="2275"/>
      <c r="I4615" s="2296"/>
      <c r="J4615" s="579"/>
      <c r="K4615" s="291"/>
      <c r="L4615" s="291"/>
      <c r="M4615" s="291"/>
      <c r="S4615" s="364"/>
      <c r="Z4615" s="609" t="s">
        <v>4221</v>
      </c>
      <c r="AA4615" s="609" t="s">
        <v>4212</v>
      </c>
    </row>
    <row r="4616" spans="1:27" ht="18">
      <c r="A4616" s="2714"/>
      <c r="B4616" s="371">
        <v>102</v>
      </c>
      <c r="C4616" s="371" t="s">
        <v>2791</v>
      </c>
      <c r="D4616" s="2716">
        <f t="shared" si="510"/>
        <v>0</v>
      </c>
      <c r="E4616" s="2721">
        <v>1</v>
      </c>
      <c r="F4616" s="294"/>
      <c r="G4616" s="2448" t="s">
        <v>2792</v>
      </c>
      <c r="H4616" s="2275"/>
      <c r="I4616" s="2296"/>
      <c r="J4616" s="291"/>
      <c r="K4616" s="291"/>
      <c r="L4616" s="291"/>
      <c r="M4616" s="291"/>
      <c r="S4616" s="364"/>
      <c r="Z4616" s="609" t="s">
        <v>4221</v>
      </c>
      <c r="AA4616" s="609" t="s">
        <v>4212</v>
      </c>
    </row>
    <row r="4617" spans="1:27" ht="18">
      <c r="A4617" s="2714"/>
      <c r="B4617" s="371">
        <v>103</v>
      </c>
      <c r="C4617" s="371" t="s">
        <v>2791</v>
      </c>
      <c r="D4617" s="2716">
        <f t="shared" si="510"/>
        <v>0</v>
      </c>
      <c r="E4617" s="2721">
        <v>1</v>
      </c>
      <c r="F4617" s="294"/>
      <c r="G4617" s="2448" t="s">
        <v>2792</v>
      </c>
      <c r="H4617" s="2275"/>
      <c r="I4617" s="2296"/>
      <c r="J4617" s="291"/>
      <c r="K4617" s="291"/>
      <c r="L4617" s="291"/>
      <c r="M4617" s="291"/>
      <c r="S4617" s="364"/>
      <c r="Z4617" s="609" t="s">
        <v>4221</v>
      </c>
      <c r="AA4617" s="609" t="s">
        <v>4212</v>
      </c>
    </row>
    <row r="4618" spans="1:27" ht="18">
      <c r="A4618" s="2714"/>
      <c r="B4618" s="371">
        <v>104</v>
      </c>
      <c r="C4618" s="371" t="s">
        <v>2791</v>
      </c>
      <c r="D4618" s="2716">
        <f t="shared" si="510"/>
        <v>0</v>
      </c>
      <c r="E4618" s="2721">
        <v>1</v>
      </c>
      <c r="F4618" s="294"/>
      <c r="G4618" s="2448" t="s">
        <v>2792</v>
      </c>
      <c r="H4618" s="2275"/>
      <c r="I4618" s="2296"/>
      <c r="J4618" s="291"/>
      <c r="K4618" s="291"/>
      <c r="L4618" s="291"/>
      <c r="M4618" s="291"/>
      <c r="S4618" s="364"/>
      <c r="Z4618" s="609" t="s">
        <v>4221</v>
      </c>
      <c r="AA4618" s="609" t="s">
        <v>4212</v>
      </c>
    </row>
    <row r="4619" spans="1:27" ht="18">
      <c r="A4619" s="2714"/>
      <c r="B4619" s="371">
        <v>105</v>
      </c>
      <c r="C4619" s="371" t="s">
        <v>2791</v>
      </c>
      <c r="D4619" s="2716">
        <f t="shared" si="510"/>
        <v>0</v>
      </c>
      <c r="E4619" s="2721">
        <v>1</v>
      </c>
      <c r="F4619" s="294"/>
      <c r="G4619" s="2448" t="s">
        <v>2792</v>
      </c>
      <c r="H4619" s="2275"/>
      <c r="I4619" s="2296"/>
      <c r="J4619" s="291"/>
      <c r="K4619" s="291"/>
      <c r="L4619" s="291"/>
      <c r="M4619" s="291"/>
      <c r="S4619" s="364"/>
      <c r="Z4619" s="609" t="s">
        <v>4221</v>
      </c>
      <c r="AA4619" s="609" t="s">
        <v>4212</v>
      </c>
    </row>
    <row r="4620" spans="1:27" ht="18.75" thickBot="1">
      <c r="A4620" s="2714"/>
      <c r="B4620" s="371"/>
      <c r="C4620" s="371"/>
      <c r="D4620" s="2716">
        <f t="shared" si="510"/>
        <v>1</v>
      </c>
      <c r="E4620" s="2721" t="s">
        <v>2751</v>
      </c>
      <c r="F4620" s="294"/>
      <c r="G4620" s="1529" t="s">
        <v>2752</v>
      </c>
      <c r="H4620" s="1527">
        <f>SUMPRODUCT($E4614:$E4619,H4614:H4619)</f>
        <v>0</v>
      </c>
      <c r="I4620" s="1528">
        <f>SUMPRODUCT($E4614:$E4619,I4614:I4619)</f>
        <v>0</v>
      </c>
      <c r="J4620" s="291"/>
      <c r="K4620" s="291"/>
      <c r="L4620" s="291"/>
      <c r="M4620" s="291"/>
      <c r="S4620" s="364"/>
      <c r="Z4620" s="609" t="s">
        <v>4221</v>
      </c>
      <c r="AA4620" s="609" t="s">
        <v>4212</v>
      </c>
    </row>
    <row r="4621" spans="1:27" ht="18">
      <c r="A4621" s="2714"/>
      <c r="B4621" s="371"/>
      <c r="C4621" s="371" t="s">
        <v>2755</v>
      </c>
      <c r="D4621" s="371"/>
      <c r="F4621" s="294"/>
      <c r="G4621" s="301"/>
      <c r="H4621" s="315"/>
      <c r="I4621" s="315"/>
      <c r="J4621" s="291"/>
      <c r="K4621" s="291"/>
      <c r="L4621" s="291"/>
      <c r="M4621" s="291"/>
      <c r="S4621" s="364"/>
      <c r="Z4621" s="609" t="s">
        <v>4221</v>
      </c>
      <c r="AA4621" s="609" t="s">
        <v>4212</v>
      </c>
    </row>
    <row r="4622" spans="1:27" ht="18">
      <c r="A4622" s="2714" t="s">
        <v>1894</v>
      </c>
      <c r="B4622" s="371">
        <v>9</v>
      </c>
      <c r="C4622" s="371"/>
      <c r="D4622" s="2716" t="str">
        <f>VLOOKUP($A4622,Sheet_NoteList,2,0)</f>
        <v>营业成本补充资料</v>
      </c>
      <c r="E4622" s="2716" t="s">
        <v>6532</v>
      </c>
      <c r="F4622" s="294"/>
      <c r="G4622" s="307" t="str">
        <f>"("&amp;B4622&amp;")"&amp;D4622</f>
        <v>(9)营业成本补充资料</v>
      </c>
      <c r="H4622" s="1517" t="str">
        <f>$A4622</f>
        <v>6401x</v>
      </c>
      <c r="I4622" s="343" t="s">
        <v>5969</v>
      </c>
      <c r="J4622" s="301" t="s">
        <v>5983</v>
      </c>
      <c r="K4622" s="2210">
        <f>H4630</f>
        <v>0</v>
      </c>
      <c r="L4622" s="345"/>
      <c r="M4622" s="301" t="s">
        <v>5982</v>
      </c>
      <c r="N4622" s="2210">
        <f>I4630</f>
        <v>0</v>
      </c>
      <c r="O4622" s="345"/>
      <c r="P4622" s="301"/>
      <c r="S4622" s="364"/>
      <c r="Z4622" s="609" t="s">
        <v>4221</v>
      </c>
      <c r="AA4622" s="609" t="s">
        <v>5703</v>
      </c>
    </row>
    <row r="4623" spans="1:27" ht="0.75" customHeight="1" thickBot="1">
      <c r="A4623" s="2714"/>
      <c r="B4623" s="371"/>
      <c r="C4623" s="371"/>
      <c r="D4623" s="371"/>
      <c r="E4623" s="586"/>
      <c r="F4623" s="586"/>
      <c r="G4623" s="586" t="s">
        <v>4246</v>
      </c>
      <c r="H4623" s="371" t="s">
        <v>4223</v>
      </c>
      <c r="I4623" s="371" t="s">
        <v>4224</v>
      </c>
      <c r="J4623" s="291"/>
      <c r="K4623" s="291"/>
      <c r="L4623" s="291"/>
      <c r="M4623" s="291"/>
      <c r="S4623" s="364"/>
      <c r="Z4623" s="609" t="s">
        <v>4221</v>
      </c>
      <c r="AA4623" s="609" t="s">
        <v>5703</v>
      </c>
    </row>
    <row r="4624" spans="1:27" ht="18">
      <c r="A4624" s="2714"/>
      <c r="B4624" s="371"/>
      <c r="C4624" s="371"/>
      <c r="D4624" s="371"/>
      <c r="E4624" s="586" t="s">
        <v>2749</v>
      </c>
      <c r="F4624" s="363"/>
      <c r="G4624" s="2451" t="s">
        <v>47</v>
      </c>
      <c r="H4624" s="2447" t="s">
        <v>4242</v>
      </c>
      <c r="I4624" s="2446" t="s">
        <v>4245</v>
      </c>
      <c r="J4624" s="355" t="s">
        <v>6141</v>
      </c>
      <c r="K4624" s="291"/>
      <c r="L4624" s="291"/>
      <c r="M4624" s="291"/>
      <c r="S4624" s="364"/>
      <c r="Z4624" s="609" t="s">
        <v>4221</v>
      </c>
      <c r="AA4624" s="609" t="s">
        <v>5703</v>
      </c>
    </row>
    <row r="4625" spans="1:27" ht="18">
      <c r="A4625" s="2714"/>
      <c r="B4625" s="371">
        <v>101</v>
      </c>
      <c r="C4625" s="371" t="s">
        <v>2791</v>
      </c>
      <c r="D4625" s="2716">
        <f t="shared" ref="D4625:D4630" si="511">IF(OR(G4625="*",G4625="",G4625=0),0,COUNTIF($G$4625:$G$4630,G4625))</f>
        <v>0</v>
      </c>
      <c r="E4625" s="2721">
        <v>1</v>
      </c>
      <c r="F4625" s="294"/>
      <c r="G4625" s="2448" t="s">
        <v>2792</v>
      </c>
      <c r="H4625" s="2275"/>
      <c r="I4625" s="2296"/>
      <c r="J4625" s="579"/>
      <c r="K4625" s="291"/>
      <c r="L4625" s="291"/>
      <c r="M4625" s="291"/>
      <c r="S4625" s="364"/>
      <c r="Z4625" s="609" t="s">
        <v>4221</v>
      </c>
      <c r="AA4625" s="609" t="s">
        <v>5703</v>
      </c>
    </row>
    <row r="4626" spans="1:27" ht="18">
      <c r="A4626" s="2714"/>
      <c r="B4626" s="371">
        <v>102</v>
      </c>
      <c r="C4626" s="371" t="s">
        <v>2791</v>
      </c>
      <c r="D4626" s="2716">
        <f t="shared" si="511"/>
        <v>0</v>
      </c>
      <c r="E4626" s="2721">
        <v>1</v>
      </c>
      <c r="F4626" s="294"/>
      <c r="G4626" s="2448" t="s">
        <v>2792</v>
      </c>
      <c r="H4626" s="2275"/>
      <c r="I4626" s="2296"/>
      <c r="J4626" s="291"/>
      <c r="K4626" s="291"/>
      <c r="L4626" s="291"/>
      <c r="M4626" s="291"/>
      <c r="S4626" s="364"/>
      <c r="Z4626" s="609" t="s">
        <v>4221</v>
      </c>
      <c r="AA4626" s="609" t="s">
        <v>5703</v>
      </c>
    </row>
    <row r="4627" spans="1:27" ht="18">
      <c r="A4627" s="2714"/>
      <c r="B4627" s="371">
        <v>103</v>
      </c>
      <c r="C4627" s="371" t="s">
        <v>2791</v>
      </c>
      <c r="D4627" s="2716">
        <f t="shared" si="511"/>
        <v>0</v>
      </c>
      <c r="E4627" s="2721">
        <v>1</v>
      </c>
      <c r="F4627" s="294"/>
      <c r="G4627" s="2448" t="s">
        <v>2792</v>
      </c>
      <c r="H4627" s="2275"/>
      <c r="I4627" s="2296"/>
      <c r="J4627" s="291"/>
      <c r="K4627" s="291"/>
      <c r="L4627" s="291"/>
      <c r="M4627" s="291"/>
      <c r="S4627" s="364"/>
      <c r="Z4627" s="609" t="s">
        <v>4221</v>
      </c>
      <c r="AA4627" s="609" t="s">
        <v>5703</v>
      </c>
    </row>
    <row r="4628" spans="1:27" ht="18">
      <c r="A4628" s="2714"/>
      <c r="B4628" s="371">
        <v>104</v>
      </c>
      <c r="C4628" s="371" t="s">
        <v>2791</v>
      </c>
      <c r="D4628" s="2716">
        <f t="shared" si="511"/>
        <v>0</v>
      </c>
      <c r="E4628" s="2721">
        <v>1</v>
      </c>
      <c r="F4628" s="294"/>
      <c r="G4628" s="2448" t="s">
        <v>2792</v>
      </c>
      <c r="H4628" s="2275"/>
      <c r="I4628" s="2296"/>
      <c r="J4628" s="291"/>
      <c r="K4628" s="291"/>
      <c r="L4628" s="291"/>
      <c r="M4628" s="291"/>
      <c r="S4628" s="364"/>
      <c r="Z4628" s="609" t="s">
        <v>4221</v>
      </c>
      <c r="AA4628" s="609" t="s">
        <v>5703</v>
      </c>
    </row>
    <row r="4629" spans="1:27" ht="18">
      <c r="A4629" s="2714"/>
      <c r="B4629" s="371">
        <v>105</v>
      </c>
      <c r="C4629" s="371" t="s">
        <v>2791</v>
      </c>
      <c r="D4629" s="2716">
        <f t="shared" si="511"/>
        <v>0</v>
      </c>
      <c r="E4629" s="2721">
        <v>1</v>
      </c>
      <c r="F4629" s="294"/>
      <c r="G4629" s="2448" t="s">
        <v>2792</v>
      </c>
      <c r="H4629" s="2275"/>
      <c r="I4629" s="2296"/>
      <c r="J4629" s="291"/>
      <c r="K4629" s="291"/>
      <c r="L4629" s="291"/>
      <c r="M4629" s="291"/>
      <c r="S4629" s="364"/>
      <c r="Z4629" s="609" t="s">
        <v>4221</v>
      </c>
      <c r="AA4629" s="609" t="s">
        <v>5703</v>
      </c>
    </row>
    <row r="4630" spans="1:27" ht="18.75" thickBot="1">
      <c r="A4630" s="2714"/>
      <c r="B4630" s="371"/>
      <c r="C4630" s="371"/>
      <c r="D4630" s="2716">
        <f t="shared" si="511"/>
        <v>1</v>
      </c>
      <c r="E4630" s="2721" t="s">
        <v>2751</v>
      </c>
      <c r="F4630" s="294"/>
      <c r="G4630" s="1529" t="s">
        <v>2752</v>
      </c>
      <c r="H4630" s="1527">
        <f>SUMPRODUCT($E4624:$E4629,H4624:H4629)</f>
        <v>0</v>
      </c>
      <c r="I4630" s="1528">
        <f>SUMPRODUCT($E4624:$E4629,I4624:I4629)</f>
        <v>0</v>
      </c>
      <c r="J4630" s="291"/>
      <c r="K4630" s="291"/>
      <c r="L4630" s="291"/>
      <c r="M4630" s="291"/>
      <c r="S4630" s="364"/>
      <c r="Z4630" s="609" t="s">
        <v>4221</v>
      </c>
      <c r="AA4630" s="609" t="s">
        <v>5703</v>
      </c>
    </row>
    <row r="4631" spans="1:27" ht="18">
      <c r="A4631" s="2714"/>
      <c r="B4631" s="371"/>
      <c r="C4631" s="371" t="s">
        <v>2755</v>
      </c>
      <c r="D4631" s="371"/>
      <c r="F4631" s="294"/>
      <c r="G4631" s="301"/>
      <c r="H4631" s="315"/>
      <c r="I4631" s="315"/>
      <c r="J4631" s="291"/>
      <c r="K4631" s="291"/>
      <c r="L4631" s="291"/>
      <c r="M4631" s="291"/>
      <c r="S4631" s="364"/>
      <c r="Z4631" s="609" t="s">
        <v>4221</v>
      </c>
      <c r="AA4631" s="609" t="s">
        <v>5703</v>
      </c>
    </row>
    <row r="4632" spans="1:27" ht="18">
      <c r="A4632" s="2714">
        <v>6600</v>
      </c>
      <c r="B4632" s="371">
        <v>62</v>
      </c>
      <c r="C4632" s="2716" t="str">
        <f>VLOOKUP($A4632,Sheet_Items,2,0)</f>
        <v>税金及附加</v>
      </c>
      <c r="D4632" s="371"/>
      <c r="E4632" s="2716" t="s">
        <v>2739</v>
      </c>
      <c r="F4632" s="294"/>
      <c r="G4632" s="305" t="str">
        <f>B4632&amp;" "&amp;C4632</f>
        <v>62 税金及附加</v>
      </c>
      <c r="H4632" s="306"/>
      <c r="I4632" s="306"/>
      <c r="J4632" s="306" t="s">
        <v>4206</v>
      </c>
      <c r="K4632" s="341">
        <f>VLOOKUP($A4632,Sheet_Trialbal,6,0)</f>
        <v>88392.34</v>
      </c>
      <c r="L4632" s="342"/>
      <c r="M4632" s="306" t="s">
        <v>4207</v>
      </c>
      <c r="N4632" s="341">
        <f>VLOOKUP($A4632,Sheet_Trialbal,10,0)</f>
        <v>102037.26</v>
      </c>
      <c r="O4632" s="306"/>
      <c r="P4632" s="301"/>
      <c r="S4632" s="364"/>
      <c r="Z4632" s="609" t="s">
        <v>4247</v>
      </c>
      <c r="AA4632" s="609" t="s">
        <v>5705</v>
      </c>
    </row>
    <row r="4633" spans="1:27" ht="18">
      <c r="A4633" s="2714" t="s">
        <v>1897</v>
      </c>
      <c r="B4633" s="371">
        <v>1</v>
      </c>
      <c r="C4633" s="371"/>
      <c r="D4633" s="2716" t="str">
        <f>VLOOKUP($A4633,Sheet_NoteList,2,0)</f>
        <v>税金及附加明细项目</v>
      </c>
      <c r="E4633" s="2716" t="s">
        <v>2742</v>
      </c>
      <c r="F4633" s="294"/>
      <c r="G4633" s="307" t="s">
        <v>4248</v>
      </c>
      <c r="H4633" s="1517" t="str">
        <f>$A4633</f>
        <v>6600a</v>
      </c>
      <c r="I4633" s="343" t="s">
        <v>2743</v>
      </c>
      <c r="J4633" s="301" t="s">
        <v>4210</v>
      </c>
      <c r="K4633" s="2210">
        <f>H4650</f>
        <v>88392.34</v>
      </c>
      <c r="L4633" s="345" t="str">
        <f>IF($I4633="适用",IF(ROUND(K4632-K4633,2)=0,"F/S",ROUND(K4632-K4633,2)),"#N/A")</f>
        <v>F/S</v>
      </c>
      <c r="M4633" s="301" t="s">
        <v>4211</v>
      </c>
      <c r="N4633" s="2210">
        <f>I4650</f>
        <v>0</v>
      </c>
      <c r="O4633" s="345">
        <f>IF($I4633="适用",IF(ROUND(N4632-N4633,2)=0,"F/S",ROUND(N4632-N4633,2)),"#N/A")</f>
        <v>102037.26</v>
      </c>
      <c r="P4633" s="301"/>
      <c r="Q4633" s="290" t="str">
        <f>IF($I4633="不适用","",IF(ROUND(SUM($H$4636:$I$4650),2)=0,"请输入",""))</f>
        <v/>
      </c>
      <c r="S4633" s="364"/>
      <c r="Z4633" s="609" t="s">
        <v>4247</v>
      </c>
      <c r="AA4633" s="609" t="s">
        <v>5705</v>
      </c>
    </row>
    <row r="4634" spans="1:27" ht="0.75" customHeight="1" thickBot="1">
      <c r="A4634" s="2714"/>
      <c r="B4634" s="371"/>
      <c r="C4634" s="371"/>
      <c r="D4634" s="371"/>
      <c r="E4634" s="586"/>
      <c r="F4634" s="586"/>
      <c r="G4634" s="586" t="s">
        <v>4249</v>
      </c>
      <c r="H4634" s="371" t="s">
        <v>4223</v>
      </c>
      <c r="I4634" s="371" t="s">
        <v>4224</v>
      </c>
      <c r="J4634" s="291"/>
      <c r="K4634" s="291"/>
      <c r="L4634" s="291"/>
      <c r="M4634" s="291"/>
      <c r="N4634" s="291"/>
      <c r="S4634" s="364"/>
      <c r="Z4634" s="609" t="s">
        <v>4247</v>
      </c>
      <c r="AA4634" s="609" t="s">
        <v>5705</v>
      </c>
    </row>
    <row r="4635" spans="1:27" ht="24.75" thickTop="1">
      <c r="A4635" s="2714"/>
      <c r="B4635" s="371"/>
      <c r="C4635" s="371"/>
      <c r="D4635" s="371"/>
      <c r="E4635" s="586" t="s">
        <v>2749</v>
      </c>
      <c r="F4635" s="363"/>
      <c r="G4635" s="2449" t="s">
        <v>47</v>
      </c>
      <c r="H4635" s="2445" t="str">
        <f>$V$4</f>
        <v>2019年度</v>
      </c>
      <c r="I4635" s="2444" t="str">
        <f>$V$5</f>
        <v>2018年度</v>
      </c>
      <c r="J4635" s="355" t="s">
        <v>5327</v>
      </c>
      <c r="K4635" s="1584" t="str">
        <f>""&amp;"&gt;应交税费本期增加:"&amp;""</f>
        <v>&gt;应交税费本期增加:</v>
      </c>
      <c r="L4635" s="1584"/>
      <c r="M4635" s="2659"/>
      <c r="N4635" s="2658" t="str">
        <f>""&amp;"NoteID"&amp;""</f>
        <v>NoteID</v>
      </c>
      <c r="S4635" s="364"/>
      <c r="Z4635" s="609" t="s">
        <v>4247</v>
      </c>
      <c r="AA4635" s="609" t="s">
        <v>5705</v>
      </c>
    </row>
    <row r="4636" spans="1:27" ht="18">
      <c r="A4636" s="2714"/>
      <c r="B4636" s="371">
        <v>101</v>
      </c>
      <c r="C4636" s="371"/>
      <c r="D4636" s="2716">
        <f>IF(OR(G4636="*",G4636="",G4636=0),0,COUNTIF($G$4636:$G$4650,G4636))</f>
        <v>1</v>
      </c>
      <c r="E4636" s="2721">
        <v>1</v>
      </c>
      <c r="F4636" s="294"/>
      <c r="G4636" s="1474" t="s">
        <v>3945</v>
      </c>
      <c r="H4636" s="2275"/>
      <c r="I4636" s="2296"/>
      <c r="J4636" s="291"/>
      <c r="K4636" s="2252">
        <f ca="1">HYPERLINK("#'"&amp;$G$1&amp;"'!"&amp;ADDRESS(ROW(Notes!J3731),COLUMN(Notes!J3731),4),J3731)</f>
        <v>0</v>
      </c>
      <c r="L4636" s="456"/>
      <c r="M4636" s="456"/>
      <c r="N4636" s="2665" t="s">
        <v>6367</v>
      </c>
      <c r="S4636" s="364"/>
      <c r="Z4636" s="609" t="s">
        <v>4247</v>
      </c>
      <c r="AA4636" s="609" t="s">
        <v>5705</v>
      </c>
    </row>
    <row r="4637" spans="1:27" ht="18">
      <c r="A4637" s="2714"/>
      <c r="B4637" s="371">
        <v>102</v>
      </c>
      <c r="C4637" s="371"/>
      <c r="D4637" s="2716">
        <f>IF(OR(G4637="*",G4637="",G4637=0),0,COUNTIF($G$4636:$G$4650,G4637))</f>
        <v>1</v>
      </c>
      <c r="E4637" s="2721">
        <v>1</v>
      </c>
      <c r="F4637" s="294"/>
      <c r="G4637" s="1474" t="s">
        <v>3948</v>
      </c>
      <c r="H4637" s="2275">
        <v>125.7</v>
      </c>
      <c r="I4637" s="2296"/>
      <c r="J4637" s="291"/>
      <c r="K4637" s="2252">
        <f ca="1">HYPERLINK("#'"&amp;$G$1&amp;"'!"&amp;ADDRESS(ROW(Notes!J3734),COLUMN(Notes!J3734),4),J3734)</f>
        <v>0</v>
      </c>
      <c r="L4637" s="456"/>
      <c r="M4637" s="456"/>
      <c r="N4637" s="2666"/>
      <c r="S4637" s="364"/>
      <c r="Z4637" s="609" t="s">
        <v>4247</v>
      </c>
      <c r="AA4637" s="609" t="s">
        <v>5705</v>
      </c>
    </row>
    <row r="4638" spans="1:27" ht="18">
      <c r="A4638" s="2714"/>
      <c r="B4638" s="371">
        <v>103</v>
      </c>
      <c r="C4638" s="371"/>
      <c r="D4638" s="2716">
        <f>IF(OR(G4638="*",G4638="",G4638=0),0,COUNTIF($G$4636:$G$4650,G4638))</f>
        <v>1</v>
      </c>
      <c r="E4638" s="2721">
        <v>1</v>
      </c>
      <c r="F4638" s="294"/>
      <c r="G4638" s="1474" t="s">
        <v>3949</v>
      </c>
      <c r="H4638" s="2275">
        <v>49.9</v>
      </c>
      <c r="I4638" s="2296"/>
      <c r="J4638" s="291"/>
      <c r="K4638" s="2252">
        <f ca="1">HYPERLINK("#'"&amp;$G$1&amp;"'!"&amp;ADDRESS(ROW(Notes!J3735),COLUMN(Notes!J3735),4),J3735)</f>
        <v>0</v>
      </c>
      <c r="L4638" s="456"/>
      <c r="M4638" s="456"/>
      <c r="N4638" s="2666"/>
      <c r="S4638" s="364"/>
      <c r="Z4638" s="609" t="s">
        <v>4247</v>
      </c>
      <c r="AA4638" s="609" t="s">
        <v>5705</v>
      </c>
    </row>
    <row r="4639" spans="1:27" ht="18">
      <c r="A4639" s="2714"/>
      <c r="B4639" s="371">
        <v>104</v>
      </c>
      <c r="C4639" s="371"/>
      <c r="D4639" s="2716">
        <f>IF(OR(G4639="*",G4639="",G4639=0),0,COUNTIF($G$4636:$G$4650,G4639))</f>
        <v>1</v>
      </c>
      <c r="E4639" s="2721">
        <v>1</v>
      </c>
      <c r="F4639" s="294"/>
      <c r="G4639" s="1474" t="s">
        <v>5644</v>
      </c>
      <c r="H4639" s="2275">
        <v>29.5</v>
      </c>
      <c r="I4639" s="2296"/>
      <c r="J4639" s="291"/>
      <c r="K4639" s="2252">
        <f ca="1">HYPERLINK("#'"&amp;$G$1&amp;"'!"&amp;ADDRESS(ROW(Notes!J3736),COLUMN(Notes!J3736),4),J3736)</f>
        <v>0</v>
      </c>
      <c r="L4639" s="456"/>
      <c r="M4639" s="456"/>
      <c r="N4639" s="2666"/>
      <c r="S4639" s="364"/>
      <c r="Z4639" s="609" t="s">
        <v>4247</v>
      </c>
      <c r="AA4639" s="609" t="s">
        <v>5705</v>
      </c>
    </row>
    <row r="4640" spans="1:27" ht="18">
      <c r="A4640" s="2714"/>
      <c r="B4640" s="371">
        <v>105</v>
      </c>
      <c r="C4640" s="371"/>
      <c r="D4640" s="2716">
        <f>IF(OR(G4641="*",G4641="",G4641=0),0,COUNTIF($G$4636:$G$4650,G4641))</f>
        <v>1</v>
      </c>
      <c r="E4640" s="2721">
        <v>1</v>
      </c>
      <c r="F4640" s="294"/>
      <c r="G4640" s="1474" t="s">
        <v>4251</v>
      </c>
      <c r="H4640" s="2275"/>
      <c r="I4640" s="2296"/>
      <c r="J4640" s="291"/>
      <c r="K4640" s="2252">
        <f ca="1">HYPERLINK("#'"&amp;$G$1&amp;"'!"&amp;ADDRESS(ROW(Notes!J3737),COLUMN(Notes!J3737),4),J3737)</f>
        <v>0</v>
      </c>
      <c r="L4640" s="456"/>
      <c r="M4640" s="456"/>
      <c r="N4640" s="2666"/>
      <c r="S4640" s="364"/>
      <c r="Z4640" s="609" t="s">
        <v>4247</v>
      </c>
      <c r="AA4640" s="609" t="s">
        <v>5705</v>
      </c>
    </row>
    <row r="4641" spans="1:27" ht="18">
      <c r="A4641" s="2714"/>
      <c r="B4641" s="371">
        <v>106</v>
      </c>
      <c r="C4641" s="371"/>
      <c r="D4641" s="2716">
        <f>IF(OR(G4640="*",G4640="",G4640=0),0,COUNTIF($G$4636:$G$4650,G4640))</f>
        <v>1</v>
      </c>
      <c r="E4641" s="2721">
        <v>1</v>
      </c>
      <c r="F4641" s="294"/>
      <c r="G4641" s="1474" t="s">
        <v>4250</v>
      </c>
      <c r="H4641" s="2275"/>
      <c r="I4641" s="2296"/>
      <c r="J4641" s="291"/>
      <c r="K4641" s="2252">
        <f ca="1">HYPERLINK("#'"&amp;$G$1&amp;"'!"&amp;ADDRESS(ROW(Notes!J3738),COLUMN(Notes!J3738),4),J3738)</f>
        <v>0</v>
      </c>
      <c r="L4641" s="456"/>
      <c r="M4641" s="456"/>
      <c r="N4641" s="2666"/>
      <c r="S4641" s="364"/>
      <c r="Z4641" s="609" t="s">
        <v>4247</v>
      </c>
      <c r="AA4641" s="609" t="s">
        <v>5705</v>
      </c>
    </row>
    <row r="4642" spans="1:27" ht="18">
      <c r="A4642" s="2714"/>
      <c r="B4642" s="371">
        <v>107</v>
      </c>
      <c r="C4642" s="371"/>
      <c r="D4642" s="2716">
        <f t="shared" ref="D4642:D4650" si="512">IF(OR(G4642="*",G4642="",G4642=0),0,COUNTIF($G$4636:$G$4650,G4642))</f>
        <v>1</v>
      </c>
      <c r="E4642" s="2721">
        <v>1</v>
      </c>
      <c r="F4642" s="294"/>
      <c r="G4642" s="1474" t="s">
        <v>5646</v>
      </c>
      <c r="H4642" s="2275"/>
      <c r="I4642" s="2296"/>
      <c r="J4642" s="291"/>
      <c r="K4642" s="2252">
        <f ca="1">HYPERLINK("#'"&amp;$G$1&amp;"'!"&amp;ADDRESS(ROW(Notes!J3739),COLUMN(Notes!J3739),4),J3739)</f>
        <v>0</v>
      </c>
      <c r="L4642" s="456"/>
      <c r="M4642" s="456"/>
      <c r="N4642" s="2666"/>
      <c r="S4642" s="364"/>
      <c r="Z4642" s="609" t="s">
        <v>4247</v>
      </c>
      <c r="AA4642" s="609" t="s">
        <v>5705</v>
      </c>
    </row>
    <row r="4643" spans="1:27" ht="18">
      <c r="A4643" s="2714"/>
      <c r="B4643" s="371">
        <v>108</v>
      </c>
      <c r="C4643" s="371"/>
      <c r="D4643" s="2716">
        <f t="shared" si="512"/>
        <v>1</v>
      </c>
      <c r="E4643" s="2721">
        <v>1</v>
      </c>
      <c r="F4643" s="294"/>
      <c r="G4643" s="1474" t="s">
        <v>4252</v>
      </c>
      <c r="H4643" s="2275"/>
      <c r="I4643" s="2296"/>
      <c r="J4643" s="291"/>
      <c r="K4643" s="456"/>
      <c r="L4643" s="456"/>
      <c r="M4643" s="456"/>
      <c r="N4643" s="2666"/>
      <c r="S4643" s="364"/>
      <c r="Z4643" s="609" t="s">
        <v>4247</v>
      </c>
      <c r="AA4643" s="609" t="s">
        <v>5705</v>
      </c>
    </row>
    <row r="4644" spans="1:27" ht="18">
      <c r="A4644" s="2714"/>
      <c r="B4644" s="371">
        <v>110</v>
      </c>
      <c r="C4644" s="371"/>
      <c r="D4644" s="2716">
        <f t="shared" si="512"/>
        <v>1</v>
      </c>
      <c r="E4644" s="2721">
        <v>1</v>
      </c>
      <c r="F4644" s="294"/>
      <c r="G4644" s="1474" t="s">
        <v>4253</v>
      </c>
      <c r="H4644" s="2275">
        <v>445.45</v>
      </c>
      <c r="I4644" s="2296"/>
      <c r="J4644" s="291"/>
      <c r="K4644" s="456"/>
      <c r="L4644" s="456"/>
      <c r="M4644" s="456"/>
      <c r="N4644" s="2666"/>
      <c r="S4644" s="364"/>
      <c r="Z4644" s="609" t="s">
        <v>4247</v>
      </c>
      <c r="AA4644" s="609" t="s">
        <v>5705</v>
      </c>
    </row>
    <row r="4645" spans="1:27" ht="18">
      <c r="A4645" s="2714"/>
      <c r="B4645" s="371">
        <v>111</v>
      </c>
      <c r="C4645" s="371" t="s">
        <v>2791</v>
      </c>
      <c r="D4645" s="2716">
        <f t="shared" si="512"/>
        <v>1</v>
      </c>
      <c r="E4645" s="2721">
        <v>1</v>
      </c>
      <c r="F4645" s="294"/>
      <c r="G4645" s="2448" t="s">
        <v>6823</v>
      </c>
      <c r="H4645" s="2275">
        <v>87741.79</v>
      </c>
      <c r="I4645" s="2296"/>
      <c r="J4645" s="291"/>
      <c r="K4645" s="456"/>
      <c r="L4645" s="456"/>
      <c r="M4645" s="456"/>
      <c r="N4645" s="2666"/>
      <c r="S4645" s="364"/>
      <c r="Z4645" s="609" t="s">
        <v>4247</v>
      </c>
      <c r="AA4645" s="609" t="s">
        <v>5705</v>
      </c>
    </row>
    <row r="4646" spans="1:27" ht="18">
      <c r="A4646" s="2714"/>
      <c r="B4646" s="371">
        <v>112</v>
      </c>
      <c r="C4646" s="371" t="s">
        <v>2791</v>
      </c>
      <c r="D4646" s="2716">
        <f t="shared" si="512"/>
        <v>0</v>
      </c>
      <c r="E4646" s="2721">
        <v>1</v>
      </c>
      <c r="F4646" s="294"/>
      <c r="G4646" s="2448" t="s">
        <v>2792</v>
      </c>
      <c r="H4646" s="2275"/>
      <c r="I4646" s="2296"/>
      <c r="J4646" s="291"/>
      <c r="K4646" s="456"/>
      <c r="L4646" s="456"/>
      <c r="M4646" s="456"/>
      <c r="N4646" s="2666"/>
      <c r="S4646" s="364"/>
      <c r="Z4646" s="609" t="s">
        <v>4247</v>
      </c>
      <c r="AA4646" s="609" t="s">
        <v>5705</v>
      </c>
    </row>
    <row r="4647" spans="1:27" ht="18">
      <c r="A4647" s="2714"/>
      <c r="B4647" s="371">
        <v>113</v>
      </c>
      <c r="C4647" s="371" t="s">
        <v>2791</v>
      </c>
      <c r="D4647" s="2716">
        <f t="shared" si="512"/>
        <v>0</v>
      </c>
      <c r="E4647" s="2721">
        <v>1</v>
      </c>
      <c r="F4647" s="294"/>
      <c r="G4647" s="2448" t="s">
        <v>2792</v>
      </c>
      <c r="H4647" s="2275"/>
      <c r="I4647" s="2296"/>
      <c r="J4647" s="291"/>
      <c r="K4647" s="456"/>
      <c r="L4647" s="456"/>
      <c r="M4647" s="456"/>
      <c r="N4647" s="2666"/>
      <c r="S4647" s="364"/>
      <c r="Z4647" s="609" t="s">
        <v>4247</v>
      </c>
      <c r="AA4647" s="609" t="s">
        <v>5705</v>
      </c>
    </row>
    <row r="4648" spans="1:27" ht="18">
      <c r="A4648" s="2714"/>
      <c r="B4648" s="371">
        <v>114</v>
      </c>
      <c r="C4648" s="371" t="s">
        <v>2791</v>
      </c>
      <c r="D4648" s="2716">
        <f t="shared" si="512"/>
        <v>0</v>
      </c>
      <c r="E4648" s="2721">
        <v>1</v>
      </c>
      <c r="F4648" s="294"/>
      <c r="G4648" s="2448" t="s">
        <v>2792</v>
      </c>
      <c r="H4648" s="2275"/>
      <c r="I4648" s="2296"/>
      <c r="J4648" s="291"/>
      <c r="K4648" s="456"/>
      <c r="L4648" s="456"/>
      <c r="M4648" s="456"/>
      <c r="N4648" s="2666"/>
      <c r="S4648" s="364"/>
      <c r="Z4648" s="609" t="s">
        <v>4247</v>
      </c>
      <c r="AA4648" s="609" t="s">
        <v>5705</v>
      </c>
    </row>
    <row r="4649" spans="1:27" ht="18">
      <c r="A4649" s="2714"/>
      <c r="B4649" s="371">
        <v>115</v>
      </c>
      <c r="C4649" s="371" t="s">
        <v>2791</v>
      </c>
      <c r="D4649" s="2716">
        <f t="shared" si="512"/>
        <v>0</v>
      </c>
      <c r="E4649" s="2721">
        <v>1</v>
      </c>
      <c r="F4649" s="294"/>
      <c r="G4649" s="2448" t="s">
        <v>2792</v>
      </c>
      <c r="H4649" s="2275"/>
      <c r="I4649" s="2296"/>
      <c r="J4649" s="291"/>
      <c r="K4649" s="456"/>
      <c r="L4649" s="456"/>
      <c r="M4649" s="456"/>
      <c r="N4649" s="2666"/>
      <c r="S4649" s="364"/>
      <c r="Z4649" s="609" t="s">
        <v>4247</v>
      </c>
      <c r="AA4649" s="609" t="s">
        <v>5705</v>
      </c>
    </row>
    <row r="4650" spans="1:27" ht="18.75" thickBot="1">
      <c r="A4650" s="2714"/>
      <c r="B4650" s="371"/>
      <c r="C4650" s="371"/>
      <c r="D4650" s="2716">
        <f t="shared" si="512"/>
        <v>1</v>
      </c>
      <c r="E4650" s="2721" t="s">
        <v>2751</v>
      </c>
      <c r="F4650" s="294"/>
      <c r="G4650" s="374" t="s">
        <v>2752</v>
      </c>
      <c r="H4650" s="1478">
        <f>SUMPRODUCT($E4635:$E4649,H4635:H4649)</f>
        <v>88392.34</v>
      </c>
      <c r="I4650" s="1479">
        <f>SUMPRODUCT($E4635:$E4649,I4635:I4649)</f>
        <v>0</v>
      </c>
      <c r="J4650" s="291"/>
      <c r="K4650" s="1531">
        <f t="shared" ref="K4650:M4650" ca="1" si="513">SUM(K4636:K4649)</f>
        <v>0</v>
      </c>
      <c r="L4650" s="1531">
        <f t="shared" si="513"/>
        <v>0</v>
      </c>
      <c r="M4650" s="1531">
        <f t="shared" si="513"/>
        <v>0</v>
      </c>
      <c r="N4650" s="2667"/>
      <c r="S4650" s="364"/>
      <c r="Z4650" s="609" t="s">
        <v>4247</v>
      </c>
      <c r="AA4650" s="609" t="s">
        <v>5705</v>
      </c>
    </row>
    <row r="4651" spans="1:27" ht="18">
      <c r="A4651" s="2714"/>
      <c r="B4651" s="371"/>
      <c r="C4651" s="371" t="s">
        <v>2755</v>
      </c>
      <c r="D4651" s="371"/>
      <c r="F4651" s="294"/>
      <c r="G4651" s="301"/>
      <c r="H4651" s="315"/>
      <c r="I4651" s="315"/>
      <c r="J4651" s="350"/>
      <c r="K4651" s="1539" t="s">
        <v>5505</v>
      </c>
      <c r="L4651" s="354"/>
      <c r="M4651" s="354"/>
      <c r="N4651" s="354"/>
      <c r="S4651" s="364"/>
      <c r="Z4651" s="609" t="s">
        <v>4247</v>
      </c>
      <c r="AA4651" s="609" t="s">
        <v>5705</v>
      </c>
    </row>
    <row r="4652" spans="1:27" ht="18">
      <c r="A4652" s="2714" t="s">
        <v>1901</v>
      </c>
      <c r="B4652" s="371">
        <v>2</v>
      </c>
      <c r="C4652" s="371"/>
      <c r="D4652" s="2716" t="str">
        <f>VLOOKUP($A4652,Sheet_NoteList,2,0)</f>
        <v>税金及附加补充资料</v>
      </c>
      <c r="E4652" s="2716" t="s">
        <v>6532</v>
      </c>
      <c r="F4652" s="294"/>
      <c r="G4652" s="307" t="str">
        <f>"("&amp;B4652&amp;")"&amp;D4652</f>
        <v>(2)税金及附加补充资料</v>
      </c>
      <c r="H4652" s="1517" t="str">
        <f>$A4652</f>
        <v>6600x</v>
      </c>
      <c r="I4652" s="343" t="s">
        <v>5965</v>
      </c>
      <c r="J4652" s="301" t="s">
        <v>5981</v>
      </c>
      <c r="K4652" s="2210">
        <f>H4660</f>
        <v>0</v>
      </c>
      <c r="L4652" s="345"/>
      <c r="M4652" s="301" t="s">
        <v>5982</v>
      </c>
      <c r="N4652" s="2210">
        <f>I4660</f>
        <v>0</v>
      </c>
      <c r="O4652" s="345"/>
      <c r="P4652" s="301"/>
      <c r="S4652" s="364"/>
      <c r="Z4652" s="609" t="s">
        <v>4247</v>
      </c>
      <c r="AA4652" s="609" t="s">
        <v>5705</v>
      </c>
    </row>
    <row r="4653" spans="1:27" ht="0.75" customHeight="1" thickBot="1">
      <c r="A4653" s="2714"/>
      <c r="B4653" s="371"/>
      <c r="C4653" s="371"/>
      <c r="D4653" s="371"/>
      <c r="E4653" s="586"/>
      <c r="F4653" s="586"/>
      <c r="G4653" s="586" t="s">
        <v>4254</v>
      </c>
      <c r="H4653" s="371" t="s">
        <v>4223</v>
      </c>
      <c r="I4653" s="371" t="s">
        <v>4224</v>
      </c>
      <c r="J4653" s="291"/>
      <c r="K4653" s="291"/>
      <c r="L4653" s="291"/>
      <c r="M4653" s="291"/>
      <c r="N4653" s="291"/>
      <c r="S4653" s="364"/>
      <c r="Z4653" s="609" t="s">
        <v>4247</v>
      </c>
      <c r="AA4653" s="609" t="s">
        <v>5705</v>
      </c>
    </row>
    <row r="4654" spans="1:27" ht="18">
      <c r="A4654" s="2714"/>
      <c r="B4654" s="371"/>
      <c r="C4654" s="371"/>
      <c r="D4654" s="371"/>
      <c r="E4654" s="586" t="s">
        <v>2749</v>
      </c>
      <c r="F4654" s="363"/>
      <c r="G4654" s="2451" t="s">
        <v>47</v>
      </c>
      <c r="H4654" s="2447" t="s">
        <v>4242</v>
      </c>
      <c r="I4654" s="2446" t="s">
        <v>4245</v>
      </c>
      <c r="J4654" s="355" t="s">
        <v>6141</v>
      </c>
      <c r="K4654" s="291"/>
      <c r="L4654" s="291"/>
      <c r="M4654" s="291"/>
      <c r="N4654" s="291"/>
      <c r="S4654" s="364"/>
      <c r="Z4654" s="609" t="s">
        <v>4247</v>
      </c>
      <c r="AA4654" s="609" t="s">
        <v>5705</v>
      </c>
    </row>
    <row r="4655" spans="1:27" ht="18">
      <c r="A4655" s="2714"/>
      <c r="B4655" s="371">
        <v>101</v>
      </c>
      <c r="C4655" s="371" t="s">
        <v>2791</v>
      </c>
      <c r="D4655" s="2716">
        <f t="shared" ref="D4655:D4660" si="514">IF(OR(G4655="*",G4655="",G4655=0),0,COUNTIF($G$4655:$G$4660,G4655))</f>
        <v>0</v>
      </c>
      <c r="E4655" s="2721">
        <v>1</v>
      </c>
      <c r="F4655" s="294"/>
      <c r="G4655" s="2448" t="s">
        <v>2792</v>
      </c>
      <c r="H4655" s="2275"/>
      <c r="I4655" s="2296"/>
      <c r="J4655" s="579"/>
      <c r="K4655" s="291"/>
      <c r="L4655" s="291"/>
      <c r="M4655" s="291"/>
      <c r="N4655" s="291"/>
      <c r="S4655" s="364"/>
      <c r="Z4655" s="609" t="s">
        <v>4247</v>
      </c>
      <c r="AA4655" s="609" t="s">
        <v>5705</v>
      </c>
    </row>
    <row r="4656" spans="1:27" ht="18">
      <c r="A4656" s="2714"/>
      <c r="B4656" s="371">
        <v>102</v>
      </c>
      <c r="C4656" s="371" t="s">
        <v>2791</v>
      </c>
      <c r="D4656" s="2716">
        <f t="shared" si="514"/>
        <v>0</v>
      </c>
      <c r="E4656" s="2721">
        <v>1</v>
      </c>
      <c r="F4656" s="294"/>
      <c r="G4656" s="2448" t="s">
        <v>2792</v>
      </c>
      <c r="H4656" s="2275"/>
      <c r="I4656" s="2296"/>
      <c r="J4656" s="291"/>
      <c r="K4656" s="291"/>
      <c r="L4656" s="291"/>
      <c r="M4656" s="291"/>
      <c r="N4656" s="291"/>
      <c r="S4656" s="364"/>
      <c r="Z4656" s="609" t="s">
        <v>4247</v>
      </c>
      <c r="AA4656" s="609" t="s">
        <v>5705</v>
      </c>
    </row>
    <row r="4657" spans="1:27" ht="18">
      <c r="A4657" s="2714"/>
      <c r="B4657" s="371">
        <v>103</v>
      </c>
      <c r="C4657" s="371" t="s">
        <v>2791</v>
      </c>
      <c r="D4657" s="2716">
        <f t="shared" si="514"/>
        <v>0</v>
      </c>
      <c r="E4657" s="2721">
        <v>1</v>
      </c>
      <c r="F4657" s="294"/>
      <c r="G4657" s="2448" t="s">
        <v>2792</v>
      </c>
      <c r="H4657" s="2275"/>
      <c r="I4657" s="2296"/>
      <c r="J4657" s="291"/>
      <c r="K4657" s="291"/>
      <c r="L4657" s="291"/>
      <c r="M4657" s="291"/>
      <c r="N4657" s="291"/>
      <c r="S4657" s="364"/>
      <c r="Z4657" s="609" t="s">
        <v>4247</v>
      </c>
      <c r="AA4657" s="609" t="s">
        <v>5705</v>
      </c>
    </row>
    <row r="4658" spans="1:27" ht="18">
      <c r="A4658" s="2714"/>
      <c r="B4658" s="371">
        <v>104</v>
      </c>
      <c r="C4658" s="371" t="s">
        <v>2791</v>
      </c>
      <c r="D4658" s="2716">
        <f t="shared" si="514"/>
        <v>0</v>
      </c>
      <c r="E4658" s="2721">
        <v>1</v>
      </c>
      <c r="F4658" s="294"/>
      <c r="G4658" s="2448" t="s">
        <v>2792</v>
      </c>
      <c r="H4658" s="2275"/>
      <c r="I4658" s="2296"/>
      <c r="J4658" s="291"/>
      <c r="K4658" s="291"/>
      <c r="L4658" s="291"/>
      <c r="M4658" s="291"/>
      <c r="N4658" s="291"/>
      <c r="S4658" s="364"/>
      <c r="Z4658" s="609" t="s">
        <v>4247</v>
      </c>
      <c r="AA4658" s="609" t="s">
        <v>5705</v>
      </c>
    </row>
    <row r="4659" spans="1:27" ht="18">
      <c r="A4659" s="2714"/>
      <c r="B4659" s="371">
        <v>105</v>
      </c>
      <c r="C4659" s="371" t="s">
        <v>2791</v>
      </c>
      <c r="D4659" s="2716">
        <f t="shared" si="514"/>
        <v>0</v>
      </c>
      <c r="E4659" s="2721">
        <v>1</v>
      </c>
      <c r="F4659" s="294"/>
      <c r="G4659" s="2448" t="s">
        <v>2792</v>
      </c>
      <c r="H4659" s="2275"/>
      <c r="I4659" s="2296"/>
      <c r="J4659" s="291"/>
      <c r="K4659" s="291"/>
      <c r="L4659" s="291"/>
      <c r="M4659" s="291"/>
      <c r="N4659" s="291"/>
      <c r="S4659" s="364"/>
      <c r="Z4659" s="609" t="s">
        <v>4247</v>
      </c>
      <c r="AA4659" s="609" t="s">
        <v>5705</v>
      </c>
    </row>
    <row r="4660" spans="1:27" ht="18.75" thickBot="1">
      <c r="A4660" s="2714"/>
      <c r="B4660" s="371"/>
      <c r="C4660" s="371"/>
      <c r="D4660" s="2716">
        <f t="shared" si="514"/>
        <v>1</v>
      </c>
      <c r="E4660" s="2721" t="s">
        <v>2751</v>
      </c>
      <c r="F4660" s="294"/>
      <c r="G4660" s="1529" t="s">
        <v>2752</v>
      </c>
      <c r="H4660" s="1527">
        <f>SUMPRODUCT($E4654:$E4659,H4654:H4659)</f>
        <v>0</v>
      </c>
      <c r="I4660" s="1528">
        <f>SUMPRODUCT($E4654:$E4659,I4654:I4659)</f>
        <v>0</v>
      </c>
      <c r="J4660" s="291"/>
      <c r="K4660" s="291"/>
      <c r="L4660" s="291"/>
      <c r="M4660" s="291"/>
      <c r="N4660" s="291"/>
      <c r="S4660" s="364"/>
      <c r="Z4660" s="609" t="s">
        <v>4247</v>
      </c>
      <c r="AA4660" s="609" t="s">
        <v>5705</v>
      </c>
    </row>
    <row r="4661" spans="1:27" ht="18">
      <c r="A4661" s="2714"/>
      <c r="B4661" s="371"/>
      <c r="C4661" s="371" t="s">
        <v>2755</v>
      </c>
      <c r="D4661" s="371"/>
      <c r="F4661" s="294"/>
      <c r="G4661" s="301"/>
      <c r="H4661" s="315"/>
      <c r="I4661" s="315"/>
      <c r="J4661" s="350"/>
      <c r="K4661" s="291"/>
      <c r="L4661" s="291"/>
      <c r="M4661" s="291"/>
      <c r="N4661" s="291"/>
      <c r="S4661" s="364"/>
      <c r="Z4661" s="609" t="s">
        <v>4247</v>
      </c>
      <c r="AA4661" s="609" t="s">
        <v>5705</v>
      </c>
    </row>
    <row r="4662" spans="1:27" ht="18">
      <c r="A4662" s="2714">
        <v>6601</v>
      </c>
      <c r="B4662" s="371">
        <v>63</v>
      </c>
      <c r="C4662" s="2716" t="str">
        <f>VLOOKUP($A4662,Sheet_Items,2,0)</f>
        <v>销售费用</v>
      </c>
      <c r="D4662" s="371"/>
      <c r="E4662" s="2716" t="s">
        <v>2739</v>
      </c>
      <c r="F4662" s="294"/>
      <c r="G4662" s="305" t="str">
        <f>B4662&amp;" "&amp;C4662</f>
        <v>63 销售费用</v>
      </c>
      <c r="H4662" s="306"/>
      <c r="I4662" s="306"/>
      <c r="J4662" s="306" t="s">
        <v>4206</v>
      </c>
      <c r="K4662" s="341">
        <f>VLOOKUP($A4662,Sheet_Trialbal,6,0)</f>
        <v>6019256.5999999996</v>
      </c>
      <c r="L4662" s="342"/>
      <c r="M4662" s="306" t="s">
        <v>4207</v>
      </c>
      <c r="N4662" s="341">
        <f>VLOOKUP($A4662,Sheet_Trialbal,10,0)</f>
        <v>533561.96</v>
      </c>
      <c r="O4662" s="306"/>
      <c r="P4662" s="301"/>
      <c r="S4662" s="364"/>
      <c r="Z4662" s="609" t="s">
        <v>4255</v>
      </c>
      <c r="AA4662" s="609" t="s">
        <v>5706</v>
      </c>
    </row>
    <row r="4663" spans="1:27" ht="18">
      <c r="A4663" s="2714" t="s">
        <v>1905</v>
      </c>
      <c r="B4663" s="371">
        <v>1</v>
      </c>
      <c r="C4663" s="371"/>
      <c r="D4663" s="2716" t="str">
        <f>VLOOKUP($A4663,Sheet_NoteList,2,0)</f>
        <v>销售费用明细项目</v>
      </c>
      <c r="E4663" s="2716" t="s">
        <v>2742</v>
      </c>
      <c r="F4663" s="294"/>
      <c r="G4663" s="307" t="str">
        <f>"("&amp;B4663&amp;")"&amp;D4663</f>
        <v>(1)销售费用明细项目</v>
      </c>
      <c r="H4663" s="1517" t="str">
        <f>$A4663</f>
        <v>6601a</v>
      </c>
      <c r="I4663" s="343" t="s">
        <v>2743</v>
      </c>
      <c r="J4663" s="301" t="s">
        <v>4256</v>
      </c>
      <c r="K4663" s="2210">
        <f>H4681</f>
        <v>6019256.5999999996</v>
      </c>
      <c r="L4663" s="1535">
        <f>IF($I4663="适用",IF(ROUND(K4662-K4663,2)&gt;=0,IF(K4662&lt;&gt;0,K4663/K4662,""),"#Logical!"),"#N/A")</f>
        <v>1</v>
      </c>
      <c r="M4663" s="301" t="s">
        <v>4257</v>
      </c>
      <c r="N4663" s="2210">
        <f>I4681</f>
        <v>0</v>
      </c>
      <c r="O4663" s="1535">
        <f>IF($I4663="适用",IF(ROUND(N4662-N4663,2)&gt;=0,IF(N4662&lt;&gt;0,N4663/N4662,""),"#Logical!"),"#N/A")</f>
        <v>0</v>
      </c>
      <c r="P4663" s="301"/>
      <c r="Q4663" s="290" t="str">
        <f>IF($I4663="不适用","",IF(ROUND(SUM($H$4666:$I$4681),2)=0,"请输入",""))</f>
        <v/>
      </c>
      <c r="S4663" s="364"/>
      <c r="Z4663" s="609" t="s">
        <v>4255</v>
      </c>
      <c r="AA4663" s="609" t="s">
        <v>5706</v>
      </c>
    </row>
    <row r="4664" spans="1:27" ht="0.75" customHeight="1" thickBot="1">
      <c r="A4664" s="2714"/>
      <c r="B4664" s="371"/>
      <c r="C4664" s="371"/>
      <c r="D4664" s="371"/>
      <c r="F4664" s="371"/>
      <c r="G4664" s="371" t="s">
        <v>4258</v>
      </c>
      <c r="H4664" s="371" t="s">
        <v>4223</v>
      </c>
      <c r="I4664" s="371" t="s">
        <v>4224</v>
      </c>
      <c r="J4664" s="291"/>
      <c r="K4664" s="291"/>
      <c r="L4664" s="291"/>
      <c r="M4664" s="291"/>
      <c r="S4664" s="364"/>
      <c r="Z4664" s="609" t="s">
        <v>4255</v>
      </c>
      <c r="AA4664" s="609" t="s">
        <v>5706</v>
      </c>
    </row>
    <row r="4665" spans="1:27" ht="18">
      <c r="A4665" s="2714"/>
      <c r="B4665" s="371"/>
      <c r="C4665" s="371"/>
      <c r="D4665" s="371"/>
      <c r="E4665" s="2716" t="s">
        <v>2749</v>
      </c>
      <c r="F4665" s="294"/>
      <c r="G4665" s="378" t="s">
        <v>47</v>
      </c>
      <c r="H4665" s="398" t="str">
        <f>$V$4</f>
        <v>2019年度</v>
      </c>
      <c r="I4665" s="511" t="str">
        <f>$V$5</f>
        <v>2018年度</v>
      </c>
      <c r="J4665" s="355" t="s">
        <v>5328</v>
      </c>
      <c r="K4665" s="291"/>
      <c r="L4665" s="291"/>
      <c r="M4665" s="291"/>
      <c r="S4665" s="364"/>
      <c r="Z4665" s="609" t="s">
        <v>4255</v>
      </c>
      <c r="AA4665" s="609" t="s">
        <v>5706</v>
      </c>
    </row>
    <row r="4666" spans="1:27" ht="18">
      <c r="A4666" s="2714"/>
      <c r="B4666" s="371">
        <v>101</v>
      </c>
      <c r="C4666" s="371" t="s">
        <v>2791</v>
      </c>
      <c r="D4666" s="2716">
        <f t="shared" ref="D4666:D4681" si="515">IF(OR(G4666="*",G4666="",G4666=0),0,COUNTIF($G$4666:$G$4681,G4666))</f>
        <v>1</v>
      </c>
      <c r="E4666" s="2721">
        <v>1</v>
      </c>
      <c r="F4666" s="294"/>
      <c r="G4666" s="409" t="s">
        <v>6824</v>
      </c>
      <c r="H4666" s="383">
        <v>5863.88</v>
      </c>
      <c r="I4666" s="401"/>
      <c r="J4666" s="291"/>
      <c r="K4666" s="291"/>
      <c r="L4666" s="291"/>
      <c r="M4666" s="291"/>
      <c r="S4666" s="364"/>
      <c r="Z4666" s="609" t="s">
        <v>4255</v>
      </c>
      <c r="AA4666" s="609" t="s">
        <v>5706</v>
      </c>
    </row>
    <row r="4667" spans="1:27" ht="18">
      <c r="A4667" s="2714"/>
      <c r="B4667" s="371">
        <v>102</v>
      </c>
      <c r="C4667" s="371" t="s">
        <v>2791</v>
      </c>
      <c r="D4667" s="2716">
        <f t="shared" si="515"/>
        <v>1</v>
      </c>
      <c r="E4667" s="2721">
        <v>1</v>
      </c>
      <c r="F4667" s="294"/>
      <c r="G4667" s="409" t="s">
        <v>6825</v>
      </c>
      <c r="H4667" s="383">
        <v>779007.1</v>
      </c>
      <c r="I4667" s="401"/>
      <c r="J4667" s="291"/>
      <c r="K4667" s="291"/>
      <c r="L4667" s="291"/>
      <c r="M4667" s="291"/>
      <c r="S4667" s="364"/>
      <c r="Z4667" s="609" t="s">
        <v>4255</v>
      </c>
      <c r="AA4667" s="609" t="s">
        <v>5706</v>
      </c>
    </row>
    <row r="4668" spans="1:27" ht="18">
      <c r="A4668" s="2714"/>
      <c r="B4668" s="371">
        <v>103</v>
      </c>
      <c r="C4668" s="371" t="s">
        <v>2791</v>
      </c>
      <c r="D4668" s="2716">
        <f t="shared" si="515"/>
        <v>1</v>
      </c>
      <c r="E4668" s="2721">
        <v>1</v>
      </c>
      <c r="F4668" s="294"/>
      <c r="G4668" s="409" t="s">
        <v>6826</v>
      </c>
      <c r="H4668" s="383">
        <v>865841.88</v>
      </c>
      <c r="I4668" s="401"/>
      <c r="J4668" s="291"/>
      <c r="K4668" s="291"/>
      <c r="L4668" s="291"/>
      <c r="M4668" s="291"/>
      <c r="S4668" s="364"/>
      <c r="Z4668" s="609" t="s">
        <v>4255</v>
      </c>
      <c r="AA4668" s="609" t="s">
        <v>5706</v>
      </c>
    </row>
    <row r="4669" spans="1:27" ht="18">
      <c r="A4669" s="2714"/>
      <c r="B4669" s="371">
        <v>104</v>
      </c>
      <c r="C4669" s="371" t="s">
        <v>2791</v>
      </c>
      <c r="D4669" s="2716">
        <f t="shared" si="515"/>
        <v>1</v>
      </c>
      <c r="E4669" s="2721">
        <v>1</v>
      </c>
      <c r="F4669" s="294"/>
      <c r="G4669" s="409" t="s">
        <v>6827</v>
      </c>
      <c r="H4669" s="383">
        <v>304692.14</v>
      </c>
      <c r="I4669" s="401"/>
      <c r="J4669" s="291"/>
      <c r="K4669" s="291"/>
      <c r="L4669" s="291"/>
      <c r="M4669" s="291"/>
      <c r="S4669" s="364"/>
      <c r="Z4669" s="609" t="s">
        <v>4255</v>
      </c>
      <c r="AA4669" s="609" t="s">
        <v>5706</v>
      </c>
    </row>
    <row r="4670" spans="1:27" ht="18">
      <c r="A4670" s="2714"/>
      <c r="B4670" s="371">
        <v>105</v>
      </c>
      <c r="C4670" s="371" t="s">
        <v>2791</v>
      </c>
      <c r="D4670" s="2716">
        <f t="shared" si="515"/>
        <v>1</v>
      </c>
      <c r="E4670" s="2721">
        <v>1</v>
      </c>
      <c r="F4670" s="294"/>
      <c r="G4670" s="409" t="s">
        <v>6828</v>
      </c>
      <c r="H4670" s="383">
        <v>4054076.43</v>
      </c>
      <c r="I4670" s="401"/>
      <c r="J4670" s="291"/>
      <c r="K4670" s="291"/>
      <c r="L4670" s="291"/>
      <c r="M4670" s="291"/>
      <c r="S4670" s="364"/>
      <c r="Z4670" s="609" t="s">
        <v>4255</v>
      </c>
      <c r="AA4670" s="609" t="s">
        <v>5706</v>
      </c>
    </row>
    <row r="4671" spans="1:27" ht="18">
      <c r="A4671" s="2714"/>
      <c r="B4671" s="371">
        <v>106</v>
      </c>
      <c r="C4671" s="371" t="s">
        <v>2791</v>
      </c>
      <c r="D4671" s="2716">
        <f t="shared" si="515"/>
        <v>1</v>
      </c>
      <c r="E4671" s="2721">
        <v>1</v>
      </c>
      <c r="F4671" s="294"/>
      <c r="G4671" s="409" t="s">
        <v>4267</v>
      </c>
      <c r="H4671" s="383">
        <v>8563.1200000000008</v>
      </c>
      <c r="I4671" s="401"/>
      <c r="J4671" s="291"/>
      <c r="K4671" s="291"/>
      <c r="L4671" s="291"/>
      <c r="M4671" s="291"/>
      <c r="S4671" s="364"/>
      <c r="Z4671" s="609" t="s">
        <v>4255</v>
      </c>
      <c r="AA4671" s="609" t="s">
        <v>5706</v>
      </c>
    </row>
    <row r="4672" spans="1:27" ht="18">
      <c r="A4672" s="2714"/>
      <c r="B4672" s="371">
        <v>107</v>
      </c>
      <c r="C4672" s="371" t="s">
        <v>2791</v>
      </c>
      <c r="D4672" s="2716">
        <f t="shared" si="515"/>
        <v>1</v>
      </c>
      <c r="E4672" s="2721">
        <v>1</v>
      </c>
      <c r="F4672" s="294"/>
      <c r="G4672" s="409" t="s">
        <v>6829</v>
      </c>
      <c r="H4672" s="383">
        <v>1212.05</v>
      </c>
      <c r="I4672" s="401"/>
      <c r="J4672" s="291"/>
      <c r="K4672" s="291"/>
      <c r="L4672" s="291"/>
      <c r="M4672" s="291"/>
      <c r="S4672" s="364"/>
      <c r="Z4672" s="609" t="s">
        <v>4255</v>
      </c>
      <c r="AA4672" s="609" t="s">
        <v>5706</v>
      </c>
    </row>
    <row r="4673" spans="1:27" ht="18">
      <c r="A4673" s="2714"/>
      <c r="B4673" s="371">
        <v>108</v>
      </c>
      <c r="C4673" s="371" t="s">
        <v>2791</v>
      </c>
      <c r="D4673" s="2716">
        <f t="shared" si="515"/>
        <v>0</v>
      </c>
      <c r="E4673" s="2721">
        <v>1</v>
      </c>
      <c r="F4673" s="294"/>
      <c r="G4673" s="409" t="s">
        <v>2792</v>
      </c>
      <c r="H4673" s="383"/>
      <c r="I4673" s="401"/>
      <c r="J4673" s="291"/>
      <c r="K4673" s="291"/>
      <c r="L4673" s="291"/>
      <c r="M4673" s="291"/>
      <c r="S4673" s="364"/>
      <c r="Z4673" s="609" t="s">
        <v>4255</v>
      </c>
      <c r="AA4673" s="609" t="s">
        <v>5706</v>
      </c>
    </row>
    <row r="4674" spans="1:27" ht="18">
      <c r="A4674" s="2714"/>
      <c r="B4674" s="371">
        <v>109</v>
      </c>
      <c r="C4674" s="371" t="s">
        <v>2791</v>
      </c>
      <c r="D4674" s="2716">
        <f t="shared" si="515"/>
        <v>0</v>
      </c>
      <c r="E4674" s="2721">
        <v>1</v>
      </c>
      <c r="F4674" s="294"/>
      <c r="G4674" s="409" t="s">
        <v>2792</v>
      </c>
      <c r="H4674" s="383"/>
      <c r="I4674" s="401"/>
      <c r="J4674" s="291"/>
      <c r="K4674" s="291"/>
      <c r="L4674" s="291"/>
      <c r="M4674" s="291"/>
      <c r="S4674" s="364"/>
      <c r="Z4674" s="609" t="s">
        <v>4255</v>
      </c>
      <c r="AA4674" s="609" t="s">
        <v>5706</v>
      </c>
    </row>
    <row r="4675" spans="1:27" ht="18">
      <c r="A4675" s="2714"/>
      <c r="B4675" s="371">
        <v>110</v>
      </c>
      <c r="C4675" s="371" t="s">
        <v>2791</v>
      </c>
      <c r="D4675" s="2716">
        <f t="shared" si="515"/>
        <v>0</v>
      </c>
      <c r="E4675" s="2721">
        <v>1</v>
      </c>
      <c r="F4675" s="294"/>
      <c r="G4675" s="409" t="s">
        <v>2792</v>
      </c>
      <c r="H4675" s="383"/>
      <c r="I4675" s="401"/>
      <c r="J4675" s="291"/>
      <c r="K4675" s="291"/>
      <c r="L4675" s="291"/>
      <c r="M4675" s="291"/>
      <c r="S4675" s="364"/>
      <c r="Z4675" s="609" t="s">
        <v>4255</v>
      </c>
      <c r="AA4675" s="609" t="s">
        <v>5706</v>
      </c>
    </row>
    <row r="4676" spans="1:27" ht="18">
      <c r="A4676" s="2714"/>
      <c r="B4676" s="371">
        <v>111</v>
      </c>
      <c r="C4676" s="371" t="s">
        <v>2791</v>
      </c>
      <c r="D4676" s="2716">
        <f t="shared" si="515"/>
        <v>0</v>
      </c>
      <c r="E4676" s="2721">
        <v>1</v>
      </c>
      <c r="F4676" s="294"/>
      <c r="G4676" s="409" t="s">
        <v>2792</v>
      </c>
      <c r="H4676" s="383"/>
      <c r="I4676" s="401"/>
      <c r="J4676" s="291"/>
      <c r="K4676" s="291"/>
      <c r="L4676" s="291"/>
      <c r="M4676" s="291"/>
      <c r="S4676" s="364"/>
      <c r="Z4676" s="609" t="s">
        <v>4255</v>
      </c>
      <c r="AA4676" s="609" t="s">
        <v>5706</v>
      </c>
    </row>
    <row r="4677" spans="1:27" ht="18">
      <c r="A4677" s="2714"/>
      <c r="B4677" s="371">
        <v>112</v>
      </c>
      <c r="C4677" s="371" t="s">
        <v>2791</v>
      </c>
      <c r="D4677" s="2716">
        <f t="shared" si="515"/>
        <v>0</v>
      </c>
      <c r="E4677" s="2721">
        <v>1</v>
      </c>
      <c r="F4677" s="294"/>
      <c r="G4677" s="409" t="s">
        <v>2792</v>
      </c>
      <c r="H4677" s="383"/>
      <c r="I4677" s="401"/>
      <c r="J4677" s="291"/>
      <c r="K4677" s="291"/>
      <c r="L4677" s="291"/>
      <c r="M4677" s="291"/>
      <c r="S4677" s="364"/>
      <c r="Z4677" s="609" t="s">
        <v>4255</v>
      </c>
      <c r="AA4677" s="609" t="s">
        <v>5706</v>
      </c>
    </row>
    <row r="4678" spans="1:27" ht="18">
      <c r="A4678" s="2714"/>
      <c r="B4678" s="371">
        <v>113</v>
      </c>
      <c r="C4678" s="371" t="s">
        <v>2791</v>
      </c>
      <c r="D4678" s="2716">
        <f t="shared" si="515"/>
        <v>0</v>
      </c>
      <c r="E4678" s="2721">
        <v>1</v>
      </c>
      <c r="F4678" s="294"/>
      <c r="G4678" s="409" t="s">
        <v>2792</v>
      </c>
      <c r="H4678" s="383"/>
      <c r="I4678" s="401"/>
      <c r="J4678" s="291"/>
      <c r="K4678" s="291"/>
      <c r="L4678" s="291"/>
      <c r="M4678" s="291"/>
      <c r="S4678" s="364"/>
      <c r="Z4678" s="609" t="s">
        <v>4255</v>
      </c>
      <c r="AA4678" s="609" t="s">
        <v>5706</v>
      </c>
    </row>
    <row r="4679" spans="1:27" ht="18">
      <c r="A4679" s="2714"/>
      <c r="B4679" s="371">
        <v>114</v>
      </c>
      <c r="C4679" s="371" t="s">
        <v>2791</v>
      </c>
      <c r="D4679" s="2716">
        <f t="shared" si="515"/>
        <v>0</v>
      </c>
      <c r="E4679" s="2721">
        <v>1</v>
      </c>
      <c r="F4679" s="294"/>
      <c r="G4679" s="409" t="s">
        <v>2792</v>
      </c>
      <c r="H4679" s="383"/>
      <c r="I4679" s="401"/>
      <c r="J4679" s="291"/>
      <c r="K4679" s="291"/>
      <c r="L4679" s="291"/>
      <c r="M4679" s="291"/>
      <c r="S4679" s="364"/>
      <c r="Z4679" s="609" t="s">
        <v>4255</v>
      </c>
      <c r="AA4679" s="609" t="s">
        <v>5706</v>
      </c>
    </row>
    <row r="4680" spans="1:27" ht="18">
      <c r="A4680" s="2714"/>
      <c r="B4680" s="371">
        <v>115</v>
      </c>
      <c r="C4680" s="371" t="s">
        <v>2791</v>
      </c>
      <c r="D4680" s="2716">
        <f t="shared" si="515"/>
        <v>0</v>
      </c>
      <c r="E4680" s="2721">
        <v>1</v>
      </c>
      <c r="F4680" s="294"/>
      <c r="G4680" s="409" t="s">
        <v>2792</v>
      </c>
      <c r="H4680" s="383"/>
      <c r="I4680" s="401"/>
      <c r="J4680" s="291"/>
      <c r="K4680" s="291"/>
      <c r="L4680" s="291"/>
      <c r="M4680" s="291"/>
      <c r="S4680" s="364"/>
      <c r="Z4680" s="609" t="s">
        <v>4255</v>
      </c>
      <c r="AA4680" s="609" t="s">
        <v>5706</v>
      </c>
    </row>
    <row r="4681" spans="1:27" ht="18.75" thickBot="1">
      <c r="A4681" s="2714"/>
      <c r="B4681" s="371"/>
      <c r="C4681" s="371"/>
      <c r="D4681" s="2716">
        <f t="shared" si="515"/>
        <v>1</v>
      </c>
      <c r="E4681" s="2721" t="s">
        <v>2751</v>
      </c>
      <c r="F4681" s="294"/>
      <c r="G4681" s="403" t="s">
        <v>2752</v>
      </c>
      <c r="H4681" s="503">
        <f>SUMPRODUCT($E4665:$E4680,H4665:H4680)</f>
        <v>6019256.5999999996</v>
      </c>
      <c r="I4681" s="515">
        <f>SUMPRODUCT($E4665:$E4680,I4665:I4680)</f>
        <v>0</v>
      </c>
      <c r="J4681" s="291"/>
      <c r="K4681" s="291"/>
      <c r="L4681" s="291"/>
      <c r="M4681" s="291"/>
      <c r="S4681" s="364"/>
      <c r="Z4681" s="609" t="s">
        <v>4255</v>
      </c>
      <c r="AA4681" s="609" t="s">
        <v>5706</v>
      </c>
    </row>
    <row r="4682" spans="1:27" ht="18">
      <c r="A4682" s="2714"/>
      <c r="B4682" s="371"/>
      <c r="C4682" s="371" t="s">
        <v>2755</v>
      </c>
      <c r="D4682" s="371"/>
      <c r="F4682" s="294"/>
      <c r="G4682" s="301"/>
      <c r="H4682" s="349"/>
      <c r="I4682" s="349"/>
      <c r="J4682" s="291"/>
      <c r="K4682" s="291"/>
      <c r="L4682" s="291"/>
      <c r="M4682" s="291"/>
      <c r="S4682" s="364"/>
      <c r="Z4682" s="609" t="s">
        <v>4255</v>
      </c>
      <c r="AA4682" s="609" t="s">
        <v>5706</v>
      </c>
    </row>
    <row r="4683" spans="1:27" ht="18">
      <c r="A4683" s="2714" t="s">
        <v>1910</v>
      </c>
      <c r="B4683" s="371">
        <v>2</v>
      </c>
      <c r="C4683" s="371"/>
      <c r="D4683" s="2716" t="str">
        <f>VLOOKUP($A4683,Sheet_NoteList,2,0)</f>
        <v>销售费用补充资料</v>
      </c>
      <c r="E4683" s="2716" t="s">
        <v>6532</v>
      </c>
      <c r="F4683" s="294"/>
      <c r="G4683" s="307" t="str">
        <f>"("&amp;B4683&amp;")"&amp;D4683</f>
        <v>(2)销售费用补充资料</v>
      </c>
      <c r="H4683" s="1517" t="str">
        <f>$A4683</f>
        <v>6601x</v>
      </c>
      <c r="I4683" s="343" t="s">
        <v>5965</v>
      </c>
      <c r="J4683" s="301" t="s">
        <v>5984</v>
      </c>
      <c r="K4683" s="2210">
        <f>H4698</f>
        <v>114059.55</v>
      </c>
      <c r="L4683" s="1535" t="str">
        <f>IF($I4683="适用",IF(ROUND(K4682-K4683,2)&gt;=0,IF(K4682&lt;&gt;0,K4683/K4682,""),"#Logical!"),"#N/A")</f>
        <v>#Logical!</v>
      </c>
      <c r="M4683" s="301" t="s">
        <v>5985</v>
      </c>
      <c r="N4683" s="2210">
        <f>I4698</f>
        <v>0</v>
      </c>
      <c r="O4683" s="1535" t="str">
        <f>IF($I4683="适用",IF(ROUND(N4682-N4683,2)&gt;=0,IF(N4682&lt;&gt;0,N4683/N4682,""),"#Logical!"),"#N/A")</f>
        <v/>
      </c>
      <c r="P4683" s="301"/>
      <c r="S4683" s="364"/>
      <c r="Z4683" s="609" t="s">
        <v>4255</v>
      </c>
      <c r="AA4683" s="609" t="s">
        <v>5706</v>
      </c>
    </row>
    <row r="4684" spans="1:27" ht="0.75" customHeight="1" thickBot="1">
      <c r="A4684" s="2714"/>
      <c r="B4684" s="371"/>
      <c r="C4684" s="371"/>
      <c r="D4684" s="371"/>
      <c r="E4684" s="586"/>
      <c r="F4684" s="586"/>
      <c r="G4684" s="586" t="s">
        <v>4259</v>
      </c>
      <c r="H4684" s="371" t="s">
        <v>4223</v>
      </c>
      <c r="I4684" s="371" t="s">
        <v>4224</v>
      </c>
      <c r="J4684" s="291"/>
      <c r="K4684" s="291"/>
      <c r="L4684" s="291"/>
      <c r="M4684" s="291"/>
      <c r="S4684" s="364"/>
      <c r="Z4684" s="609" t="s">
        <v>4255</v>
      </c>
      <c r="AA4684" s="609" t="s">
        <v>5706</v>
      </c>
    </row>
    <row r="4685" spans="1:27" ht="18">
      <c r="A4685" s="2714"/>
      <c r="B4685" s="371"/>
      <c r="C4685" s="371"/>
      <c r="D4685" s="371"/>
      <c r="E4685" s="586" t="s">
        <v>2749</v>
      </c>
      <c r="F4685" s="363"/>
      <c r="G4685" s="2451" t="s">
        <v>47</v>
      </c>
      <c r="H4685" s="2447" t="s">
        <v>4242</v>
      </c>
      <c r="I4685" s="2446" t="s">
        <v>4245</v>
      </c>
      <c r="J4685" s="355" t="s">
        <v>6141</v>
      </c>
      <c r="K4685" s="291"/>
      <c r="L4685" s="291"/>
      <c r="M4685" s="291"/>
      <c r="S4685" s="364"/>
      <c r="Z4685" s="609" t="s">
        <v>4255</v>
      </c>
      <c r="AA4685" s="609" t="s">
        <v>5706</v>
      </c>
    </row>
    <row r="4686" spans="1:27" ht="18">
      <c r="A4686" s="2714"/>
      <c r="B4686" s="371">
        <v>101</v>
      </c>
      <c r="C4686" s="371" t="s">
        <v>2791</v>
      </c>
      <c r="D4686" s="2716">
        <f t="shared" ref="D4686:D4691" si="516">IF(OR(G4686="*",G4686="",G4686=0),0,COUNTIF($G$4686:$G$4691,G4686))</f>
        <v>0</v>
      </c>
      <c r="E4686" s="2721">
        <v>1</v>
      </c>
      <c r="F4686" s="294"/>
      <c r="G4686" s="2448" t="s">
        <v>2792</v>
      </c>
      <c r="H4686" s="2275"/>
      <c r="I4686" s="2296"/>
      <c r="J4686" s="579"/>
      <c r="K4686" s="291"/>
      <c r="L4686" s="291"/>
      <c r="M4686" s="291"/>
      <c r="S4686" s="364"/>
      <c r="Z4686" s="609" t="s">
        <v>4255</v>
      </c>
      <c r="AA4686" s="609" t="s">
        <v>5706</v>
      </c>
    </row>
    <row r="4687" spans="1:27" ht="18">
      <c r="A4687" s="2714"/>
      <c r="B4687" s="371">
        <v>102</v>
      </c>
      <c r="C4687" s="371" t="s">
        <v>2791</v>
      </c>
      <c r="D4687" s="2716">
        <f t="shared" si="516"/>
        <v>0</v>
      </c>
      <c r="E4687" s="2721">
        <v>1</v>
      </c>
      <c r="F4687" s="294"/>
      <c r="G4687" s="2448" t="s">
        <v>2792</v>
      </c>
      <c r="H4687" s="2275"/>
      <c r="I4687" s="2296"/>
      <c r="J4687" s="291"/>
      <c r="K4687" s="291"/>
      <c r="L4687" s="291"/>
      <c r="M4687" s="291"/>
      <c r="S4687" s="364"/>
      <c r="Z4687" s="609" t="s">
        <v>4255</v>
      </c>
      <c r="AA4687" s="609" t="s">
        <v>5706</v>
      </c>
    </row>
    <row r="4688" spans="1:27" ht="18">
      <c r="A4688" s="2714"/>
      <c r="B4688" s="371">
        <v>103</v>
      </c>
      <c r="C4688" s="371" t="s">
        <v>2791</v>
      </c>
      <c r="D4688" s="2716">
        <f t="shared" si="516"/>
        <v>0</v>
      </c>
      <c r="E4688" s="2721">
        <v>1</v>
      </c>
      <c r="F4688" s="294"/>
      <c r="G4688" s="2448" t="s">
        <v>2792</v>
      </c>
      <c r="H4688" s="2275"/>
      <c r="I4688" s="2296"/>
      <c r="J4688" s="291"/>
      <c r="K4688" s="291"/>
      <c r="L4688" s="291"/>
      <c r="M4688" s="291"/>
      <c r="S4688" s="364"/>
      <c r="Z4688" s="609" t="s">
        <v>4255</v>
      </c>
      <c r="AA4688" s="609" t="s">
        <v>5706</v>
      </c>
    </row>
    <row r="4689" spans="1:27" ht="18">
      <c r="A4689" s="2714"/>
      <c r="B4689" s="371">
        <v>104</v>
      </c>
      <c r="C4689" s="371" t="s">
        <v>2791</v>
      </c>
      <c r="D4689" s="2716">
        <f t="shared" si="516"/>
        <v>0</v>
      </c>
      <c r="E4689" s="2721">
        <v>1</v>
      </c>
      <c r="F4689" s="294"/>
      <c r="G4689" s="2448" t="s">
        <v>2792</v>
      </c>
      <c r="H4689" s="2275"/>
      <c r="I4689" s="2296"/>
      <c r="J4689" s="291"/>
      <c r="K4689" s="291"/>
      <c r="L4689" s="291"/>
      <c r="M4689" s="291"/>
      <c r="S4689" s="364"/>
      <c r="Z4689" s="609" t="s">
        <v>4255</v>
      </c>
      <c r="AA4689" s="609" t="s">
        <v>5706</v>
      </c>
    </row>
    <row r="4690" spans="1:27" ht="18">
      <c r="A4690" s="2714"/>
      <c r="B4690" s="371">
        <v>105</v>
      </c>
      <c r="C4690" s="371" t="s">
        <v>2791</v>
      </c>
      <c r="D4690" s="2716">
        <f t="shared" si="516"/>
        <v>0</v>
      </c>
      <c r="E4690" s="2721">
        <v>1</v>
      </c>
      <c r="F4690" s="294"/>
      <c r="G4690" s="2448" t="s">
        <v>2792</v>
      </c>
      <c r="H4690" s="2275"/>
      <c r="I4690" s="2296"/>
      <c r="J4690" s="291"/>
      <c r="K4690" s="291"/>
      <c r="L4690" s="291"/>
      <c r="M4690" s="291"/>
      <c r="S4690" s="364"/>
      <c r="Z4690" s="609" t="s">
        <v>4255</v>
      </c>
      <c r="AA4690" s="609" t="s">
        <v>5706</v>
      </c>
    </row>
    <row r="4691" spans="1:27" ht="18.75" thickBot="1">
      <c r="A4691" s="2714"/>
      <c r="B4691" s="371"/>
      <c r="C4691" s="371"/>
      <c r="D4691" s="2716">
        <f t="shared" si="516"/>
        <v>1</v>
      </c>
      <c r="E4691" s="2721" t="s">
        <v>2751</v>
      </c>
      <c r="F4691" s="294"/>
      <c r="G4691" s="1529" t="s">
        <v>2752</v>
      </c>
      <c r="H4691" s="1527">
        <f>SUMPRODUCT($E4685:$E4690,H4685:H4690)</f>
        <v>0</v>
      </c>
      <c r="I4691" s="1528">
        <f>SUMPRODUCT($E4685:$E4690,I4685:I4690)</f>
        <v>0</v>
      </c>
      <c r="J4691" s="291"/>
      <c r="K4691" s="291"/>
      <c r="L4691" s="291"/>
      <c r="M4691" s="291"/>
      <c r="S4691" s="364"/>
      <c r="Z4691" s="609" t="s">
        <v>4255</v>
      </c>
      <c r="AA4691" s="609" t="s">
        <v>5706</v>
      </c>
    </row>
    <row r="4692" spans="1:27" ht="18">
      <c r="A4692" s="2714"/>
      <c r="B4692" s="371"/>
      <c r="C4692" s="371" t="s">
        <v>2755</v>
      </c>
      <c r="D4692" s="371"/>
      <c r="F4692" s="294"/>
      <c r="G4692" s="301"/>
      <c r="H4692" s="315"/>
      <c r="I4692" s="315"/>
      <c r="J4692" s="291"/>
      <c r="K4692" s="291"/>
      <c r="L4692" s="291"/>
      <c r="M4692" s="291"/>
      <c r="S4692" s="364"/>
      <c r="Z4692" s="609" t="s">
        <v>4255</v>
      </c>
      <c r="AA4692" s="609" t="s">
        <v>5706</v>
      </c>
    </row>
    <row r="4693" spans="1:27" ht="18">
      <c r="A4693" s="2714">
        <v>6602</v>
      </c>
      <c r="B4693" s="371">
        <v>64</v>
      </c>
      <c r="C4693" s="2716" t="str">
        <f>VLOOKUP($A4693,Sheet_Items,2,0)</f>
        <v>管理费用</v>
      </c>
      <c r="D4693" s="371"/>
      <c r="E4693" s="2716" t="s">
        <v>2739</v>
      </c>
      <c r="F4693" s="294"/>
      <c r="G4693" s="305" t="str">
        <f>B4693&amp;" "&amp;C4693</f>
        <v>64 管理费用</v>
      </c>
      <c r="H4693" s="306"/>
      <c r="I4693" s="306"/>
      <c r="J4693" s="306" t="s">
        <v>4206</v>
      </c>
      <c r="K4693" s="341">
        <f>VLOOKUP($A4693,Sheet_Trialbal,6,0)</f>
        <v>15303416.08</v>
      </c>
      <c r="L4693" s="342"/>
      <c r="M4693" s="306" t="s">
        <v>4207</v>
      </c>
      <c r="N4693" s="341">
        <f>VLOOKUP($A4693,Sheet_Trialbal,10,0)</f>
        <v>10602460.369999999</v>
      </c>
      <c r="O4693" s="306"/>
      <c r="P4693" s="301"/>
      <c r="S4693" s="364"/>
      <c r="Z4693" s="609" t="s">
        <v>4260</v>
      </c>
      <c r="AA4693" s="609" t="s">
        <v>5707</v>
      </c>
    </row>
    <row r="4694" spans="1:27" ht="18">
      <c r="A4694" s="2714" t="s">
        <v>1913</v>
      </c>
      <c r="B4694" s="371">
        <v>1</v>
      </c>
      <c r="C4694" s="371"/>
      <c r="D4694" s="2716" t="str">
        <f>VLOOKUP($A4694,Sheet_NoteList,2,0)</f>
        <v>管理费用明细项目</v>
      </c>
      <c r="E4694" s="2716" t="s">
        <v>2742</v>
      </c>
      <c r="F4694" s="294"/>
      <c r="G4694" s="307" t="str">
        <f>"("&amp;B4694&amp;")"&amp;D4694</f>
        <v>(1)管理费用明细项目</v>
      </c>
      <c r="H4694" s="1517" t="str">
        <f>$A4694</f>
        <v>6602a</v>
      </c>
      <c r="I4694" s="343" t="s">
        <v>2743</v>
      </c>
      <c r="J4694" s="301" t="s">
        <v>4256</v>
      </c>
      <c r="K4694" s="2210">
        <f>H4712</f>
        <v>15303416.08</v>
      </c>
      <c r="L4694" s="1535">
        <f>IF($I4694="适用",IF(ROUND(K4693-K4694,2)&gt;=0,IF(K4693&lt;&gt;0,K4694/K4693,""),"#Logical!"),"#N/A")</f>
        <v>1</v>
      </c>
      <c r="M4694" s="301" t="s">
        <v>4257</v>
      </c>
      <c r="N4694" s="2210">
        <f>I4712</f>
        <v>0</v>
      </c>
      <c r="O4694" s="1535">
        <f>IF($I4694="适用",IF(ROUND(N4693-N4694,2)&gt;=0,IF(N4693&lt;&gt;0,N4694/N4693,""),"#Logical!"),"#N/A")</f>
        <v>0</v>
      </c>
      <c r="P4694" s="301"/>
      <c r="Q4694" s="290" t="str">
        <f>IF($I4694="不适用","",IF(ROUND(SUM($H$4697:$I$4712),2)=0,"请输入",""))</f>
        <v/>
      </c>
      <c r="S4694" s="364"/>
      <c r="Z4694" s="609" t="s">
        <v>4260</v>
      </c>
      <c r="AA4694" s="609" t="s">
        <v>5707</v>
      </c>
    </row>
    <row r="4695" spans="1:27" ht="0.75" customHeight="1" thickBot="1">
      <c r="A4695" s="2714"/>
      <c r="B4695" s="371"/>
      <c r="C4695" s="371"/>
      <c r="D4695" s="371"/>
      <c r="E4695" s="586"/>
      <c r="F4695" s="586"/>
      <c r="G4695" s="586" t="s">
        <v>4261</v>
      </c>
      <c r="H4695" s="371" t="s">
        <v>4223</v>
      </c>
      <c r="I4695" s="371" t="s">
        <v>4224</v>
      </c>
      <c r="J4695" s="291"/>
      <c r="K4695" s="291"/>
      <c r="L4695" s="291"/>
      <c r="M4695" s="291"/>
      <c r="S4695" s="364"/>
      <c r="Z4695" s="609" t="s">
        <v>4260</v>
      </c>
      <c r="AA4695" s="609" t="s">
        <v>5707</v>
      </c>
    </row>
    <row r="4696" spans="1:27" ht="18">
      <c r="A4696" s="2714"/>
      <c r="B4696" s="371"/>
      <c r="C4696" s="371"/>
      <c r="D4696" s="371"/>
      <c r="E4696" s="586" t="s">
        <v>2749</v>
      </c>
      <c r="F4696" s="363"/>
      <c r="G4696" s="2449" t="s">
        <v>47</v>
      </c>
      <c r="H4696" s="2445" t="str">
        <f>$V$4</f>
        <v>2019年度</v>
      </c>
      <c r="I4696" s="2444" t="str">
        <f>$V$5</f>
        <v>2018年度</v>
      </c>
      <c r="J4696" s="355" t="s">
        <v>5329</v>
      </c>
      <c r="K4696" s="291"/>
      <c r="L4696" s="291"/>
      <c r="M4696" s="291"/>
      <c r="S4696" s="364"/>
      <c r="Z4696" s="609" t="s">
        <v>4260</v>
      </c>
      <c r="AA4696" s="609" t="s">
        <v>5707</v>
      </c>
    </row>
    <row r="4697" spans="1:27" ht="18">
      <c r="A4697" s="2714"/>
      <c r="B4697" s="371">
        <v>101</v>
      </c>
      <c r="C4697" s="371" t="s">
        <v>2791</v>
      </c>
      <c r="D4697" s="2716">
        <f t="shared" ref="D4697:D4712" si="517">IF(OR(G4697="*",G4697="",G4697=0),0,COUNTIF($G$4697:$G$4712,G4697))</f>
        <v>1</v>
      </c>
      <c r="E4697" s="2721">
        <v>1</v>
      </c>
      <c r="F4697" s="294"/>
      <c r="G4697" s="2448" t="s">
        <v>6828</v>
      </c>
      <c r="H4697" s="2275">
        <v>9324068.8800000008</v>
      </c>
      <c r="I4697" s="2296"/>
      <c r="J4697" s="291"/>
      <c r="K4697" s="291"/>
      <c r="L4697" s="291"/>
      <c r="M4697" s="291"/>
      <c r="S4697" s="364"/>
      <c r="Z4697" s="609" t="s">
        <v>4260</v>
      </c>
      <c r="AA4697" s="609" t="s">
        <v>5707</v>
      </c>
    </row>
    <row r="4698" spans="1:27" ht="18">
      <c r="A4698" s="2714"/>
      <c r="B4698" s="371">
        <v>102</v>
      </c>
      <c r="C4698" s="371" t="s">
        <v>2791</v>
      </c>
      <c r="D4698" s="2716">
        <f t="shared" si="517"/>
        <v>1</v>
      </c>
      <c r="E4698" s="2721">
        <v>1</v>
      </c>
      <c r="F4698" s="294"/>
      <c r="G4698" s="2448" t="s">
        <v>6830</v>
      </c>
      <c r="H4698" s="2275">
        <v>114059.55</v>
      </c>
      <c r="I4698" s="2296"/>
      <c r="J4698" s="291"/>
      <c r="K4698" s="291"/>
      <c r="L4698" s="291"/>
      <c r="M4698" s="291"/>
      <c r="S4698" s="364"/>
      <c r="Z4698" s="609" t="s">
        <v>4260</v>
      </c>
      <c r="AA4698" s="609" t="s">
        <v>5707</v>
      </c>
    </row>
    <row r="4699" spans="1:27" ht="18">
      <c r="A4699" s="2714"/>
      <c r="B4699" s="371">
        <v>103</v>
      </c>
      <c r="C4699" s="371" t="s">
        <v>2791</v>
      </c>
      <c r="D4699" s="2716">
        <f t="shared" si="517"/>
        <v>1</v>
      </c>
      <c r="E4699" s="2721">
        <v>1</v>
      </c>
      <c r="F4699" s="294"/>
      <c r="G4699" s="2448" t="s">
        <v>6831</v>
      </c>
      <c r="H4699" s="2275">
        <v>3579052.62</v>
      </c>
      <c r="I4699" s="2296"/>
      <c r="J4699" s="291"/>
      <c r="K4699" s="291"/>
      <c r="L4699" s="291"/>
      <c r="M4699" s="291"/>
      <c r="S4699" s="364"/>
      <c r="Z4699" s="609" t="s">
        <v>4260</v>
      </c>
      <c r="AA4699" s="609" t="s">
        <v>5707</v>
      </c>
    </row>
    <row r="4700" spans="1:27" ht="18">
      <c r="A4700" s="2714"/>
      <c r="B4700" s="371">
        <v>104</v>
      </c>
      <c r="C4700" s="371" t="s">
        <v>2791</v>
      </c>
      <c r="D4700" s="2716">
        <f t="shared" si="517"/>
        <v>1</v>
      </c>
      <c r="E4700" s="2721">
        <v>1</v>
      </c>
      <c r="F4700" s="294"/>
      <c r="G4700" s="2448" t="s">
        <v>6824</v>
      </c>
      <c r="H4700" s="2275">
        <v>525547.5</v>
      </c>
      <c r="I4700" s="2296"/>
      <c r="J4700" s="291"/>
      <c r="K4700" s="291"/>
      <c r="L4700" s="291"/>
      <c r="M4700" s="291"/>
      <c r="S4700" s="364"/>
      <c r="Z4700" s="609" t="s">
        <v>4260</v>
      </c>
      <c r="AA4700" s="609" t="s">
        <v>5707</v>
      </c>
    </row>
    <row r="4701" spans="1:27" ht="18">
      <c r="A4701" s="2714"/>
      <c r="B4701" s="371">
        <v>105</v>
      </c>
      <c r="C4701" s="371" t="s">
        <v>2791</v>
      </c>
      <c r="D4701" s="2716">
        <f t="shared" si="517"/>
        <v>1</v>
      </c>
      <c r="E4701" s="2721">
        <v>1</v>
      </c>
      <c r="F4701" s="294"/>
      <c r="G4701" s="2448" t="s">
        <v>6825</v>
      </c>
      <c r="H4701" s="2275">
        <v>1027594.06</v>
      </c>
      <c r="I4701" s="2296"/>
      <c r="J4701" s="291"/>
      <c r="K4701" s="291"/>
      <c r="L4701" s="291"/>
      <c r="M4701" s="291"/>
      <c r="S4701" s="364"/>
      <c r="Z4701" s="609" t="s">
        <v>4260</v>
      </c>
      <c r="AA4701" s="609" t="s">
        <v>5707</v>
      </c>
    </row>
    <row r="4702" spans="1:27" ht="18">
      <c r="A4702" s="2714"/>
      <c r="B4702" s="371">
        <v>106</v>
      </c>
      <c r="C4702" s="371" t="s">
        <v>2791</v>
      </c>
      <c r="D4702" s="2716">
        <f t="shared" si="517"/>
        <v>1</v>
      </c>
      <c r="E4702" s="2721">
        <v>1</v>
      </c>
      <c r="F4702" s="294"/>
      <c r="G4702" s="2448" t="s">
        <v>6832</v>
      </c>
      <c r="H4702" s="2275"/>
      <c r="I4702" s="2296"/>
      <c r="J4702" s="291"/>
      <c r="K4702" s="291"/>
      <c r="L4702" s="291"/>
      <c r="M4702" s="291"/>
      <c r="S4702" s="364"/>
      <c r="Z4702" s="609" t="s">
        <v>4260</v>
      </c>
      <c r="AA4702" s="609" t="s">
        <v>5707</v>
      </c>
    </row>
    <row r="4703" spans="1:27" ht="18">
      <c r="A4703" s="2714"/>
      <c r="B4703" s="371">
        <v>107</v>
      </c>
      <c r="C4703" s="371" t="s">
        <v>2791</v>
      </c>
      <c r="D4703" s="2716">
        <f t="shared" si="517"/>
        <v>1</v>
      </c>
      <c r="E4703" s="2721">
        <v>1</v>
      </c>
      <c r="F4703" s="294"/>
      <c r="G4703" s="2448" t="s">
        <v>6833</v>
      </c>
      <c r="H4703" s="2275">
        <v>513430.82</v>
      </c>
      <c r="I4703" s="2296"/>
      <c r="J4703" s="291"/>
      <c r="K4703" s="291"/>
      <c r="L4703" s="291"/>
      <c r="M4703" s="291"/>
      <c r="S4703" s="364"/>
      <c r="Z4703" s="609" t="s">
        <v>4260</v>
      </c>
      <c r="AA4703" s="609" t="s">
        <v>5707</v>
      </c>
    </row>
    <row r="4704" spans="1:27" ht="18">
      <c r="A4704" s="2714"/>
      <c r="B4704" s="371">
        <v>108</v>
      </c>
      <c r="C4704" s="371" t="s">
        <v>2791</v>
      </c>
      <c r="D4704" s="2716">
        <f t="shared" si="517"/>
        <v>1</v>
      </c>
      <c r="E4704" s="2721">
        <v>1</v>
      </c>
      <c r="F4704" s="294"/>
      <c r="G4704" s="2448" t="s">
        <v>6827</v>
      </c>
      <c r="H4704" s="2275">
        <v>219662.65</v>
      </c>
      <c r="I4704" s="2296"/>
      <c r="J4704" s="291"/>
      <c r="K4704" s="291"/>
      <c r="L4704" s="291"/>
      <c r="M4704" s="291"/>
      <c r="S4704" s="364"/>
      <c r="Z4704" s="609" t="s">
        <v>4260</v>
      </c>
      <c r="AA4704" s="609" t="s">
        <v>5707</v>
      </c>
    </row>
    <row r="4705" spans="1:27" ht="18">
      <c r="A4705" s="2714"/>
      <c r="B4705" s="371">
        <v>109</v>
      </c>
      <c r="C4705" s="371" t="s">
        <v>2791</v>
      </c>
      <c r="D4705" s="2716">
        <f t="shared" si="517"/>
        <v>0</v>
      </c>
      <c r="E4705" s="2721">
        <v>1</v>
      </c>
      <c r="F4705" s="294"/>
      <c r="G4705" s="2448" t="s">
        <v>2792</v>
      </c>
      <c r="H4705" s="2275"/>
      <c r="I4705" s="2296"/>
      <c r="J4705" s="291"/>
      <c r="K4705" s="291"/>
      <c r="L4705" s="291"/>
      <c r="M4705" s="291"/>
      <c r="S4705" s="364"/>
      <c r="Z4705" s="609" t="s">
        <v>4260</v>
      </c>
      <c r="AA4705" s="609" t="s">
        <v>5707</v>
      </c>
    </row>
    <row r="4706" spans="1:27" ht="18">
      <c r="A4706" s="2714"/>
      <c r="B4706" s="371">
        <v>110</v>
      </c>
      <c r="C4706" s="371" t="s">
        <v>2791</v>
      </c>
      <c r="D4706" s="2716">
        <f t="shared" si="517"/>
        <v>0</v>
      </c>
      <c r="E4706" s="2721">
        <v>1</v>
      </c>
      <c r="F4706" s="294"/>
      <c r="G4706" s="2448" t="s">
        <v>2792</v>
      </c>
      <c r="H4706" s="2275"/>
      <c r="I4706" s="2296"/>
      <c r="J4706" s="291"/>
      <c r="K4706" s="291"/>
      <c r="L4706" s="291"/>
      <c r="M4706" s="291"/>
      <c r="S4706" s="364"/>
      <c r="Z4706" s="609" t="s">
        <v>4260</v>
      </c>
      <c r="AA4706" s="609" t="s">
        <v>5707</v>
      </c>
    </row>
    <row r="4707" spans="1:27" ht="18">
      <c r="A4707" s="2714"/>
      <c r="B4707" s="371">
        <v>111</v>
      </c>
      <c r="C4707" s="371" t="s">
        <v>2791</v>
      </c>
      <c r="D4707" s="2716">
        <f t="shared" si="517"/>
        <v>0</v>
      </c>
      <c r="E4707" s="2721">
        <v>1</v>
      </c>
      <c r="F4707" s="294"/>
      <c r="G4707" s="2448" t="s">
        <v>2792</v>
      </c>
      <c r="H4707" s="2275"/>
      <c r="I4707" s="2296"/>
      <c r="J4707" s="291"/>
      <c r="K4707" s="291"/>
      <c r="L4707" s="291"/>
      <c r="M4707" s="291"/>
      <c r="S4707" s="364"/>
      <c r="Z4707" s="609" t="s">
        <v>4260</v>
      </c>
      <c r="AA4707" s="609" t="s">
        <v>5707</v>
      </c>
    </row>
    <row r="4708" spans="1:27" ht="18">
      <c r="A4708" s="2714"/>
      <c r="B4708" s="371">
        <v>112</v>
      </c>
      <c r="C4708" s="371" t="s">
        <v>2791</v>
      </c>
      <c r="D4708" s="2716">
        <f t="shared" si="517"/>
        <v>0</v>
      </c>
      <c r="E4708" s="2721">
        <v>1</v>
      </c>
      <c r="F4708" s="294"/>
      <c r="G4708" s="2448" t="s">
        <v>2792</v>
      </c>
      <c r="H4708" s="2275"/>
      <c r="I4708" s="2296"/>
      <c r="J4708" s="291"/>
      <c r="K4708" s="291"/>
      <c r="L4708" s="291"/>
      <c r="M4708" s="291"/>
      <c r="S4708" s="364"/>
      <c r="Z4708" s="609" t="s">
        <v>4260</v>
      </c>
      <c r="AA4708" s="609" t="s">
        <v>5707</v>
      </c>
    </row>
    <row r="4709" spans="1:27" ht="18">
      <c r="A4709" s="2714"/>
      <c r="B4709" s="371">
        <v>113</v>
      </c>
      <c r="C4709" s="371" t="s">
        <v>2791</v>
      </c>
      <c r="D4709" s="2716">
        <f t="shared" si="517"/>
        <v>0</v>
      </c>
      <c r="E4709" s="2721">
        <v>1</v>
      </c>
      <c r="F4709" s="294"/>
      <c r="G4709" s="2448" t="s">
        <v>2792</v>
      </c>
      <c r="H4709" s="2275"/>
      <c r="I4709" s="2296"/>
      <c r="J4709" s="291"/>
      <c r="K4709" s="291"/>
      <c r="L4709" s="291"/>
      <c r="M4709" s="291"/>
      <c r="S4709" s="364"/>
      <c r="Z4709" s="609" t="s">
        <v>4260</v>
      </c>
      <c r="AA4709" s="609" t="s">
        <v>5707</v>
      </c>
    </row>
    <row r="4710" spans="1:27" ht="18">
      <c r="A4710" s="2714"/>
      <c r="B4710" s="371">
        <v>114</v>
      </c>
      <c r="C4710" s="371" t="s">
        <v>2791</v>
      </c>
      <c r="D4710" s="2716">
        <f t="shared" si="517"/>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115</v>
      </c>
      <c r="C4711" s="371" t="s">
        <v>2791</v>
      </c>
      <c r="D4711" s="2716">
        <f t="shared" si="517"/>
        <v>0</v>
      </c>
      <c r="E4711" s="2721">
        <v>1</v>
      </c>
      <c r="F4711" s="294"/>
      <c r="G4711" s="2448" t="s">
        <v>2792</v>
      </c>
      <c r="H4711" s="2275"/>
      <c r="I4711" s="2296"/>
      <c r="J4711" s="291"/>
      <c r="K4711" s="291"/>
      <c r="L4711" s="291"/>
      <c r="M4711" s="291"/>
      <c r="S4711" s="364"/>
      <c r="Z4711" s="609" t="s">
        <v>4260</v>
      </c>
      <c r="AA4711" s="609" t="s">
        <v>5707</v>
      </c>
    </row>
    <row r="4712" spans="1:27" ht="18.75" thickBot="1">
      <c r="A4712" s="2714"/>
      <c r="B4712" s="371"/>
      <c r="C4712" s="371"/>
      <c r="D4712" s="2716">
        <f t="shared" si="517"/>
        <v>1</v>
      </c>
      <c r="E4712" s="2721" t="s">
        <v>2751</v>
      </c>
      <c r="F4712" s="294"/>
      <c r="G4712" s="374" t="s">
        <v>2752</v>
      </c>
      <c r="H4712" s="1478">
        <f>SUMPRODUCT($E4696:$E4711,H4696:H4711)</f>
        <v>15303416.08</v>
      </c>
      <c r="I4712" s="1479">
        <f>SUMPRODUCT($E4696:$E4711,I4696:I4711)</f>
        <v>0</v>
      </c>
      <c r="J4712" s="291"/>
      <c r="K4712" s="291"/>
      <c r="L4712" s="291"/>
      <c r="M4712" s="291"/>
      <c r="S4712" s="364"/>
      <c r="Z4712" s="609" t="s">
        <v>4260</v>
      </c>
      <c r="AA4712" s="609" t="s">
        <v>5707</v>
      </c>
    </row>
    <row r="4713" spans="1:27" ht="18">
      <c r="A4713" s="2714"/>
      <c r="B4713" s="371"/>
      <c r="C4713" s="371" t="s">
        <v>2755</v>
      </c>
      <c r="D4713" s="371"/>
      <c r="F4713" s="294"/>
      <c r="G4713" s="301"/>
      <c r="H4713" s="315"/>
      <c r="I4713" s="315"/>
      <c r="J4713" s="291"/>
      <c r="K4713" s="291"/>
      <c r="L4713" s="291"/>
      <c r="M4713" s="291"/>
      <c r="S4713" s="364"/>
      <c r="Z4713" s="609" t="s">
        <v>4260</v>
      </c>
      <c r="AA4713" s="609" t="s">
        <v>5707</v>
      </c>
    </row>
    <row r="4714" spans="1:27" ht="18">
      <c r="A4714" s="2714" t="s">
        <v>1916</v>
      </c>
      <c r="B4714" s="371">
        <v>2</v>
      </c>
      <c r="C4714" s="371"/>
      <c r="D4714" s="2716" t="str">
        <f>VLOOKUP($A4714,Sheet_NoteList,2,0)</f>
        <v>管理费用补充资料</v>
      </c>
      <c r="E4714" s="2716" t="s">
        <v>6532</v>
      </c>
      <c r="F4714" s="294"/>
      <c r="G4714" s="307" t="str">
        <f>"("&amp;B4714&amp;")"&amp;D4714</f>
        <v>(2)管理费用补充资料</v>
      </c>
      <c r="H4714" s="1517" t="str">
        <f>$A4714</f>
        <v>6602x</v>
      </c>
      <c r="I4714" s="343" t="s">
        <v>5966</v>
      </c>
      <c r="J4714" s="301" t="s">
        <v>5986</v>
      </c>
      <c r="K4714" s="2210">
        <f>H4722</f>
        <v>0</v>
      </c>
      <c r="L4714" s="1535"/>
      <c r="M4714" s="301" t="s">
        <v>5987</v>
      </c>
      <c r="N4714" s="2210">
        <f>I4722</f>
        <v>0</v>
      </c>
      <c r="O4714" s="1535"/>
      <c r="P4714" s="301"/>
      <c r="S4714" s="364"/>
      <c r="Z4714" s="609" t="s">
        <v>4260</v>
      </c>
      <c r="AA4714" s="609" t="s">
        <v>5707</v>
      </c>
    </row>
    <row r="4715" spans="1:27" ht="0.75" customHeight="1" thickBot="1">
      <c r="A4715" s="2714"/>
      <c r="B4715" s="371"/>
      <c r="C4715" s="371"/>
      <c r="D4715" s="371"/>
      <c r="E4715" s="586"/>
      <c r="F4715" s="586"/>
      <c r="G4715" s="586" t="s">
        <v>4262</v>
      </c>
      <c r="H4715" s="371" t="s">
        <v>4223</v>
      </c>
      <c r="I4715" s="371" t="s">
        <v>4224</v>
      </c>
      <c r="J4715" s="291"/>
      <c r="K4715" s="291"/>
      <c r="L4715" s="291"/>
      <c r="M4715" s="291"/>
      <c r="S4715" s="364"/>
      <c r="Z4715" s="609" t="s">
        <v>4260</v>
      </c>
      <c r="AA4715" s="609" t="s">
        <v>5707</v>
      </c>
    </row>
    <row r="4716" spans="1:27" ht="18">
      <c r="A4716" s="2714"/>
      <c r="B4716" s="371"/>
      <c r="C4716" s="371"/>
      <c r="D4716" s="371"/>
      <c r="E4716" s="586" t="s">
        <v>2749</v>
      </c>
      <c r="F4716" s="363"/>
      <c r="G4716" s="2451" t="s">
        <v>47</v>
      </c>
      <c r="H4716" s="2447" t="s">
        <v>4242</v>
      </c>
      <c r="I4716" s="2446" t="s">
        <v>4245</v>
      </c>
      <c r="J4716" s="355" t="s">
        <v>6141</v>
      </c>
      <c r="K4716" s="291"/>
      <c r="L4716" s="291"/>
      <c r="M4716" s="291"/>
      <c r="S4716" s="364"/>
      <c r="Z4716" s="609" t="s">
        <v>4260</v>
      </c>
      <c r="AA4716" s="609" t="s">
        <v>5707</v>
      </c>
    </row>
    <row r="4717" spans="1:27" ht="18">
      <c r="A4717" s="2714"/>
      <c r="B4717" s="371">
        <v>101</v>
      </c>
      <c r="C4717" s="371" t="s">
        <v>2791</v>
      </c>
      <c r="D4717" s="2716">
        <f t="shared" ref="D4717:D4722" si="518">IF(OR(G4717="*",G4717="",G4717=0),0,COUNTIF($G$4717:$G$4722,G4717))</f>
        <v>0</v>
      </c>
      <c r="E4717" s="2721">
        <v>1</v>
      </c>
      <c r="F4717" s="294"/>
      <c r="G4717" s="2448" t="s">
        <v>2792</v>
      </c>
      <c r="H4717" s="2275"/>
      <c r="I4717" s="2296"/>
      <c r="J4717" s="579"/>
      <c r="K4717" s="291"/>
      <c r="L4717" s="291"/>
      <c r="M4717" s="291"/>
      <c r="S4717" s="364"/>
      <c r="Z4717" s="609" t="s">
        <v>4260</v>
      </c>
      <c r="AA4717" s="609" t="s">
        <v>5707</v>
      </c>
    </row>
    <row r="4718" spans="1:27" ht="18">
      <c r="A4718" s="2714"/>
      <c r="B4718" s="371">
        <v>102</v>
      </c>
      <c r="C4718" s="371" t="s">
        <v>2791</v>
      </c>
      <c r="D4718" s="2716">
        <f t="shared" si="518"/>
        <v>0</v>
      </c>
      <c r="E4718" s="2721">
        <v>1</v>
      </c>
      <c r="F4718" s="294"/>
      <c r="G4718" s="2448" t="s">
        <v>2792</v>
      </c>
      <c r="H4718" s="2275"/>
      <c r="I4718" s="2296"/>
      <c r="J4718" s="291"/>
      <c r="K4718" s="291"/>
      <c r="L4718" s="291"/>
      <c r="M4718" s="291"/>
      <c r="S4718" s="364"/>
      <c r="Z4718" s="609" t="s">
        <v>4260</v>
      </c>
      <c r="AA4718" s="609" t="s">
        <v>5707</v>
      </c>
    </row>
    <row r="4719" spans="1:27" ht="18">
      <c r="A4719" s="2714"/>
      <c r="B4719" s="371">
        <v>103</v>
      </c>
      <c r="C4719" s="371" t="s">
        <v>2791</v>
      </c>
      <c r="D4719" s="2716">
        <f t="shared" si="518"/>
        <v>0</v>
      </c>
      <c r="E4719" s="2721">
        <v>1</v>
      </c>
      <c r="F4719" s="294"/>
      <c r="G4719" s="2448" t="s">
        <v>2792</v>
      </c>
      <c r="H4719" s="2275"/>
      <c r="I4719" s="2296"/>
      <c r="J4719" s="291"/>
      <c r="K4719" s="291"/>
      <c r="L4719" s="291"/>
      <c r="M4719" s="291"/>
      <c r="S4719" s="364"/>
      <c r="Z4719" s="609" t="s">
        <v>4260</v>
      </c>
      <c r="AA4719" s="609" t="s">
        <v>5707</v>
      </c>
    </row>
    <row r="4720" spans="1:27" ht="18">
      <c r="A4720" s="2714"/>
      <c r="B4720" s="371">
        <v>104</v>
      </c>
      <c r="C4720" s="371" t="s">
        <v>2791</v>
      </c>
      <c r="D4720" s="2716">
        <f t="shared" si="518"/>
        <v>0</v>
      </c>
      <c r="E4720" s="2721">
        <v>1</v>
      </c>
      <c r="F4720" s="294"/>
      <c r="G4720" s="2448" t="s">
        <v>2792</v>
      </c>
      <c r="H4720" s="2275"/>
      <c r="I4720" s="2296"/>
      <c r="J4720" s="291"/>
      <c r="K4720" s="291"/>
      <c r="L4720" s="291"/>
      <c r="M4720" s="291"/>
      <c r="S4720" s="364"/>
      <c r="Z4720" s="609" t="s">
        <v>4260</v>
      </c>
      <c r="AA4720" s="609" t="s">
        <v>5707</v>
      </c>
    </row>
    <row r="4721" spans="1:27" ht="18">
      <c r="A4721" s="2714"/>
      <c r="B4721" s="371">
        <v>105</v>
      </c>
      <c r="C4721" s="371" t="s">
        <v>2791</v>
      </c>
      <c r="D4721" s="2716">
        <f t="shared" si="518"/>
        <v>0</v>
      </c>
      <c r="E4721" s="2721">
        <v>1</v>
      </c>
      <c r="F4721" s="294"/>
      <c r="G4721" s="2448" t="s">
        <v>2792</v>
      </c>
      <c r="H4721" s="2275"/>
      <c r="I4721" s="2296"/>
      <c r="J4721" s="291"/>
      <c r="K4721" s="291"/>
      <c r="L4721" s="291"/>
      <c r="M4721" s="291"/>
      <c r="S4721" s="364"/>
      <c r="Z4721" s="609" t="s">
        <v>4260</v>
      </c>
      <c r="AA4721" s="609" t="s">
        <v>5707</v>
      </c>
    </row>
    <row r="4722" spans="1:27" ht="18.75" thickBot="1">
      <c r="A4722" s="2714"/>
      <c r="B4722" s="371"/>
      <c r="C4722" s="371"/>
      <c r="D4722" s="2716">
        <f t="shared" si="518"/>
        <v>1</v>
      </c>
      <c r="E4722" s="2721" t="s">
        <v>2751</v>
      </c>
      <c r="F4722" s="294"/>
      <c r="G4722" s="1529" t="s">
        <v>2752</v>
      </c>
      <c r="H4722" s="1527">
        <f>SUMPRODUCT($E4716:$E4721,H4716:H4721)</f>
        <v>0</v>
      </c>
      <c r="I4722" s="1528">
        <f>SUMPRODUCT($E4716:$E4721,I4716:I4721)</f>
        <v>0</v>
      </c>
      <c r="J4722" s="291"/>
      <c r="K4722" s="291"/>
      <c r="L4722" s="291"/>
      <c r="M4722" s="291"/>
      <c r="S4722" s="364"/>
      <c r="Z4722" s="609" t="s">
        <v>4260</v>
      </c>
      <c r="AA4722" s="609" t="s">
        <v>5707</v>
      </c>
    </row>
    <row r="4723" spans="1:27" ht="18">
      <c r="A4723" s="2714"/>
      <c r="B4723" s="371"/>
      <c r="C4723" s="371" t="s">
        <v>2755</v>
      </c>
      <c r="D4723" s="371"/>
      <c r="F4723" s="294"/>
      <c r="G4723" s="301"/>
      <c r="H4723" s="315"/>
      <c r="I4723" s="315"/>
      <c r="J4723" s="291"/>
      <c r="K4723" s="291"/>
      <c r="L4723" s="291"/>
      <c r="M4723" s="291"/>
      <c r="S4723" s="364"/>
      <c r="Z4723" s="609" t="s">
        <v>4260</v>
      </c>
      <c r="AA4723" s="609" t="s">
        <v>5707</v>
      </c>
    </row>
    <row r="4724" spans="1:27" ht="17.25">
      <c r="A4724" s="2715">
        <v>6606</v>
      </c>
      <c r="B4724" s="371">
        <v>65</v>
      </c>
      <c r="C4724" s="2716" t="str">
        <f>VLOOKUP($A4724,Sheet_Items,2,0)</f>
        <v>研发费用</v>
      </c>
      <c r="D4724" s="371"/>
      <c r="E4724" s="2716" t="s">
        <v>2739</v>
      </c>
      <c r="F4724" s="371"/>
      <c r="G4724" s="305" t="str">
        <f>B4724&amp;" "&amp;C4724</f>
        <v>65 研发费用</v>
      </c>
      <c r="H4724" s="306"/>
      <c r="I4724" s="306"/>
      <c r="J4724" s="306" t="s">
        <v>4206</v>
      </c>
      <c r="K4724" s="341">
        <f>VLOOKUP($A4724,Sheet_Trialbal,6,0)</f>
        <v>0</v>
      </c>
      <c r="L4724" s="342"/>
      <c r="M4724" s="306" t="s">
        <v>4207</v>
      </c>
      <c r="N4724" s="341">
        <f>VLOOKUP($A4724,Sheet_Trialbal,10,0)</f>
        <v>6800845.5</v>
      </c>
      <c r="O4724" s="342"/>
      <c r="P4724" s="301"/>
      <c r="S4724" s="364"/>
      <c r="Z4724" s="609" t="s">
        <v>4263</v>
      </c>
      <c r="AA4724" s="609" t="s">
        <v>5708</v>
      </c>
    </row>
    <row r="4725" spans="1:27" ht="18">
      <c r="A4725" s="2714" t="s">
        <v>1924</v>
      </c>
      <c r="B4725" s="371">
        <v>1</v>
      </c>
      <c r="C4725" s="371"/>
      <c r="D4725" s="2716" t="str">
        <f>VLOOKUP($A4725,Sheet_NoteList,2,0)</f>
        <v>研发费用明细项目</v>
      </c>
      <c r="E4725" s="2716" t="s">
        <v>2742</v>
      </c>
      <c r="F4725" s="371"/>
      <c r="G4725" s="372" t="str">
        <f>"("&amp;B4725&amp;")"&amp;D4725</f>
        <v>(1)研发费用明细项目</v>
      </c>
      <c r="H4725" s="1517" t="str">
        <f>$A4725</f>
        <v>6606a</v>
      </c>
      <c r="I4725" s="343" t="s">
        <v>2743</v>
      </c>
      <c r="J4725" s="301" t="s">
        <v>4210</v>
      </c>
      <c r="K4725" s="2210">
        <f>H4734</f>
        <v>0</v>
      </c>
      <c r="L4725" s="349" t="str">
        <f>IF($I4725="适用",IF(ROUND(K$4724-K4725,2)=0,"F/S",ROUND(K$4724-K4725,2)),"#N/A")</f>
        <v>F/S</v>
      </c>
      <c r="M4725" s="301" t="s">
        <v>4211</v>
      </c>
      <c r="N4725" s="2210">
        <f>I4734</f>
        <v>0</v>
      </c>
      <c r="O4725" s="349">
        <f>IF($I4725="适用",IF(ROUND(N$4724-N4725,2)=0,"F/S",ROUND(N$4724-N4725,2)),"#N/A")</f>
        <v>6800845.5</v>
      </c>
      <c r="P4725" s="301"/>
      <c r="S4725" s="364"/>
      <c r="Z4725" s="609" t="s">
        <v>4263</v>
      </c>
      <c r="AA4725" s="609" t="s">
        <v>5708</v>
      </c>
    </row>
    <row r="4726" spans="1:27" ht="0.75" customHeight="1" thickBot="1">
      <c r="A4726" s="2714"/>
      <c r="B4726" s="371"/>
      <c r="C4726" s="371"/>
      <c r="D4726" s="2716"/>
      <c r="E4726" s="586"/>
      <c r="F4726" s="586"/>
      <c r="G4726" s="2224" t="s">
        <v>4264</v>
      </c>
      <c r="H4726" s="371" t="s">
        <v>4223</v>
      </c>
      <c r="I4726" s="371" t="s">
        <v>4224</v>
      </c>
      <c r="J4726" s="301"/>
      <c r="K4726" s="391"/>
      <c r="L4726" s="349"/>
      <c r="M4726" s="301"/>
      <c r="N4726" s="391"/>
      <c r="O4726" s="349"/>
      <c r="P4726" s="301"/>
      <c r="S4726" s="364"/>
      <c r="Z4726" s="609" t="s">
        <v>4263</v>
      </c>
      <c r="AA4726" s="609" t="s">
        <v>5708</v>
      </c>
    </row>
    <row r="4727" spans="1:27" ht="18">
      <c r="A4727" s="2714"/>
      <c r="B4727" s="371"/>
      <c r="C4727" s="371"/>
      <c r="D4727" s="2716"/>
      <c r="E4727" s="586" t="s">
        <v>2749</v>
      </c>
      <c r="F4727" s="586"/>
      <c r="G4727" s="2567" t="s">
        <v>47</v>
      </c>
      <c r="H4727" s="2606" t="str">
        <f>$V$4</f>
        <v>2019年度</v>
      </c>
      <c r="I4727" s="2607" t="str">
        <f>$V$5</f>
        <v>2018年度</v>
      </c>
      <c r="J4727" s="355" t="s">
        <v>5330</v>
      </c>
      <c r="K4727" s="391"/>
      <c r="L4727" s="349"/>
      <c r="M4727" s="301"/>
      <c r="N4727" s="391"/>
      <c r="O4727" s="349"/>
      <c r="P4727" s="301"/>
      <c r="S4727" s="364"/>
      <c r="Z4727" s="609" t="s">
        <v>4263</v>
      </c>
      <c r="AA4727" s="609" t="s">
        <v>5708</v>
      </c>
    </row>
    <row r="4728" spans="1:27" ht="18">
      <c r="A4728" s="2714"/>
      <c r="B4728" s="371">
        <v>101</v>
      </c>
      <c r="C4728" s="371" t="s">
        <v>2791</v>
      </c>
      <c r="D4728" s="2716">
        <f t="shared" ref="D4728:D4734" si="519">IF(OR(G4728="*",G4728="",G4728=0),0,COUNTIF($G$4728:$G$4734,G4728))</f>
        <v>1</v>
      </c>
      <c r="E4728" s="2721">
        <v>1</v>
      </c>
      <c r="F4728" s="371"/>
      <c r="G4728" s="2568" t="s">
        <v>4265</v>
      </c>
      <c r="H4728" s="2275"/>
      <c r="I4728" s="2296"/>
      <c r="J4728" s="301"/>
      <c r="K4728" s="391"/>
      <c r="L4728" s="349"/>
      <c r="M4728" s="301"/>
      <c r="N4728" s="391"/>
      <c r="O4728" s="349"/>
      <c r="P4728" s="301"/>
      <c r="S4728" s="364"/>
      <c r="Z4728" s="609" t="s">
        <v>4263</v>
      </c>
      <c r="AA4728" s="609" t="s">
        <v>5708</v>
      </c>
    </row>
    <row r="4729" spans="1:27" ht="18">
      <c r="A4729" s="2714"/>
      <c r="B4729" s="371">
        <v>102</v>
      </c>
      <c r="C4729" s="371" t="s">
        <v>2791</v>
      </c>
      <c r="D4729" s="2716">
        <f t="shared" si="519"/>
        <v>1</v>
      </c>
      <c r="E4729" s="2721">
        <v>1</v>
      </c>
      <c r="F4729" s="371"/>
      <c r="G4729" s="2568" t="s">
        <v>4266</v>
      </c>
      <c r="H4729" s="2275"/>
      <c r="I4729" s="2296"/>
      <c r="J4729" s="301"/>
      <c r="K4729" s="391"/>
      <c r="L4729" s="349"/>
      <c r="M4729" s="301"/>
      <c r="N4729" s="391"/>
      <c r="O4729" s="349"/>
      <c r="P4729" s="301"/>
      <c r="S4729" s="364"/>
      <c r="Z4729" s="609" t="s">
        <v>4263</v>
      </c>
      <c r="AA4729" s="609" t="s">
        <v>5708</v>
      </c>
    </row>
    <row r="4730" spans="1:27" ht="18">
      <c r="A4730" s="2714"/>
      <c r="B4730" s="371">
        <v>103</v>
      </c>
      <c r="C4730" s="371" t="s">
        <v>2791</v>
      </c>
      <c r="D4730" s="2716">
        <f t="shared" si="519"/>
        <v>1</v>
      </c>
      <c r="E4730" s="2721">
        <v>1</v>
      </c>
      <c r="F4730" s="371"/>
      <c r="G4730" s="2568" t="s">
        <v>4267</v>
      </c>
      <c r="H4730" s="2275"/>
      <c r="I4730" s="2296"/>
      <c r="J4730" s="301"/>
      <c r="K4730" s="391"/>
      <c r="L4730" s="349"/>
      <c r="M4730" s="301"/>
      <c r="N4730" s="391"/>
      <c r="O4730" s="349"/>
      <c r="P4730" s="301"/>
      <c r="S4730" s="364"/>
      <c r="Z4730" s="609" t="s">
        <v>4263</v>
      </c>
      <c r="AA4730" s="609" t="s">
        <v>5708</v>
      </c>
    </row>
    <row r="4731" spans="1:27" ht="18">
      <c r="A4731" s="2714"/>
      <c r="B4731" s="371">
        <v>104</v>
      </c>
      <c r="C4731" s="371" t="s">
        <v>2791</v>
      </c>
      <c r="D4731" s="2716">
        <f t="shared" si="519"/>
        <v>1</v>
      </c>
      <c r="E4731" s="2721">
        <v>1</v>
      </c>
      <c r="F4731" s="371"/>
      <c r="G4731" s="2568" t="s">
        <v>4268</v>
      </c>
      <c r="H4731" s="2275"/>
      <c r="I4731" s="2296"/>
      <c r="J4731" s="301"/>
      <c r="K4731" s="391"/>
      <c r="L4731" s="349"/>
      <c r="M4731" s="301"/>
      <c r="N4731" s="391"/>
      <c r="O4731" s="349"/>
      <c r="P4731" s="301"/>
      <c r="S4731" s="364"/>
      <c r="Z4731" s="609" t="s">
        <v>4263</v>
      </c>
      <c r="AA4731" s="609" t="s">
        <v>5708</v>
      </c>
    </row>
    <row r="4732" spans="1:27" ht="18">
      <c r="A4732" s="2714"/>
      <c r="B4732" s="371">
        <v>105</v>
      </c>
      <c r="C4732" s="371" t="s">
        <v>2791</v>
      </c>
      <c r="D4732" s="2716">
        <f t="shared" si="519"/>
        <v>0</v>
      </c>
      <c r="E4732" s="2721">
        <v>1</v>
      </c>
      <c r="F4732" s="371"/>
      <c r="G4732" s="2568" t="s">
        <v>2792</v>
      </c>
      <c r="H4732" s="2275"/>
      <c r="I4732" s="2296"/>
      <c r="J4732" s="301"/>
      <c r="K4732" s="391"/>
      <c r="L4732" s="349"/>
      <c r="M4732" s="301"/>
      <c r="N4732" s="391"/>
      <c r="O4732" s="349"/>
      <c r="P4732" s="301"/>
      <c r="S4732" s="364"/>
      <c r="Z4732" s="609" t="s">
        <v>4263</v>
      </c>
      <c r="AA4732" s="609" t="s">
        <v>5708</v>
      </c>
    </row>
    <row r="4733" spans="1:27" ht="18">
      <c r="A4733" s="2714"/>
      <c r="B4733" s="371">
        <v>106</v>
      </c>
      <c r="C4733" s="371" t="s">
        <v>2791</v>
      </c>
      <c r="D4733" s="2716">
        <f t="shared" si="519"/>
        <v>0</v>
      </c>
      <c r="E4733" s="2721">
        <v>1</v>
      </c>
      <c r="F4733" s="371"/>
      <c r="G4733" s="2568" t="s">
        <v>2792</v>
      </c>
      <c r="H4733" s="2275"/>
      <c r="I4733" s="2296"/>
      <c r="J4733" s="301"/>
      <c r="K4733" s="391"/>
      <c r="L4733" s="349"/>
      <c r="M4733" s="301"/>
      <c r="N4733" s="391"/>
      <c r="O4733" s="349"/>
      <c r="P4733" s="301"/>
      <c r="S4733" s="364"/>
      <c r="Z4733" s="609" t="s">
        <v>4263</v>
      </c>
      <c r="AA4733" s="609" t="s">
        <v>5708</v>
      </c>
    </row>
    <row r="4734" spans="1:27" ht="18.75" thickBot="1">
      <c r="A4734" s="2714"/>
      <c r="B4734" s="371"/>
      <c r="C4734" s="371"/>
      <c r="D4734" s="2716">
        <f t="shared" si="519"/>
        <v>1</v>
      </c>
      <c r="E4734" s="2721" t="s">
        <v>2751</v>
      </c>
      <c r="F4734" s="371"/>
      <c r="G4734" s="374" t="s">
        <v>2752</v>
      </c>
      <c r="H4734" s="1478">
        <f>SUMPRODUCT($E4727:$E4733,H4727:H4733)</f>
        <v>0</v>
      </c>
      <c r="I4734" s="1479">
        <f>SUMPRODUCT($E4727:$E4733,I4727:I4733)</f>
        <v>0</v>
      </c>
      <c r="J4734" s="301"/>
      <c r="K4734" s="391"/>
      <c r="L4734" s="349"/>
      <c r="M4734" s="301"/>
      <c r="N4734" s="391"/>
      <c r="O4734" s="349"/>
      <c r="P4734" s="301"/>
      <c r="S4734" s="364"/>
      <c r="Z4734" s="609" t="s">
        <v>4263</v>
      </c>
      <c r="AA4734" s="609" t="s">
        <v>5708</v>
      </c>
    </row>
    <row r="4735" spans="1:27" ht="18">
      <c r="A4735" s="2714"/>
      <c r="B4735" s="371"/>
      <c r="C4735" s="371" t="s">
        <v>2755</v>
      </c>
      <c r="D4735" s="2716"/>
      <c r="F4735" s="371"/>
      <c r="G4735" s="376"/>
      <c r="H4735" s="315"/>
      <c r="I4735" s="396"/>
      <c r="J4735" s="301"/>
      <c r="K4735" s="391"/>
      <c r="L4735" s="349"/>
      <c r="M4735" s="301"/>
      <c r="N4735" s="391"/>
      <c r="O4735" s="349"/>
      <c r="P4735" s="301"/>
      <c r="S4735" s="364"/>
      <c r="Z4735" s="609" t="s">
        <v>4263</v>
      </c>
      <c r="AA4735" s="609" t="s">
        <v>5708</v>
      </c>
    </row>
    <row r="4736" spans="1:27" ht="18">
      <c r="A4736" s="2714" t="s">
        <v>6169</v>
      </c>
      <c r="B4736" s="371">
        <v>2</v>
      </c>
      <c r="C4736" s="371"/>
      <c r="D4736" s="2716" t="str">
        <f>VLOOKUP($A4736,Sheet_NoteList,2,0)</f>
        <v>研发费用补充资料</v>
      </c>
      <c r="E4736" s="2716" t="s">
        <v>6532</v>
      </c>
      <c r="F4736" s="293"/>
      <c r="G4736" s="372" t="str">
        <f>"("&amp;B4736&amp;")"&amp;D4736</f>
        <v>(2)研发费用补充资料</v>
      </c>
      <c r="H4736" s="1517" t="str">
        <f>$A4736</f>
        <v>6606x</v>
      </c>
      <c r="I4736" s="343" t="s">
        <v>6171</v>
      </c>
      <c r="J4736" s="301" t="s">
        <v>6172</v>
      </c>
      <c r="K4736" s="2210">
        <f>H4747</f>
        <v>0</v>
      </c>
      <c r="L4736" s="349" t="str">
        <f>IF($I4736="适用",IF(ROUND(K$4724-K4736,2)=0,"F/S",ROUND(K$4724-K4736,2)),"#N/A")</f>
        <v>F/S</v>
      </c>
      <c r="M4736" s="301" t="s">
        <v>6173</v>
      </c>
      <c r="N4736" s="2210">
        <f>I4747</f>
        <v>0</v>
      </c>
      <c r="O4736" s="349">
        <f>IF($I4736="适用",IF(ROUND(N$4724-N4736,2)=0,"F/S",ROUND(N$4724-N4736,2)),"#N/A")</f>
        <v>6800845.5</v>
      </c>
      <c r="P4736" s="301"/>
      <c r="S4736" s="364"/>
      <c r="Z4736" s="609" t="s">
        <v>4263</v>
      </c>
      <c r="AA4736" s="609" t="s">
        <v>5708</v>
      </c>
    </row>
    <row r="4737" spans="1:27" ht="0.75" customHeight="1" thickBot="1">
      <c r="A4737" s="2714"/>
      <c r="B4737" s="371"/>
      <c r="C4737" s="371"/>
      <c r="D4737" s="2716"/>
      <c r="E4737" s="586"/>
      <c r="F4737" s="586"/>
      <c r="G4737" s="2224" t="s">
        <v>6174</v>
      </c>
      <c r="H4737" s="371" t="s">
        <v>4223</v>
      </c>
      <c r="I4737" s="371" t="s">
        <v>4224</v>
      </c>
      <c r="J4737" s="371" t="s">
        <v>6216</v>
      </c>
      <c r="K4737" s="391"/>
      <c r="L4737" s="349"/>
      <c r="M4737" s="301"/>
      <c r="N4737" s="391"/>
      <c r="O4737" s="349"/>
      <c r="P4737" s="301"/>
      <c r="S4737" s="364"/>
      <c r="Z4737" s="609" t="s">
        <v>4263</v>
      </c>
      <c r="AA4737" s="609" t="s">
        <v>5708</v>
      </c>
    </row>
    <row r="4738" spans="1:27" ht="18">
      <c r="A4738" s="2714"/>
      <c r="B4738" s="371"/>
      <c r="C4738" s="371"/>
      <c r="D4738" s="2716"/>
      <c r="E4738" s="586" t="s">
        <v>2749</v>
      </c>
      <c r="F4738" s="414"/>
      <c r="G4738" s="2583" t="s">
        <v>47</v>
      </c>
      <c r="H4738" s="2586" t="str">
        <f>$V$4</f>
        <v>2019年度</v>
      </c>
      <c r="I4738" s="2586" t="str">
        <f>$V$5</f>
        <v>2018年度</v>
      </c>
      <c r="J4738" s="2585" t="s">
        <v>6175</v>
      </c>
      <c r="K4738" s="355" t="s">
        <v>6141</v>
      </c>
      <c r="L4738" s="349"/>
      <c r="M4738" s="301"/>
      <c r="N4738" s="391"/>
      <c r="O4738" s="349"/>
      <c r="P4738" s="301"/>
      <c r="S4738" s="364"/>
      <c r="Z4738" s="609" t="s">
        <v>4263</v>
      </c>
      <c r="AA4738" s="609" t="s">
        <v>5708</v>
      </c>
    </row>
    <row r="4739" spans="1:27" ht="18">
      <c r="A4739" s="2714"/>
      <c r="B4739" s="371">
        <v>101</v>
      </c>
      <c r="C4739" s="371" t="s">
        <v>2791</v>
      </c>
      <c r="D4739" s="2716">
        <f t="shared" ref="D4739:D4747" si="520">IF(OR(G4739="*",G4739="",G4739=0),0,COUNTIF($G$4739:$G$4747,G4739))</f>
        <v>0</v>
      </c>
      <c r="E4739" s="2721">
        <v>1</v>
      </c>
      <c r="F4739" s="293"/>
      <c r="G4739" s="2589" t="s">
        <v>2792</v>
      </c>
      <c r="H4739" s="2275"/>
      <c r="I4739" s="2275"/>
      <c r="J4739" s="2276"/>
      <c r="K4739" s="391"/>
      <c r="L4739" s="349"/>
      <c r="M4739" s="301"/>
      <c r="N4739" s="391"/>
      <c r="O4739" s="349"/>
      <c r="P4739" s="301"/>
      <c r="S4739" s="364"/>
      <c r="Z4739" s="609" t="s">
        <v>4263</v>
      </c>
      <c r="AA4739" s="609" t="s">
        <v>5708</v>
      </c>
    </row>
    <row r="4740" spans="1:27" ht="18">
      <c r="A4740" s="2714"/>
      <c r="B4740" s="371">
        <v>102</v>
      </c>
      <c r="C4740" s="371" t="s">
        <v>2791</v>
      </c>
      <c r="D4740" s="2716">
        <f t="shared" si="520"/>
        <v>0</v>
      </c>
      <c r="E4740" s="2721">
        <v>1</v>
      </c>
      <c r="F4740" s="293"/>
      <c r="G4740" s="2589" t="s">
        <v>2792</v>
      </c>
      <c r="H4740" s="2275"/>
      <c r="I4740" s="2275"/>
      <c r="J4740" s="2276"/>
      <c r="K4740" s="391"/>
      <c r="L4740" s="349"/>
      <c r="M4740" s="301"/>
      <c r="N4740" s="391"/>
      <c r="O4740" s="349"/>
      <c r="P4740" s="301"/>
      <c r="S4740" s="364"/>
      <c r="Z4740" s="609" t="s">
        <v>4263</v>
      </c>
      <c r="AA4740" s="609" t="s">
        <v>5708</v>
      </c>
    </row>
    <row r="4741" spans="1:27" ht="18">
      <c r="A4741" s="2714"/>
      <c r="B4741" s="371">
        <v>103</v>
      </c>
      <c r="C4741" s="371" t="s">
        <v>2791</v>
      </c>
      <c r="D4741" s="2716">
        <f t="shared" si="520"/>
        <v>0</v>
      </c>
      <c r="E4741" s="2721">
        <v>1</v>
      </c>
      <c r="F4741" s="293"/>
      <c r="G4741" s="2589" t="s">
        <v>2792</v>
      </c>
      <c r="H4741" s="2275"/>
      <c r="I4741" s="2275"/>
      <c r="J4741" s="2276"/>
      <c r="K4741" s="391"/>
      <c r="L4741" s="349"/>
      <c r="M4741" s="301"/>
      <c r="N4741" s="391"/>
      <c r="O4741" s="349"/>
      <c r="P4741" s="301"/>
      <c r="S4741" s="364"/>
      <c r="Z4741" s="609" t="s">
        <v>4263</v>
      </c>
      <c r="AA4741" s="609" t="s">
        <v>5708</v>
      </c>
    </row>
    <row r="4742" spans="1:27" ht="18">
      <c r="A4742" s="2714"/>
      <c r="B4742" s="371">
        <v>104</v>
      </c>
      <c r="C4742" s="371" t="s">
        <v>2791</v>
      </c>
      <c r="D4742" s="2716">
        <f t="shared" si="520"/>
        <v>0</v>
      </c>
      <c r="E4742" s="2721">
        <v>1</v>
      </c>
      <c r="F4742" s="293"/>
      <c r="G4742" s="2589" t="s">
        <v>2792</v>
      </c>
      <c r="H4742" s="2275"/>
      <c r="I4742" s="2275"/>
      <c r="J4742" s="2276"/>
      <c r="K4742" s="391"/>
      <c r="L4742" s="349"/>
      <c r="M4742" s="301"/>
      <c r="N4742" s="391"/>
      <c r="O4742" s="349"/>
      <c r="P4742" s="301"/>
      <c r="S4742" s="364"/>
      <c r="Z4742" s="609" t="s">
        <v>4263</v>
      </c>
      <c r="AA4742" s="609" t="s">
        <v>5708</v>
      </c>
    </row>
    <row r="4743" spans="1:27" ht="18">
      <c r="A4743" s="2714"/>
      <c r="B4743" s="371">
        <v>105</v>
      </c>
      <c r="C4743" s="371" t="s">
        <v>2791</v>
      </c>
      <c r="D4743" s="2716">
        <f t="shared" si="520"/>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106</v>
      </c>
      <c r="C4744" s="371" t="s">
        <v>2791</v>
      </c>
      <c r="D4744" s="2716">
        <f t="shared" si="520"/>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107</v>
      </c>
      <c r="C4745" s="371" t="s">
        <v>2791</v>
      </c>
      <c r="D4745" s="2716">
        <f t="shared" si="520"/>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108</v>
      </c>
      <c r="C4746" s="371" t="s">
        <v>2791</v>
      </c>
      <c r="D4746" s="2716">
        <f t="shared" si="520"/>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75" thickBot="1">
      <c r="A4747" s="2714"/>
      <c r="B4747" s="371"/>
      <c r="C4747" s="371"/>
      <c r="D4747" s="2716">
        <f t="shared" si="520"/>
        <v>1</v>
      </c>
      <c r="E4747" s="2721" t="s">
        <v>2751</v>
      </c>
      <c r="F4747" s="293"/>
      <c r="G4747" s="1529" t="s">
        <v>2752</v>
      </c>
      <c r="H4747" s="1527">
        <f>SUMPRODUCT($E4738:$E4746,H4738:H4746)</f>
        <v>0</v>
      </c>
      <c r="I4747" s="1527">
        <f>SUMPRODUCT($E4738:$E4746,I4738:I4746)</f>
        <v>0</v>
      </c>
      <c r="J4747" s="2266"/>
      <c r="K4747" s="391"/>
      <c r="L4747" s="349"/>
      <c r="M4747" s="301"/>
      <c r="N4747" s="391"/>
      <c r="O4747" s="349"/>
      <c r="P4747" s="301"/>
      <c r="S4747" s="364"/>
      <c r="Z4747" s="609" t="s">
        <v>4263</v>
      </c>
      <c r="AA4747" s="609" t="s">
        <v>5708</v>
      </c>
    </row>
    <row r="4748" spans="1:27" ht="18">
      <c r="A4748" s="2714"/>
      <c r="B4748" s="371"/>
      <c r="C4748" s="371" t="s">
        <v>2755</v>
      </c>
      <c r="D4748" s="2716"/>
      <c r="F4748" s="293"/>
      <c r="G4748" s="376"/>
      <c r="H4748" s="1576"/>
      <c r="I4748" s="396"/>
      <c r="J4748" s="393"/>
      <c r="K4748" s="391"/>
      <c r="L4748" s="349"/>
      <c r="M4748" s="301"/>
      <c r="N4748" s="391"/>
      <c r="O4748" s="349"/>
      <c r="P4748" s="301"/>
      <c r="S4748" s="364"/>
      <c r="Z4748" s="609" t="s">
        <v>4263</v>
      </c>
      <c r="AA4748" s="609" t="s">
        <v>5708</v>
      </c>
    </row>
    <row r="4749" spans="1:27" ht="18">
      <c r="A4749" s="2714">
        <v>6603</v>
      </c>
      <c r="B4749" s="371">
        <v>66</v>
      </c>
      <c r="C4749" s="2716" t="str">
        <f>VLOOKUP($A4749,Sheet_Items,2,0)</f>
        <v>财务费用</v>
      </c>
      <c r="D4749" s="371"/>
      <c r="E4749" s="2716" t="s">
        <v>2739</v>
      </c>
      <c r="F4749" s="294"/>
      <c r="G4749" s="305" t="str">
        <f>B4749&amp;" "&amp;C4749</f>
        <v>66 财务费用</v>
      </c>
      <c r="H4749" s="306"/>
      <c r="I4749" s="306"/>
      <c r="J4749" s="306" t="s">
        <v>4206</v>
      </c>
      <c r="K4749" s="341">
        <f>VLOOKUP($A4749,Sheet_Trialbal,6,0)</f>
        <v>1495429.05</v>
      </c>
      <c r="L4749" s="342"/>
      <c r="M4749" s="306" t="s">
        <v>4207</v>
      </c>
      <c r="N4749" s="341">
        <f>VLOOKUP($A4749,Sheet_Trialbal,10,0)</f>
        <v>4448695.43</v>
      </c>
      <c r="O4749" s="306"/>
      <c r="P4749" s="301"/>
      <c r="S4749" s="364"/>
      <c r="Z4749" s="609" t="s">
        <v>4269</v>
      </c>
      <c r="AA4749" s="609" t="s">
        <v>5709</v>
      </c>
    </row>
    <row r="4750" spans="1:27" ht="18">
      <c r="A4750" s="2714" t="s">
        <v>1919</v>
      </c>
      <c r="B4750" s="371">
        <v>1</v>
      </c>
      <c r="C4750" s="371"/>
      <c r="D4750" s="2716" t="str">
        <f>VLOOKUP($A4750,Sheet_NoteList,2,0)</f>
        <v>财务费用明细项目</v>
      </c>
      <c r="E4750" s="2716" t="s">
        <v>2742</v>
      </c>
      <c r="F4750" s="294"/>
      <c r="G4750" s="307" t="str">
        <f>"("&amp;B4750&amp;")"&amp;D4750</f>
        <v>(1)财务费用明细项目</v>
      </c>
      <c r="H4750" s="1517" t="str">
        <f>$A4750</f>
        <v>6603a</v>
      </c>
      <c r="I4750" s="343" t="s">
        <v>2743</v>
      </c>
      <c r="J4750" s="301" t="s">
        <v>4256</v>
      </c>
      <c r="K4750" s="2210">
        <f>H4763</f>
        <v>1495429.05</v>
      </c>
      <c r="L4750" s="1535">
        <f>IF($I4750="适用",IF(ROUND(K4749-K4750,2)&gt;=0,IF(K4749&lt;&gt;0,K4750/K4749,""),"#Logical!"),"#N/A")</f>
        <v>1</v>
      </c>
      <c r="M4750" s="301" t="s">
        <v>4257</v>
      </c>
      <c r="N4750" s="2210">
        <f>I4763</f>
        <v>0</v>
      </c>
      <c r="O4750" s="1535">
        <f>IF($I4750="适用",IF(ROUND(N4749-N4750,2)&gt;=0,IF(N4749&lt;&gt;0,N4750/N4749,""),"#Logical!"),"#N/A")</f>
        <v>0</v>
      </c>
      <c r="P4750" s="301"/>
      <c r="Q4750" s="290" t="str">
        <f>IF($I4750="不适用","",IF(ROUND(SUM($H$4753:$I$4763),2)=0,"请输入",""))</f>
        <v/>
      </c>
      <c r="S4750" s="364"/>
      <c r="Z4750" s="609" t="s">
        <v>4269</v>
      </c>
      <c r="AA4750" s="609" t="s">
        <v>5709</v>
      </c>
    </row>
    <row r="4751" spans="1:27" ht="0.75" customHeight="1" thickBot="1">
      <c r="A4751" s="2714"/>
      <c r="B4751" s="371"/>
      <c r="C4751" s="371"/>
      <c r="D4751" s="371"/>
      <c r="F4751" s="371"/>
      <c r="G4751" s="371" t="s">
        <v>4270</v>
      </c>
      <c r="H4751" s="371" t="s">
        <v>4223</v>
      </c>
      <c r="I4751" s="371" t="s">
        <v>4224</v>
      </c>
      <c r="J4751" s="291"/>
      <c r="K4751" s="291"/>
      <c r="L4751" s="291"/>
      <c r="M4751" s="291"/>
      <c r="S4751" s="364"/>
      <c r="Z4751" s="609" t="s">
        <v>4269</v>
      </c>
      <c r="AA4751" s="609" t="s">
        <v>5709</v>
      </c>
    </row>
    <row r="4752" spans="1:27" ht="18">
      <c r="A4752" s="2714"/>
      <c r="B4752" s="371"/>
      <c r="C4752" s="371"/>
      <c r="D4752" s="371"/>
      <c r="E4752" s="2716" t="s">
        <v>2749</v>
      </c>
      <c r="F4752" s="294"/>
      <c r="G4752" s="378" t="s">
        <v>47</v>
      </c>
      <c r="H4752" s="398" t="str">
        <f>$V$4</f>
        <v>2019年度</v>
      </c>
      <c r="I4752" s="511" t="str">
        <f>$V$5</f>
        <v>2018年度</v>
      </c>
      <c r="J4752" s="355" t="s">
        <v>5331</v>
      </c>
      <c r="K4752" s="291"/>
      <c r="L4752" s="291"/>
      <c r="M4752" s="291"/>
      <c r="S4752" s="364"/>
      <c r="Z4752" s="609" t="s">
        <v>4269</v>
      </c>
      <c r="AA4752" s="609" t="s">
        <v>5709</v>
      </c>
    </row>
    <row r="4753" spans="1:27" ht="18">
      <c r="A4753" s="2714"/>
      <c r="B4753" s="371">
        <v>101</v>
      </c>
      <c r="C4753" s="371" t="s">
        <v>2791</v>
      </c>
      <c r="D4753" s="2716">
        <f t="shared" ref="D4753:D4763" si="521">IF(OR(G4753="*",G4753="",G4753=0),0,COUNTIF($G$4753:$G$4763,G4753))</f>
        <v>1</v>
      </c>
      <c r="E4753" s="2721">
        <v>0</v>
      </c>
      <c r="F4753" s="294"/>
      <c r="G4753" s="2612" t="s">
        <v>771</v>
      </c>
      <c r="H4753" s="383">
        <f>1340674.38+141808.82</f>
        <v>1482483.2</v>
      </c>
      <c r="I4753" s="401"/>
      <c r="J4753" s="291"/>
      <c r="K4753" s="291"/>
      <c r="L4753" s="291"/>
      <c r="M4753" s="291"/>
      <c r="S4753" s="364"/>
      <c r="Z4753" s="609" t="s">
        <v>4269</v>
      </c>
      <c r="AA4753" s="609" t="s">
        <v>5709</v>
      </c>
    </row>
    <row r="4754" spans="1:27" ht="18">
      <c r="A4754" s="2714"/>
      <c r="B4754" s="371">
        <v>102</v>
      </c>
      <c r="C4754" s="371" t="s">
        <v>2791</v>
      </c>
      <c r="D4754" s="2716">
        <f t="shared" si="521"/>
        <v>1</v>
      </c>
      <c r="E4754" s="2721">
        <v>0</v>
      </c>
      <c r="F4754" s="294"/>
      <c r="G4754" s="384" t="s">
        <v>4271</v>
      </c>
      <c r="H4754" s="383">
        <v>1311.43</v>
      </c>
      <c r="I4754" s="401"/>
      <c r="J4754" s="291"/>
      <c r="K4754" s="291"/>
      <c r="L4754" s="291"/>
      <c r="M4754" s="291"/>
      <c r="S4754" s="364"/>
      <c r="Z4754" s="609" t="s">
        <v>4269</v>
      </c>
      <c r="AA4754" s="609" t="s">
        <v>5709</v>
      </c>
    </row>
    <row r="4755" spans="1:27" ht="18">
      <c r="A4755" s="2714"/>
      <c r="B4755" s="371">
        <v>103</v>
      </c>
      <c r="C4755" s="371" t="s">
        <v>2791</v>
      </c>
      <c r="D4755" s="2716">
        <f t="shared" si="521"/>
        <v>1</v>
      </c>
      <c r="E4755" s="2721">
        <v>1</v>
      </c>
      <c r="F4755" s="294"/>
      <c r="G4755" s="2612" t="s">
        <v>4272</v>
      </c>
      <c r="H4755" s="383">
        <f>H4753-H4754</f>
        <v>1481171.77</v>
      </c>
      <c r="I4755" s="401">
        <f>I4753-I4754</f>
        <v>0</v>
      </c>
      <c r="J4755" s="291"/>
      <c r="K4755" s="291"/>
      <c r="L4755" s="291"/>
      <c r="M4755" s="291"/>
      <c r="S4755" s="364"/>
      <c r="Z4755" s="609" t="s">
        <v>4269</v>
      </c>
      <c r="AA4755" s="609" t="s">
        <v>5709</v>
      </c>
    </row>
    <row r="4756" spans="1:27" ht="18">
      <c r="A4756" s="2714"/>
      <c r="B4756" s="371">
        <v>104</v>
      </c>
      <c r="C4756" s="371" t="s">
        <v>2791</v>
      </c>
      <c r="D4756" s="2716">
        <f t="shared" si="521"/>
        <v>1</v>
      </c>
      <c r="E4756" s="2721">
        <v>0</v>
      </c>
      <c r="F4756" s="294"/>
      <c r="G4756" s="2612" t="s">
        <v>4273</v>
      </c>
      <c r="H4756" s="383"/>
      <c r="I4756" s="401"/>
      <c r="J4756" s="291"/>
      <c r="K4756" s="291"/>
      <c r="L4756" s="291"/>
      <c r="M4756" s="291"/>
      <c r="S4756" s="364"/>
      <c r="Z4756" s="609" t="s">
        <v>4269</v>
      </c>
      <c r="AA4756" s="609" t="s">
        <v>5709</v>
      </c>
    </row>
    <row r="4757" spans="1:27" ht="18">
      <c r="A4757" s="2714"/>
      <c r="B4757" s="371">
        <v>105</v>
      </c>
      <c r="C4757" s="371" t="s">
        <v>2791</v>
      </c>
      <c r="D4757" s="2716">
        <f t="shared" si="521"/>
        <v>1</v>
      </c>
      <c r="E4757" s="2721">
        <v>0</v>
      </c>
      <c r="F4757" s="294"/>
      <c r="G4757" s="384" t="s">
        <v>4274</v>
      </c>
      <c r="H4757" s="383"/>
      <c r="I4757" s="401"/>
      <c r="J4757" s="291"/>
      <c r="K4757" s="291"/>
      <c r="L4757" s="291"/>
      <c r="M4757" s="291"/>
      <c r="S4757" s="364"/>
      <c r="Z4757" s="609" t="s">
        <v>4269</v>
      </c>
      <c r="AA4757" s="609" t="s">
        <v>5709</v>
      </c>
    </row>
    <row r="4758" spans="1:27" ht="18">
      <c r="A4758" s="2714"/>
      <c r="B4758" s="371">
        <v>106</v>
      </c>
      <c r="C4758" s="371" t="s">
        <v>2791</v>
      </c>
      <c r="D4758" s="2716">
        <f t="shared" si="521"/>
        <v>1</v>
      </c>
      <c r="E4758" s="2721">
        <v>1</v>
      </c>
      <c r="F4758" s="294"/>
      <c r="G4758" s="2612" t="s">
        <v>4275</v>
      </c>
      <c r="H4758" s="383">
        <f>H4756-H4757</f>
        <v>0</v>
      </c>
      <c r="I4758" s="401">
        <f>I4756-I4757</f>
        <v>0</v>
      </c>
      <c r="J4758" s="291"/>
      <c r="K4758" s="291"/>
      <c r="L4758" s="291"/>
      <c r="M4758" s="291"/>
      <c r="S4758" s="364"/>
      <c r="Z4758" s="609" t="s">
        <v>4269</v>
      </c>
      <c r="AA4758" s="609" t="s">
        <v>5709</v>
      </c>
    </row>
    <row r="4759" spans="1:27" ht="18">
      <c r="A4759" s="2714"/>
      <c r="B4759" s="371">
        <v>107</v>
      </c>
      <c r="C4759" s="371" t="s">
        <v>2791</v>
      </c>
      <c r="D4759" s="2716">
        <f t="shared" si="521"/>
        <v>1</v>
      </c>
      <c r="E4759" s="2721">
        <v>1</v>
      </c>
      <c r="F4759" s="294"/>
      <c r="G4759" s="409" t="s">
        <v>4276</v>
      </c>
      <c r="H4759" s="383">
        <v>14257.28</v>
      </c>
      <c r="I4759" s="401"/>
      <c r="J4759" s="291"/>
      <c r="K4759" s="291"/>
      <c r="L4759" s="291"/>
      <c r="M4759" s="291"/>
      <c r="S4759" s="364"/>
      <c r="Z4759" s="609" t="s">
        <v>4269</v>
      </c>
      <c r="AA4759" s="609" t="s">
        <v>5709</v>
      </c>
    </row>
    <row r="4760" spans="1:27" ht="18">
      <c r="A4760" s="2714"/>
      <c r="B4760" s="371">
        <v>108</v>
      </c>
      <c r="C4760" s="371" t="s">
        <v>2791</v>
      </c>
      <c r="D4760" s="2716">
        <f t="shared" si="521"/>
        <v>0</v>
      </c>
      <c r="E4760" s="2721">
        <v>1</v>
      </c>
      <c r="F4760" s="294"/>
      <c r="G4760" s="409" t="s">
        <v>2792</v>
      </c>
      <c r="H4760" s="383"/>
      <c r="I4760" s="401"/>
      <c r="J4760" s="291"/>
      <c r="K4760" s="291"/>
      <c r="L4760" s="291"/>
      <c r="M4760" s="291"/>
      <c r="S4760" s="364"/>
      <c r="Z4760" s="609" t="s">
        <v>4269</v>
      </c>
      <c r="AA4760" s="609" t="s">
        <v>5709</v>
      </c>
    </row>
    <row r="4761" spans="1:27" ht="18">
      <c r="A4761" s="2714"/>
      <c r="B4761" s="371">
        <v>109</v>
      </c>
      <c r="C4761" s="371" t="s">
        <v>6533</v>
      </c>
      <c r="D4761" s="2716">
        <f t="shared" si="521"/>
        <v>0</v>
      </c>
      <c r="E4761" s="2721">
        <v>1</v>
      </c>
      <c r="F4761" s="294"/>
      <c r="G4761" s="409" t="s">
        <v>2792</v>
      </c>
      <c r="H4761" s="383"/>
      <c r="I4761" s="401"/>
      <c r="J4761" s="291"/>
      <c r="K4761" s="291"/>
      <c r="L4761" s="291"/>
      <c r="M4761" s="291"/>
      <c r="S4761" s="364"/>
      <c r="Z4761" s="609" t="s">
        <v>4269</v>
      </c>
      <c r="AA4761" s="609" t="s">
        <v>5709</v>
      </c>
    </row>
    <row r="4762" spans="1:27" ht="18">
      <c r="A4762" s="2714"/>
      <c r="B4762" s="371">
        <v>110</v>
      </c>
      <c r="C4762" s="371" t="s">
        <v>2791</v>
      </c>
      <c r="D4762" s="2716">
        <f t="shared" si="521"/>
        <v>1</v>
      </c>
      <c r="E4762" s="2721">
        <v>1</v>
      </c>
      <c r="F4762" s="294"/>
      <c r="G4762" s="409" t="s">
        <v>932</v>
      </c>
      <c r="H4762" s="383"/>
      <c r="I4762" s="401"/>
      <c r="J4762" s="291"/>
      <c r="K4762" s="291"/>
      <c r="L4762" s="291"/>
      <c r="M4762" s="291"/>
      <c r="S4762" s="364"/>
      <c r="Z4762" s="609" t="s">
        <v>4269</v>
      </c>
      <c r="AA4762" s="609" t="s">
        <v>5709</v>
      </c>
    </row>
    <row r="4763" spans="1:27" ht="18.75" thickBot="1">
      <c r="A4763" s="2714"/>
      <c r="B4763" s="371"/>
      <c r="C4763" s="371"/>
      <c r="D4763" s="2716">
        <f t="shared" si="521"/>
        <v>1</v>
      </c>
      <c r="E4763" s="2721" t="s">
        <v>2751</v>
      </c>
      <c r="F4763" s="294"/>
      <c r="G4763" s="403" t="s">
        <v>2752</v>
      </c>
      <c r="H4763" s="1498">
        <f>SUMPRODUCT($E4752:$E4762,H4752:H4762)</f>
        <v>1495429.05</v>
      </c>
      <c r="I4763" s="1499">
        <f>SUMPRODUCT($E4752:$E4762,I4752:I4762)</f>
        <v>0</v>
      </c>
      <c r="J4763" s="291"/>
      <c r="K4763" s="291"/>
      <c r="L4763" s="291"/>
      <c r="M4763" s="291"/>
      <c r="S4763" s="364"/>
      <c r="Z4763" s="609" t="s">
        <v>4269</v>
      </c>
      <c r="AA4763" s="609" t="s">
        <v>5709</v>
      </c>
    </row>
    <row r="4764" spans="1:27" ht="18">
      <c r="A4764" s="2714"/>
      <c r="B4764" s="371"/>
      <c r="C4764" s="371" t="s">
        <v>2755</v>
      </c>
      <c r="D4764" s="371"/>
      <c r="F4764" s="294"/>
      <c r="G4764" s="301"/>
      <c r="H4764" s="349"/>
      <c r="I4764" s="349"/>
      <c r="J4764" s="291"/>
      <c r="K4764" s="291"/>
      <c r="L4764" s="291"/>
      <c r="M4764" s="291"/>
      <c r="S4764" s="364"/>
      <c r="Z4764" s="609" t="s">
        <v>4269</v>
      </c>
      <c r="AA4764" s="609" t="s">
        <v>5709</v>
      </c>
    </row>
    <row r="4765" spans="1:27" ht="18">
      <c r="A4765" s="2714" t="s">
        <v>1922</v>
      </c>
      <c r="B4765" s="371">
        <v>2</v>
      </c>
      <c r="C4765" s="371"/>
      <c r="D4765" s="2716" t="str">
        <f>VLOOKUP($A4765,Sheet_NoteList,2,0)</f>
        <v>财务费用补充资料</v>
      </c>
      <c r="E4765" s="2716" t="s">
        <v>6532</v>
      </c>
      <c r="F4765" s="294"/>
      <c r="G4765" s="307" t="str">
        <f>"("&amp;B4765&amp;")"&amp;D4765</f>
        <v>(2)财务费用补充资料</v>
      </c>
      <c r="H4765" s="1517" t="str">
        <f>$A4765</f>
        <v>6603x</v>
      </c>
      <c r="I4765" s="343" t="s">
        <v>5974</v>
      </c>
      <c r="J4765" s="301" t="s">
        <v>5988</v>
      </c>
      <c r="K4765" s="2210">
        <f>H4773</f>
        <v>0</v>
      </c>
      <c r="L4765" s="1535"/>
      <c r="M4765" s="301" t="s">
        <v>5989</v>
      </c>
      <c r="N4765" s="2210">
        <f>I4773</f>
        <v>0</v>
      </c>
      <c r="O4765" s="1535"/>
      <c r="P4765" s="301"/>
      <c r="S4765" s="364"/>
      <c r="Z4765" s="609" t="s">
        <v>4269</v>
      </c>
      <c r="AA4765" s="609" t="s">
        <v>5709</v>
      </c>
    </row>
    <row r="4766" spans="1:27" ht="0.75" customHeight="1" thickBot="1">
      <c r="A4766" s="2714"/>
      <c r="B4766" s="371"/>
      <c r="C4766" s="371"/>
      <c r="D4766" s="371"/>
      <c r="E4766" s="586"/>
      <c r="F4766" s="586"/>
      <c r="G4766" s="586" t="s">
        <v>4277</v>
      </c>
      <c r="H4766" s="371" t="s">
        <v>4223</v>
      </c>
      <c r="I4766" s="371" t="s">
        <v>4224</v>
      </c>
      <c r="J4766" s="291"/>
      <c r="K4766" s="291"/>
      <c r="L4766" s="291"/>
      <c r="M4766" s="291"/>
      <c r="S4766" s="364"/>
      <c r="Z4766" s="609" t="s">
        <v>4269</v>
      </c>
      <c r="AA4766" s="609" t="s">
        <v>5709</v>
      </c>
    </row>
    <row r="4767" spans="1:27" ht="18">
      <c r="A4767" s="2714"/>
      <c r="B4767" s="371"/>
      <c r="C4767" s="371"/>
      <c r="D4767" s="371"/>
      <c r="E4767" s="586" t="s">
        <v>2749</v>
      </c>
      <c r="F4767" s="363"/>
      <c r="G4767" s="2451" t="s">
        <v>47</v>
      </c>
      <c r="H4767" s="2447" t="str">
        <f>$V$4</f>
        <v>2019年度</v>
      </c>
      <c r="I4767" s="2446" t="str">
        <f>$V$5</f>
        <v>2018年度</v>
      </c>
      <c r="J4767" s="355" t="s">
        <v>6141</v>
      </c>
      <c r="K4767" s="291"/>
      <c r="L4767" s="291"/>
      <c r="M4767" s="291"/>
      <c r="S4767" s="364"/>
      <c r="Z4767" s="609" t="s">
        <v>4269</v>
      </c>
      <c r="AA4767" s="609" t="s">
        <v>5709</v>
      </c>
    </row>
    <row r="4768" spans="1:27" ht="18">
      <c r="A4768" s="2714"/>
      <c r="B4768" s="371">
        <v>101</v>
      </c>
      <c r="C4768" s="371" t="s">
        <v>2791</v>
      </c>
      <c r="D4768" s="2716">
        <f t="shared" ref="D4768:D4773" si="522">IF(OR(G4768="*",G4768="",G4768=0),0,COUNTIF($G$4768:$G$4773,G4768))</f>
        <v>0</v>
      </c>
      <c r="E4768" s="2721">
        <v>1</v>
      </c>
      <c r="F4768" s="294"/>
      <c r="G4768" s="2448" t="s">
        <v>2792</v>
      </c>
      <c r="H4768" s="2275"/>
      <c r="I4768" s="2296"/>
      <c r="J4768" s="579"/>
      <c r="K4768" s="291"/>
      <c r="L4768" s="291"/>
      <c r="M4768" s="291"/>
      <c r="S4768" s="364"/>
      <c r="Z4768" s="609" t="s">
        <v>4269</v>
      </c>
      <c r="AA4768" s="609" t="s">
        <v>5709</v>
      </c>
    </row>
    <row r="4769" spans="1:29" ht="18">
      <c r="A4769" s="2714"/>
      <c r="B4769" s="371">
        <v>102</v>
      </c>
      <c r="C4769" s="371" t="s">
        <v>2791</v>
      </c>
      <c r="D4769" s="2716">
        <f t="shared" si="522"/>
        <v>0</v>
      </c>
      <c r="E4769" s="2721">
        <v>1</v>
      </c>
      <c r="F4769" s="294"/>
      <c r="G4769" s="2448" t="s">
        <v>2792</v>
      </c>
      <c r="H4769" s="2275"/>
      <c r="I4769" s="2296"/>
      <c r="J4769" s="291"/>
      <c r="K4769" s="291"/>
      <c r="L4769" s="291"/>
      <c r="M4769" s="291"/>
      <c r="S4769" s="364"/>
      <c r="Z4769" s="609" t="s">
        <v>4269</v>
      </c>
      <c r="AA4769" s="609" t="s">
        <v>5709</v>
      </c>
    </row>
    <row r="4770" spans="1:29" ht="18">
      <c r="A4770" s="2714"/>
      <c r="B4770" s="371">
        <v>103</v>
      </c>
      <c r="C4770" s="371" t="s">
        <v>2791</v>
      </c>
      <c r="D4770" s="2716">
        <f t="shared" si="522"/>
        <v>0</v>
      </c>
      <c r="E4770" s="2721">
        <v>1</v>
      </c>
      <c r="F4770" s="294"/>
      <c r="G4770" s="2448" t="s">
        <v>2792</v>
      </c>
      <c r="H4770" s="2275"/>
      <c r="I4770" s="2296"/>
      <c r="J4770" s="291"/>
      <c r="K4770" s="291"/>
      <c r="L4770" s="291"/>
      <c r="M4770" s="291"/>
      <c r="S4770" s="364"/>
      <c r="Z4770" s="609" t="s">
        <v>4269</v>
      </c>
      <c r="AA4770" s="609" t="s">
        <v>5709</v>
      </c>
    </row>
    <row r="4771" spans="1:29" ht="18">
      <c r="A4771" s="2714"/>
      <c r="B4771" s="371">
        <v>104</v>
      </c>
      <c r="C4771" s="371" t="s">
        <v>2791</v>
      </c>
      <c r="D4771" s="2716">
        <f t="shared" si="522"/>
        <v>0</v>
      </c>
      <c r="E4771" s="2721">
        <v>1</v>
      </c>
      <c r="F4771" s="294"/>
      <c r="G4771" s="2448" t="s">
        <v>2792</v>
      </c>
      <c r="H4771" s="2275"/>
      <c r="I4771" s="2296"/>
      <c r="J4771" s="291"/>
      <c r="K4771" s="291"/>
      <c r="L4771" s="291"/>
      <c r="M4771" s="291"/>
      <c r="S4771" s="364"/>
      <c r="Z4771" s="609" t="s">
        <v>4269</v>
      </c>
      <c r="AA4771" s="609" t="s">
        <v>5709</v>
      </c>
    </row>
    <row r="4772" spans="1:29" ht="18">
      <c r="A4772" s="2714"/>
      <c r="B4772" s="371">
        <v>105</v>
      </c>
      <c r="C4772" s="371" t="s">
        <v>2791</v>
      </c>
      <c r="D4772" s="2716">
        <f t="shared" si="522"/>
        <v>0</v>
      </c>
      <c r="E4772" s="2721">
        <v>1</v>
      </c>
      <c r="F4772" s="294"/>
      <c r="G4772" s="2448" t="s">
        <v>2792</v>
      </c>
      <c r="H4772" s="2275"/>
      <c r="I4772" s="2296"/>
      <c r="J4772" s="291"/>
      <c r="K4772" s="291"/>
      <c r="L4772" s="291"/>
      <c r="M4772" s="291"/>
      <c r="S4772" s="364"/>
      <c r="Z4772" s="609" t="s">
        <v>4269</v>
      </c>
      <c r="AA4772" s="609" t="s">
        <v>5709</v>
      </c>
    </row>
    <row r="4773" spans="1:29" ht="18.75" thickBot="1">
      <c r="A4773" s="2714"/>
      <c r="B4773" s="371"/>
      <c r="C4773" s="371"/>
      <c r="D4773" s="2716">
        <f t="shared" si="522"/>
        <v>1</v>
      </c>
      <c r="E4773" s="2721" t="s">
        <v>2751</v>
      </c>
      <c r="F4773" s="294"/>
      <c r="G4773" s="1529" t="s">
        <v>2752</v>
      </c>
      <c r="H4773" s="1527">
        <f>SUMPRODUCT($E4767:$E4772,H4767:H4772)</f>
        <v>0</v>
      </c>
      <c r="I4773" s="1528">
        <f>SUMPRODUCT($E4767:$E4772,I4767:I4772)</f>
        <v>0</v>
      </c>
      <c r="J4773" s="291"/>
      <c r="K4773" s="291"/>
      <c r="L4773" s="291"/>
      <c r="M4773" s="291"/>
      <c r="S4773" s="364"/>
      <c r="Z4773" s="609" t="s">
        <v>4269</v>
      </c>
      <c r="AA4773" s="609" t="s">
        <v>5709</v>
      </c>
    </row>
    <row r="4774" spans="1:29" ht="18">
      <c r="A4774" s="2714"/>
      <c r="B4774" s="371"/>
      <c r="C4774" s="371" t="s">
        <v>2755</v>
      </c>
      <c r="D4774" s="371"/>
      <c r="F4774" s="294"/>
      <c r="G4774" s="301"/>
      <c r="H4774" s="315"/>
      <c r="I4774" s="315"/>
      <c r="J4774" s="291"/>
      <c r="K4774" s="291"/>
      <c r="L4774" s="291"/>
      <c r="M4774" s="291"/>
      <c r="S4774" s="364"/>
      <c r="Z4774" s="609" t="s">
        <v>4269</v>
      </c>
      <c r="AA4774" s="609" t="s">
        <v>5709</v>
      </c>
    </row>
    <row r="4775" spans="1:29" ht="17.25">
      <c r="A4775" s="2715">
        <v>6181</v>
      </c>
      <c r="B4775" s="371">
        <v>67</v>
      </c>
      <c r="C4775" s="2716" t="str">
        <f>VLOOKUP($A4775,Sheet_Items,2,0)</f>
        <v>其他收益</v>
      </c>
      <c r="D4775" s="371"/>
      <c r="E4775" s="2716" t="s">
        <v>2739</v>
      </c>
      <c r="F4775" s="371"/>
      <c r="G4775" s="305" t="str">
        <f>B4775&amp;" "&amp;C4775</f>
        <v>67 其他收益</v>
      </c>
      <c r="H4775" s="306"/>
      <c r="I4775" s="306"/>
      <c r="J4775" s="306" t="s">
        <v>4206</v>
      </c>
      <c r="K4775" s="341">
        <f>VLOOKUP($A4775,Sheet_Trialbal,6,0)</f>
        <v>10113.33</v>
      </c>
      <c r="L4775" s="342"/>
      <c r="M4775" s="306" t="s">
        <v>4207</v>
      </c>
      <c r="N4775" s="341">
        <f>VLOOKUP($A4775,Sheet_Trialbal,10,0)</f>
        <v>0</v>
      </c>
      <c r="O4775" s="342"/>
      <c r="P4775" s="301"/>
      <c r="S4775" s="364"/>
      <c r="Z4775" s="609" t="s">
        <v>4278</v>
      </c>
      <c r="AA4775" s="609" t="s">
        <v>5710</v>
      </c>
    </row>
    <row r="4776" spans="1:29" ht="18">
      <c r="A4776" s="2714" t="s">
        <v>1891</v>
      </c>
      <c r="B4776" s="371">
        <v>1</v>
      </c>
      <c r="C4776" s="371"/>
      <c r="D4776" s="2716" t="str">
        <f>VLOOKUP($A4776,Sheet_NoteList,2,0)</f>
        <v>其他收益明细项目</v>
      </c>
      <c r="E4776" s="2716" t="s">
        <v>2742</v>
      </c>
      <c r="F4776" s="371"/>
      <c r="G4776" s="372" t="str">
        <f>"("&amp;B4776&amp;")"&amp;D4776</f>
        <v>(1)其他收益明细项目</v>
      </c>
      <c r="H4776" s="1517" t="str">
        <f>$A4776</f>
        <v>6181a</v>
      </c>
      <c r="I4776" s="343" t="s">
        <v>2743</v>
      </c>
      <c r="J4776" s="301" t="s">
        <v>4210</v>
      </c>
      <c r="K4776" s="2210">
        <f>H4788</f>
        <v>10113.33</v>
      </c>
      <c r="L4776" s="349" t="str">
        <f>IF($I4776="适用",IF(ROUND(K$4775-K4776,2)=0,"F/S",ROUND(K$4775-K4776,2)),"#N/A")</f>
        <v>F/S</v>
      </c>
      <c r="M4776" s="301" t="s">
        <v>4211</v>
      </c>
      <c r="N4776" s="2210">
        <f>I4788</f>
        <v>0</v>
      </c>
      <c r="O4776" s="349" t="str">
        <f>IF($I4776="适用",IF(ROUND(N$4775-N4776,2)=0,"F/S",ROUND(N$4775-N4776,2)),"#N/A")</f>
        <v>F/S</v>
      </c>
      <c r="P4776" s="301"/>
      <c r="S4776" s="364"/>
      <c r="Z4776" s="609" t="s">
        <v>4278</v>
      </c>
      <c r="AA4776" s="609" t="s">
        <v>5710</v>
      </c>
    </row>
    <row r="4777" spans="1:29" ht="0.75" customHeight="1" thickBot="1">
      <c r="A4777" s="2714"/>
      <c r="B4777" s="371"/>
      <c r="C4777" s="371"/>
      <c r="D4777" s="2716"/>
      <c r="E4777" s="586"/>
      <c r="F4777" s="586"/>
      <c r="G4777" s="2224" t="s">
        <v>4279</v>
      </c>
      <c r="H4777" s="371" t="s">
        <v>4223</v>
      </c>
      <c r="I4777" s="371" t="s">
        <v>4224</v>
      </c>
      <c r="J4777" s="371" t="s">
        <v>3671</v>
      </c>
      <c r="K4777" s="391"/>
      <c r="L4777" s="349"/>
      <c r="M4777" s="301"/>
      <c r="N4777" s="391"/>
      <c r="O4777" s="349"/>
      <c r="P4777" s="301"/>
      <c r="S4777" s="364"/>
      <c r="Z4777" s="609" t="s">
        <v>4278</v>
      </c>
      <c r="AA4777" s="609" t="s">
        <v>5710</v>
      </c>
    </row>
    <row r="4778" spans="1:29" ht="24">
      <c r="A4778" s="2714"/>
      <c r="B4778" s="371"/>
      <c r="C4778" s="371"/>
      <c r="D4778" s="2716"/>
      <c r="E4778" s="586" t="s">
        <v>2749</v>
      </c>
      <c r="F4778" s="586"/>
      <c r="G4778" s="2449" t="s">
        <v>4280</v>
      </c>
      <c r="H4778" s="2445" t="str">
        <f>$V$4</f>
        <v>2019年度</v>
      </c>
      <c r="I4778" s="2445" t="str">
        <f>$V$5</f>
        <v>2018年度</v>
      </c>
      <c r="J4778" s="2444" t="s">
        <v>6090</v>
      </c>
      <c r="K4778" s="355" t="s">
        <v>5332</v>
      </c>
      <c r="L4778" s="349"/>
      <c r="M4778" s="301"/>
      <c r="N4778" s="391"/>
      <c r="O4778" s="349"/>
      <c r="P4778" s="301"/>
      <c r="S4778" s="364"/>
      <c r="Z4778" s="609" t="s">
        <v>4278</v>
      </c>
      <c r="AA4778" s="609" t="s">
        <v>5710</v>
      </c>
    </row>
    <row r="4779" spans="1:29" ht="18">
      <c r="A4779" s="2714"/>
      <c r="B4779" s="371">
        <v>101</v>
      </c>
      <c r="C4779" s="371"/>
      <c r="D4779" s="2716">
        <f t="shared" ref="D4779:D4788" si="523">IF(OR(G4779="*",G4779="",G4779=0),0,COUNTIF($G$4779:$G$4788,G4779))</f>
        <v>1</v>
      </c>
      <c r="E4779" s="2721">
        <v>1</v>
      </c>
      <c r="F4779" s="371"/>
      <c r="G4779" s="1474" t="s">
        <v>4281</v>
      </c>
      <c r="H4779" s="1476">
        <f>SUM(H4780:H4783)</f>
        <v>10030.16</v>
      </c>
      <c r="I4779" s="1476">
        <f>SUM(I4780:I4783)</f>
        <v>0</v>
      </c>
      <c r="J4779" s="2276"/>
      <c r="L4779" s="2675"/>
      <c r="M4779" s="2672" t="s">
        <v>6362</v>
      </c>
      <c r="N4779" s="2673" t="s">
        <v>6363</v>
      </c>
      <c r="O4779" s="349"/>
      <c r="P4779" s="301"/>
      <c r="S4779" s="364"/>
      <c r="Z4779" s="609" t="s">
        <v>4278</v>
      </c>
      <c r="AA4779" s="609" t="s">
        <v>5710</v>
      </c>
    </row>
    <row r="4780" spans="1:29" ht="24">
      <c r="A4780" s="2714"/>
      <c r="B4780" s="371">
        <v>102</v>
      </c>
      <c r="C4780" s="371"/>
      <c r="D4780" s="2716">
        <f t="shared" si="523"/>
        <v>1</v>
      </c>
      <c r="E4780" s="2721">
        <v>0</v>
      </c>
      <c r="F4780" s="371"/>
      <c r="G4780" s="1474" t="s">
        <v>4282</v>
      </c>
      <c r="H4780" s="2275"/>
      <c r="I4780" s="2275"/>
      <c r="J4780" s="2276" t="s">
        <v>4283</v>
      </c>
      <c r="K4780" s="1533" t="str">
        <f ca="1">HYPERLINK("#'"&amp;$G$1&amp;"'!"&amp;ADDRESS(ROW(Notes!H4792),COLUMN(Notes!H4792),4),"* 请勿删除此行！点击往勾稽单元格，F5+Enter返回")</f>
        <v>* 请勿删除此行！点击往勾稽单元格，F5+Enter返回</v>
      </c>
      <c r="L4780" s="2675"/>
      <c r="M4780" s="1604"/>
      <c r="N4780" s="2673" t="s">
        <v>6364</v>
      </c>
      <c r="O4780" s="349"/>
      <c r="P4780" s="301"/>
      <c r="S4780" s="364"/>
      <c r="Z4780" s="609" t="s">
        <v>4278</v>
      </c>
      <c r="AA4780" s="609" t="s">
        <v>5710</v>
      </c>
      <c r="AC4780" s="369" t="s">
        <v>2794</v>
      </c>
    </row>
    <row r="4781" spans="1:29" ht="24">
      <c r="A4781" s="2714"/>
      <c r="B4781" s="371">
        <v>103</v>
      </c>
      <c r="C4781" s="371"/>
      <c r="D4781" s="2716">
        <f t="shared" si="523"/>
        <v>1</v>
      </c>
      <c r="E4781" s="2721">
        <v>0</v>
      </c>
      <c r="F4781" s="371"/>
      <c r="G4781" s="603" t="s">
        <v>4284</v>
      </c>
      <c r="H4781" s="2275"/>
      <c r="I4781" s="2275"/>
      <c r="J4781" s="2276" t="s">
        <v>4285</v>
      </c>
      <c r="K4781" s="1533" t="str">
        <f ca="1">HYPERLINK("#'"&amp;$G$1&amp;"'!"&amp;ADDRESS(ROW(Notes!H4793),COLUMN(Notes!H4793),4),"* 请勿删除此行！点击往勾稽单元格，F5+Enter返回")</f>
        <v>* 请勿删除此行！点击往勾稽单元格，F5+Enter返回</v>
      </c>
      <c r="L4781" s="349"/>
      <c r="M4781" s="301"/>
      <c r="N4781" s="391"/>
      <c r="O4781" s="349"/>
      <c r="P4781" s="301"/>
      <c r="S4781" s="364"/>
      <c r="Z4781" s="609" t="s">
        <v>4278</v>
      </c>
      <c r="AA4781" s="609" t="s">
        <v>5710</v>
      </c>
      <c r="AC4781" s="369" t="s">
        <v>2794</v>
      </c>
    </row>
    <row r="4782" spans="1:29" ht="24">
      <c r="A4782" s="2714"/>
      <c r="B4782" s="371">
        <v>104</v>
      </c>
      <c r="C4782" s="371"/>
      <c r="D4782" s="2716">
        <f t="shared" si="523"/>
        <v>1</v>
      </c>
      <c r="E4782" s="2721">
        <v>0</v>
      </c>
      <c r="F4782" s="371"/>
      <c r="G4782" s="603" t="s">
        <v>4286</v>
      </c>
      <c r="H4782" s="2275"/>
      <c r="I4782" s="2275"/>
      <c r="J4782" s="2276"/>
      <c r="K4782" s="391"/>
      <c r="L4782" s="349"/>
      <c r="M4782" s="301"/>
      <c r="N4782" s="391"/>
      <c r="O4782" s="349"/>
      <c r="P4782" s="301"/>
      <c r="S4782" s="364"/>
      <c r="Z4782" s="609" t="s">
        <v>4278</v>
      </c>
      <c r="AA4782" s="609" t="s">
        <v>5710</v>
      </c>
    </row>
    <row r="4783" spans="1:29" ht="18">
      <c r="A4783" s="2714"/>
      <c r="B4783" s="371">
        <v>105</v>
      </c>
      <c r="C4783" s="371" t="s">
        <v>2791</v>
      </c>
      <c r="D4783" s="2716">
        <f t="shared" si="523"/>
        <v>1</v>
      </c>
      <c r="E4783" s="2721">
        <v>0</v>
      </c>
      <c r="F4783" s="371"/>
      <c r="G4783" s="2448" t="s">
        <v>6834</v>
      </c>
      <c r="H4783" s="2275">
        <v>10030.16</v>
      </c>
      <c r="I4783" s="2275"/>
      <c r="J4783" s="2276" t="s">
        <v>4285</v>
      </c>
      <c r="K4783" s="391"/>
      <c r="L4783" s="349"/>
      <c r="M4783" s="301"/>
      <c r="N4783" s="391"/>
      <c r="O4783" s="349"/>
      <c r="P4783" s="301"/>
      <c r="S4783" s="364"/>
      <c r="Z4783" s="609" t="s">
        <v>4278</v>
      </c>
      <c r="AA4783" s="609" t="s">
        <v>5710</v>
      </c>
    </row>
    <row r="4784" spans="1:29" ht="24">
      <c r="A4784" s="2714"/>
      <c r="B4784" s="371">
        <v>106</v>
      </c>
      <c r="C4784" s="371"/>
      <c r="D4784" s="2716">
        <f t="shared" si="523"/>
        <v>1</v>
      </c>
      <c r="E4784" s="2721">
        <v>1</v>
      </c>
      <c r="F4784" s="371"/>
      <c r="G4784" s="1474" t="s">
        <v>6146</v>
      </c>
      <c r="H4784" s="1476">
        <f>SUM(H4785:H4787)</f>
        <v>83.17</v>
      </c>
      <c r="I4784" s="1476">
        <f>SUM(I4785:I4787)</f>
        <v>0</v>
      </c>
      <c r="J4784" s="2276"/>
      <c r="K4784" s="391"/>
      <c r="L4784" s="349"/>
      <c r="M4784" s="301"/>
      <c r="N4784" s="391"/>
      <c r="O4784" s="349"/>
      <c r="P4784" s="301"/>
      <c r="S4784" s="364"/>
      <c r="Z4784" s="609" t="s">
        <v>4278</v>
      </c>
      <c r="AA4784" s="609" t="s">
        <v>5710</v>
      </c>
    </row>
    <row r="4785" spans="1:27" ht="18">
      <c r="A4785" s="2714"/>
      <c r="B4785" s="371">
        <v>107</v>
      </c>
      <c r="C4785" s="371"/>
      <c r="D4785" s="2716">
        <f t="shared" si="523"/>
        <v>1</v>
      </c>
      <c r="E4785" s="2721">
        <v>0</v>
      </c>
      <c r="F4785" s="371"/>
      <c r="G4785" s="1474" t="s">
        <v>4287</v>
      </c>
      <c r="H4785" s="2275">
        <v>83.17</v>
      </c>
      <c r="I4785" s="2275"/>
      <c r="J4785" s="2276" t="s">
        <v>4285</v>
      </c>
      <c r="K4785" s="391"/>
      <c r="L4785" s="349"/>
      <c r="M4785" s="301"/>
      <c r="N4785" s="391"/>
      <c r="O4785" s="349"/>
      <c r="P4785" s="301"/>
      <c r="S4785" s="364"/>
      <c r="Z4785" s="609" t="s">
        <v>4278</v>
      </c>
      <c r="AA4785" s="609" t="s">
        <v>5710</v>
      </c>
    </row>
    <row r="4786" spans="1:27" ht="18">
      <c r="A4786" s="2714"/>
      <c r="B4786" s="371">
        <v>108</v>
      </c>
      <c r="C4786" s="371" t="s">
        <v>2791</v>
      </c>
      <c r="D4786" s="2716">
        <f t="shared" si="523"/>
        <v>0</v>
      </c>
      <c r="E4786" s="2721">
        <v>0</v>
      </c>
      <c r="F4786" s="371"/>
      <c r="G4786" s="2448" t="s">
        <v>2792</v>
      </c>
      <c r="H4786" s="2275"/>
      <c r="I4786" s="2275"/>
      <c r="J4786" s="2276"/>
      <c r="K4786" s="391"/>
      <c r="L4786" s="349"/>
      <c r="M4786" s="301"/>
      <c r="N4786" s="391"/>
      <c r="O4786" s="349"/>
      <c r="P4786" s="301"/>
      <c r="S4786" s="364"/>
      <c r="Z4786" s="609" t="s">
        <v>4278</v>
      </c>
      <c r="AA4786" s="609" t="s">
        <v>5710</v>
      </c>
    </row>
    <row r="4787" spans="1:27" ht="18">
      <c r="A4787" s="2714"/>
      <c r="B4787" s="371">
        <v>109</v>
      </c>
      <c r="C4787" s="371" t="s">
        <v>2791</v>
      </c>
      <c r="D4787" s="2716">
        <f t="shared" si="523"/>
        <v>0</v>
      </c>
      <c r="E4787" s="2721">
        <v>0</v>
      </c>
      <c r="F4787" s="371"/>
      <c r="G4787" s="2448" t="s">
        <v>2792</v>
      </c>
      <c r="H4787" s="2275"/>
      <c r="I4787" s="2275"/>
      <c r="J4787" s="2276"/>
      <c r="K4787" s="391"/>
      <c r="L4787" s="349"/>
      <c r="M4787" s="301"/>
      <c r="N4787" s="391"/>
      <c r="O4787" s="349"/>
      <c r="P4787" s="301"/>
      <c r="S4787" s="364"/>
      <c r="Z4787" s="609" t="s">
        <v>4278</v>
      </c>
      <c r="AA4787" s="609" t="s">
        <v>5710</v>
      </c>
    </row>
    <row r="4788" spans="1:27" ht="18.75" thickBot="1">
      <c r="A4788" s="2714"/>
      <c r="B4788" s="371"/>
      <c r="C4788" s="371"/>
      <c r="D4788" s="2716">
        <f t="shared" si="523"/>
        <v>1</v>
      </c>
      <c r="E4788" s="2721" t="s">
        <v>2751</v>
      </c>
      <c r="F4788" s="371"/>
      <c r="G4788" s="374" t="s">
        <v>2752</v>
      </c>
      <c r="H4788" s="1478">
        <f>SUMPRODUCT($E4778:$E4787,H4778:H4787)</f>
        <v>10113.33</v>
      </c>
      <c r="I4788" s="1478">
        <f>SUMPRODUCT($E4778:$E4787,I4778:I4787)</f>
        <v>0</v>
      </c>
      <c r="J4788" s="2260"/>
      <c r="K4788" s="391"/>
      <c r="L4788" s="349"/>
      <c r="M4788" s="301"/>
      <c r="N4788" s="391"/>
      <c r="O4788" s="349"/>
      <c r="P4788" s="301"/>
      <c r="S4788" s="364"/>
      <c r="Z4788" s="609" t="s">
        <v>4278</v>
      </c>
      <c r="AA4788" s="609" t="s">
        <v>5710</v>
      </c>
    </row>
    <row r="4789" spans="1:27" ht="18.75" thickBot="1">
      <c r="A4789" s="2714"/>
      <c r="B4789" s="371"/>
      <c r="C4789" s="371" t="s">
        <v>2755</v>
      </c>
      <c r="D4789" s="2716"/>
      <c r="F4789" s="371"/>
      <c r="G4789" s="376"/>
      <c r="H4789" s="527" t="s">
        <v>3002</v>
      </c>
      <c r="I4789" s="2253"/>
      <c r="J4789" s="393"/>
      <c r="K4789" s="391"/>
      <c r="L4789" s="349"/>
      <c r="M4789" s="301"/>
      <c r="N4789" s="391"/>
      <c r="O4789" s="349"/>
      <c r="P4789" s="301"/>
      <c r="S4789" s="364"/>
      <c r="Z4789" s="609" t="s">
        <v>4278</v>
      </c>
      <c r="AA4789" s="609" t="s">
        <v>5710</v>
      </c>
    </row>
    <row r="4790" spans="1:27" ht="18.75" thickTop="1">
      <c r="A4790" s="2714"/>
      <c r="B4790" s="371"/>
      <c r="C4790" s="371" t="s">
        <v>2565</v>
      </c>
      <c r="D4790" s="2716"/>
      <c r="F4790" s="371"/>
      <c r="G4790" s="1549" t="s">
        <v>5367</v>
      </c>
      <c r="H4790" s="1550" t="str">
        <f>G4269</f>
        <v>(2)递延收益（涉及政府补助的项目）</v>
      </c>
      <c r="I4790" s="1552"/>
      <c r="J4790" s="1551"/>
      <c r="K4790" s="1553" t="s">
        <v>5368</v>
      </c>
      <c r="L4790" s="349"/>
      <c r="M4790" s="301"/>
      <c r="N4790" s="391"/>
      <c r="O4790" s="349"/>
      <c r="P4790" s="301"/>
      <c r="S4790" s="364"/>
      <c r="Z4790" s="609" t="s">
        <v>4278</v>
      </c>
      <c r="AA4790" s="609" t="s">
        <v>5710</v>
      </c>
    </row>
    <row r="4791" spans="1:27" ht="18">
      <c r="A4791" s="2714"/>
      <c r="B4791" s="371"/>
      <c r="C4791" s="371" t="s">
        <v>2565</v>
      </c>
      <c r="D4791" s="2716"/>
      <c r="F4791" s="371"/>
      <c r="G4791" s="604" t="str">
        <f>"注释A:"&amp; G4277</f>
        <v>注释A:合       计</v>
      </c>
      <c r="H4791" s="2252">
        <f ca="1">HYPERLINK("#'"&amp;$G$1&amp;"'!"&amp;ADDRESS(ROW(Notes!K4277),COLUMN(Notes!K4277),4),K4277)</f>
        <v>0</v>
      </c>
      <c r="I4791" s="456"/>
      <c r="J4791" s="351"/>
      <c r="K4791" s="2632" t="str">
        <f>H4269</f>
        <v>2401b</v>
      </c>
      <c r="L4791" s="349"/>
      <c r="M4791" s="301"/>
      <c r="N4791" s="391"/>
      <c r="O4791" s="349"/>
      <c r="P4791" s="301"/>
      <c r="S4791" s="364"/>
      <c r="Z4791" s="609" t="s">
        <v>4278</v>
      </c>
      <c r="AA4791" s="609" t="s">
        <v>5710</v>
      </c>
    </row>
    <row r="4792" spans="1:27" ht="36">
      <c r="A4792" s="2714"/>
      <c r="B4792" s="371"/>
      <c r="C4792" s="371" t="s">
        <v>2565</v>
      </c>
      <c r="D4792" s="2716"/>
      <c r="F4792" s="371"/>
      <c r="G4792" s="604" t="str">
        <f>"本注释B:"&amp; G4780</f>
        <v>本注释B:其中：与递延收益相关的政府补助（与资产相关）</v>
      </c>
      <c r="H4792" s="2252">
        <f ca="1">HYPERLINK("#'"&amp;$G$1&amp;"'!"&amp;ADDRESS(ROW(Notes!H4780),COLUMN(Notes!H4780),4),H4780)</f>
        <v>0</v>
      </c>
      <c r="I4792" s="456"/>
      <c r="J4792" s="351"/>
      <c r="K4792" s="2638" t="s">
        <v>1891</v>
      </c>
      <c r="L4792" s="349"/>
      <c r="M4792" s="301"/>
      <c r="N4792" s="391"/>
      <c r="O4792" s="349"/>
      <c r="P4792" s="301"/>
      <c r="S4792" s="364"/>
      <c r="Z4792" s="609" t="s">
        <v>4278</v>
      </c>
      <c r="AA4792" s="609" t="s">
        <v>5710</v>
      </c>
    </row>
    <row r="4793" spans="1:27" ht="36">
      <c r="A4793" s="2714"/>
      <c r="B4793" s="371"/>
      <c r="C4793" s="371" t="s">
        <v>2565</v>
      </c>
      <c r="D4793" s="2716"/>
      <c r="F4793" s="371"/>
      <c r="G4793" s="604" t="str">
        <f>"加：本注释B:"&amp; G4781</f>
        <v>加：本注释B:与递延收益相关的政府补助（与收益相关）</v>
      </c>
      <c r="H4793" s="2252">
        <f ca="1">HYPERLINK("#'"&amp;$G$1&amp;"'!"&amp;ADDRESS(ROW(Notes!H4781),COLUMN(Notes!H4781),4),H4781)</f>
        <v>0</v>
      </c>
      <c r="I4793" s="456"/>
      <c r="J4793" s="351"/>
      <c r="K4793" s="2638" t="s">
        <v>1891</v>
      </c>
      <c r="L4793" s="349"/>
      <c r="M4793" s="301"/>
      <c r="N4793" s="391"/>
      <c r="O4793" s="349"/>
      <c r="P4793" s="301"/>
      <c r="S4793" s="364"/>
      <c r="Z4793" s="609" t="s">
        <v>4278</v>
      </c>
      <c r="AA4793" s="609" t="s">
        <v>5710</v>
      </c>
    </row>
    <row r="4794" spans="1:27" ht="18.75" thickBot="1">
      <c r="A4794" s="2714"/>
      <c r="B4794" s="371"/>
      <c r="C4794" s="371" t="s">
        <v>2565</v>
      </c>
      <c r="D4794" s="2716"/>
      <c r="F4794" s="371"/>
      <c r="G4794" s="1554" t="s">
        <v>2757</v>
      </c>
      <c r="H4794" s="1531">
        <f ca="1">IF(AND(H4791="",H4793=""),"",ROUND(H4791-H4793-H4792,2))</f>
        <v>0</v>
      </c>
      <c r="I4794" s="1531"/>
      <c r="J4794" s="1555"/>
      <c r="K4794" s="1555"/>
      <c r="L4794" s="349"/>
      <c r="M4794" s="301"/>
      <c r="N4794" s="391"/>
      <c r="O4794" s="349"/>
      <c r="P4794" s="301"/>
      <c r="S4794" s="364"/>
      <c r="Z4794" s="609" t="s">
        <v>4278</v>
      </c>
      <c r="AA4794" s="609" t="s">
        <v>5710</v>
      </c>
    </row>
    <row r="4795" spans="1:27" ht="18.75" thickTop="1">
      <c r="A4795" s="2714"/>
      <c r="B4795" s="371"/>
      <c r="C4795" s="371" t="s">
        <v>2565</v>
      </c>
      <c r="D4795" s="2716"/>
      <c r="F4795" s="371"/>
      <c r="G4795" s="1545"/>
      <c r="H4795" s="459" t="str">
        <f ca="1">IF(OR(H4794=0,H4794=""),"√","？")</f>
        <v>√</v>
      </c>
      <c r="I4795" s="461"/>
      <c r="J4795" s="317"/>
      <c r="K4795" s="317"/>
      <c r="L4795" s="349"/>
      <c r="M4795" s="301"/>
      <c r="N4795" s="391"/>
      <c r="O4795" s="349"/>
      <c r="P4795" s="301"/>
      <c r="S4795" s="364"/>
      <c r="Z4795" s="609" t="s">
        <v>4278</v>
      </c>
      <c r="AA4795" s="609" t="s">
        <v>5710</v>
      </c>
    </row>
    <row r="4796" spans="1:27" ht="18">
      <c r="A4796" s="2714"/>
      <c r="B4796" s="371"/>
      <c r="C4796" s="371" t="s">
        <v>2565</v>
      </c>
      <c r="D4796" s="2716"/>
      <c r="F4796" s="371"/>
      <c r="G4796" s="1559" t="s">
        <v>2759</v>
      </c>
      <c r="H4796" s="461"/>
      <c r="I4796" s="461"/>
      <c r="J4796" s="317"/>
      <c r="K4796" s="352">
        <f ca="1">SUMIF($H$4795:$K$4795,"&lt;&gt;√",$H$4794:$K$4794)</f>
        <v>0</v>
      </c>
      <c r="L4796" s="475" t="str">
        <f ca="1">IF(OR(K4796=0,K4796=""),"√","？")</f>
        <v>√</v>
      </c>
      <c r="M4796" s="301"/>
      <c r="N4796" s="391"/>
      <c r="O4796" s="349"/>
      <c r="P4796" s="301"/>
      <c r="S4796" s="364"/>
      <c r="Z4796" s="609" t="s">
        <v>4278</v>
      </c>
      <c r="AA4796" s="609" t="s">
        <v>5710</v>
      </c>
    </row>
    <row r="4797" spans="1:27" ht="18">
      <c r="A4797" s="2714"/>
      <c r="B4797" s="371"/>
      <c r="C4797" s="371" t="s">
        <v>2565</v>
      </c>
      <c r="D4797" s="2716"/>
      <c r="F4797" s="371"/>
      <c r="G4797" s="1545"/>
      <c r="H4797" s="461"/>
      <c r="I4797" s="461"/>
      <c r="J4797" s="317"/>
      <c r="K4797" s="317"/>
      <c r="L4797" s="349"/>
      <c r="M4797" s="301"/>
      <c r="N4797" s="391"/>
      <c r="O4797" s="349"/>
      <c r="P4797" s="301"/>
      <c r="S4797" s="364"/>
      <c r="Z4797" s="609" t="s">
        <v>4278</v>
      </c>
      <c r="AA4797" s="609" t="s">
        <v>5710</v>
      </c>
    </row>
    <row r="4798" spans="1:27" ht="18">
      <c r="A4798" s="2714">
        <v>6111</v>
      </c>
      <c r="B4798" s="371">
        <v>68</v>
      </c>
      <c r="C4798" s="2716" t="str">
        <f>VLOOKUP($A4798,Sheet_Items,2,0)</f>
        <v>投资收益</v>
      </c>
      <c r="D4798" s="371"/>
      <c r="E4798" s="2716" t="s">
        <v>2739</v>
      </c>
      <c r="F4798" s="294"/>
      <c r="G4798" s="305" t="str">
        <f>B4798&amp;" "&amp;C4798</f>
        <v>68 投资收益</v>
      </c>
      <c r="H4798" s="306"/>
      <c r="I4798" s="306"/>
      <c r="J4798" s="306" t="s">
        <v>4206</v>
      </c>
      <c r="K4798" s="341">
        <f>VLOOKUP($A4798,Sheet_Trialbal,6,0)</f>
        <v>0</v>
      </c>
      <c r="L4798" s="342"/>
      <c r="M4798" s="306" t="s">
        <v>4207</v>
      </c>
      <c r="N4798" s="341">
        <f>VLOOKUP($A4798,Sheet_Trialbal,10,0)</f>
        <v>0</v>
      </c>
      <c r="O4798" s="306"/>
      <c r="P4798" s="301"/>
      <c r="S4798" s="364"/>
      <c r="Z4798" s="609" t="s">
        <v>4288</v>
      </c>
      <c r="AA4798" s="609" t="s">
        <v>5711</v>
      </c>
    </row>
    <row r="4799" spans="1:27" ht="18">
      <c r="A4799" s="2714" t="s">
        <v>1885</v>
      </c>
      <c r="B4799" s="371">
        <v>1</v>
      </c>
      <c r="C4799" s="371"/>
      <c r="D4799" s="2716" t="str">
        <f>VLOOKUP($A4799,Sheet_NoteList,2,0)</f>
        <v>投资收益明细项目</v>
      </c>
      <c r="E4799" s="2716" t="s">
        <v>2742</v>
      </c>
      <c r="F4799" s="294"/>
      <c r="G4799" s="307" t="str">
        <f>"("&amp;B4799&amp;")"&amp;D4799</f>
        <v>(1)投资收益明细项目</v>
      </c>
      <c r="H4799" s="1517" t="str">
        <f>$A4799</f>
        <v>6111a</v>
      </c>
      <c r="I4799" s="343" t="s">
        <v>2743</v>
      </c>
      <c r="J4799" s="301" t="s">
        <v>4210</v>
      </c>
      <c r="K4799" s="2210">
        <f>H4818</f>
        <v>0</v>
      </c>
      <c r="L4799" s="345" t="str">
        <f>IF($I4799="适用",IF(ROUND(K4798-K4799,2)=0,"F/S",ROUND(K4798-K4799,2)),"#N/A")</f>
        <v>F/S</v>
      </c>
      <c r="M4799" s="301" t="s">
        <v>4211</v>
      </c>
      <c r="N4799" s="2210">
        <f>I4818</f>
        <v>0</v>
      </c>
      <c r="O4799" s="345" t="str">
        <f>IF($I4799="适用",IF(ROUND(N4798-N4799,2)=0,"F/S",ROUND(N4798-N4799,2)),"#N/A")</f>
        <v>F/S</v>
      </c>
      <c r="P4799" s="301"/>
      <c r="Q4799" s="290" t="str">
        <f>IF($I4799="不适用","",IF(ROUND(SUM($H$4802:$I$4818),2)=0,"请输入",""))</f>
        <v>请输入</v>
      </c>
      <c r="S4799" s="364"/>
      <c r="Z4799" s="609" t="s">
        <v>4288</v>
      </c>
      <c r="AA4799" s="609" t="s">
        <v>5711</v>
      </c>
    </row>
    <row r="4800" spans="1:27" ht="0.75" customHeight="1" thickBot="1">
      <c r="A4800" s="2714"/>
      <c r="B4800" s="371"/>
      <c r="C4800" s="371"/>
      <c r="D4800" s="371"/>
      <c r="F4800" s="294"/>
      <c r="G4800" s="294" t="s">
        <v>4289</v>
      </c>
      <c r="H4800" s="294" t="s">
        <v>4223</v>
      </c>
      <c r="I4800" s="294" t="s">
        <v>4224</v>
      </c>
      <c r="J4800" s="291"/>
      <c r="K4800" s="291"/>
      <c r="L4800" s="291"/>
      <c r="M4800" s="291"/>
      <c r="S4800" s="364"/>
      <c r="Z4800" s="609" t="s">
        <v>4288</v>
      </c>
      <c r="AA4800" s="609" t="s">
        <v>5711</v>
      </c>
    </row>
    <row r="4801" spans="1:27" ht="18">
      <c r="A4801" s="2714"/>
      <c r="B4801" s="371"/>
      <c r="C4801" s="371"/>
      <c r="D4801" s="371"/>
      <c r="E4801" s="2716" t="s">
        <v>2749</v>
      </c>
      <c r="F4801" s="294"/>
      <c r="G4801" s="378" t="s">
        <v>47</v>
      </c>
      <c r="H4801" s="398" t="str">
        <f>$V$4</f>
        <v>2019年度</v>
      </c>
      <c r="I4801" s="511" t="str">
        <f>$V$5</f>
        <v>2018年度</v>
      </c>
      <c r="J4801" s="355" t="s">
        <v>5333</v>
      </c>
      <c r="K4801" s="291"/>
      <c r="L4801" s="291"/>
      <c r="M4801" s="291"/>
      <c r="S4801" s="364"/>
      <c r="Z4801" s="609" t="s">
        <v>4288</v>
      </c>
      <c r="AA4801" s="609" t="s">
        <v>5711</v>
      </c>
    </row>
    <row r="4802" spans="1:27" ht="24">
      <c r="A4802" s="2714"/>
      <c r="B4802" s="371">
        <v>101</v>
      </c>
      <c r="C4802" s="371"/>
      <c r="D4802" s="2716">
        <f t="shared" ref="D4802:D4818" si="524">IF(OR(G4802="*",G4802="",G4802=0),0,COUNTIF($G$4802:$G$4818,G4802))</f>
        <v>1</v>
      </c>
      <c r="E4802" s="2721">
        <v>1</v>
      </c>
      <c r="F4802" s="294"/>
      <c r="G4802" s="380" t="s">
        <v>4290</v>
      </c>
      <c r="H4802" s="383"/>
      <c r="I4802" s="401"/>
      <c r="J4802" s="291"/>
      <c r="K4802" s="355" t="s">
        <v>6361</v>
      </c>
      <c r="L4802" s="2677" t="s">
        <v>6368</v>
      </c>
      <c r="M4802" s="291"/>
      <c r="S4802" s="364"/>
      <c r="Z4802" s="609" t="s">
        <v>4288</v>
      </c>
      <c r="AA4802" s="609" t="s">
        <v>5711</v>
      </c>
    </row>
    <row r="4803" spans="1:27" ht="24">
      <c r="A4803" s="2714"/>
      <c r="B4803" s="371">
        <v>102</v>
      </c>
      <c r="C4803" s="371"/>
      <c r="D4803" s="2716">
        <f t="shared" si="524"/>
        <v>1</v>
      </c>
      <c r="E4803" s="2721">
        <v>1</v>
      </c>
      <c r="F4803" s="294"/>
      <c r="G4803" s="380" t="s">
        <v>4291</v>
      </c>
      <c r="H4803" s="383"/>
      <c r="I4803" s="401"/>
      <c r="J4803" s="291"/>
      <c r="K4803" s="291"/>
      <c r="L4803" s="291"/>
      <c r="M4803" s="291"/>
      <c r="S4803" s="364"/>
      <c r="Z4803" s="609" t="s">
        <v>4288</v>
      </c>
      <c r="AA4803" s="609" t="s">
        <v>5711</v>
      </c>
    </row>
    <row r="4804" spans="1:27" ht="36">
      <c r="A4804" s="2714"/>
      <c r="B4804" s="371">
        <v>103</v>
      </c>
      <c r="C4804" s="371"/>
      <c r="D4804" s="2716">
        <f t="shared" si="524"/>
        <v>1</v>
      </c>
      <c r="E4804" s="2721">
        <v>1</v>
      </c>
      <c r="F4804" s="294"/>
      <c r="G4804" s="380" t="s">
        <v>4292</v>
      </c>
      <c r="H4804" s="2329">
        <v>0</v>
      </c>
      <c r="I4804" s="401"/>
      <c r="J4804" s="291"/>
      <c r="K4804" s="291"/>
      <c r="L4804" s="291"/>
      <c r="M4804" s="291"/>
      <c r="S4804" s="364"/>
      <c r="Z4804" s="609" t="s">
        <v>4288</v>
      </c>
      <c r="AA4804" s="609" t="s">
        <v>5711</v>
      </c>
    </row>
    <row r="4805" spans="1:27" ht="36">
      <c r="A4805" s="2714"/>
      <c r="B4805" s="371">
        <v>104</v>
      </c>
      <c r="C4805" s="371"/>
      <c r="D4805" s="2716">
        <f t="shared" si="524"/>
        <v>1</v>
      </c>
      <c r="E4805" s="2721">
        <v>1</v>
      </c>
      <c r="F4805" s="294"/>
      <c r="G4805" s="380" t="s">
        <v>4293</v>
      </c>
      <c r="H4805" s="2329">
        <v>0</v>
      </c>
      <c r="I4805" s="401"/>
      <c r="J4805" s="291"/>
      <c r="K4805" s="291"/>
      <c r="L4805" s="291"/>
      <c r="M4805" s="291"/>
      <c r="S4805" s="364"/>
      <c r="Z4805" s="609" t="s">
        <v>4288</v>
      </c>
      <c r="AA4805" s="609" t="s">
        <v>5711</v>
      </c>
    </row>
    <row r="4806" spans="1:27" ht="24">
      <c r="A4806" s="2714"/>
      <c r="B4806" s="371">
        <v>105</v>
      </c>
      <c r="C4806" s="371"/>
      <c r="D4806" s="2716">
        <f t="shared" si="524"/>
        <v>1</v>
      </c>
      <c r="E4806" s="2721">
        <v>1</v>
      </c>
      <c r="F4806" s="294"/>
      <c r="G4806" s="380" t="s">
        <v>4294</v>
      </c>
      <c r="H4806" s="2329">
        <v>0</v>
      </c>
      <c r="I4806" s="401"/>
      <c r="J4806" s="291"/>
      <c r="K4806" s="291"/>
      <c r="L4806" s="291"/>
      <c r="M4806" s="291"/>
      <c r="S4806" s="364"/>
      <c r="Z4806" s="609" t="s">
        <v>4288</v>
      </c>
      <c r="AA4806" s="609" t="s">
        <v>5711</v>
      </c>
    </row>
    <row r="4807" spans="1:27" ht="24">
      <c r="A4807" s="2714"/>
      <c r="B4807" s="371">
        <v>106</v>
      </c>
      <c r="C4807" s="371"/>
      <c r="D4807" s="2716">
        <f t="shared" si="524"/>
        <v>1</v>
      </c>
      <c r="E4807" s="2721">
        <v>1</v>
      </c>
      <c r="F4807" s="294"/>
      <c r="G4807" s="380" t="s">
        <v>4295</v>
      </c>
      <c r="H4807" s="2329">
        <v>0</v>
      </c>
      <c r="I4807" s="401"/>
      <c r="J4807" s="291"/>
      <c r="K4807" s="291"/>
      <c r="L4807" s="291"/>
      <c r="M4807" s="291"/>
      <c r="S4807" s="364"/>
      <c r="Z4807" s="609" t="s">
        <v>4288</v>
      </c>
      <c r="AA4807" s="609" t="s">
        <v>5711</v>
      </c>
    </row>
    <row r="4808" spans="1:27" ht="24">
      <c r="A4808" s="2714"/>
      <c r="B4808" s="371">
        <v>107</v>
      </c>
      <c r="C4808" s="371"/>
      <c r="D4808" s="2716">
        <f t="shared" si="524"/>
        <v>1</v>
      </c>
      <c r="E4808" s="2721">
        <v>1</v>
      </c>
      <c r="F4808" s="294"/>
      <c r="G4808" s="380" t="s">
        <v>4296</v>
      </c>
      <c r="H4808" s="2329">
        <v>0</v>
      </c>
      <c r="I4808" s="401"/>
      <c r="J4808" s="291"/>
      <c r="K4808" s="291"/>
      <c r="L4808" s="291"/>
      <c r="M4808" s="291"/>
      <c r="S4808" s="364"/>
      <c r="Z4808" s="609" t="s">
        <v>4288</v>
      </c>
      <c r="AA4808" s="609" t="s">
        <v>5711</v>
      </c>
    </row>
    <row r="4809" spans="1:27" ht="24">
      <c r="A4809" s="2714"/>
      <c r="B4809" s="371">
        <v>108</v>
      </c>
      <c r="C4809" s="371"/>
      <c r="D4809" s="2716">
        <f t="shared" si="524"/>
        <v>1</v>
      </c>
      <c r="E4809" s="2721">
        <v>1</v>
      </c>
      <c r="F4809" s="294"/>
      <c r="G4809" s="380" t="s">
        <v>4297</v>
      </c>
      <c r="H4809" s="383"/>
      <c r="I4809" s="401"/>
      <c r="J4809" s="291"/>
      <c r="K4809" s="291"/>
      <c r="L4809" s="291"/>
      <c r="M4809" s="291"/>
      <c r="S4809" s="364"/>
      <c r="Z4809" s="609" t="s">
        <v>4288</v>
      </c>
      <c r="AA4809" s="609" t="s">
        <v>5711</v>
      </c>
    </row>
    <row r="4810" spans="1:27" ht="24">
      <c r="A4810" s="2714"/>
      <c r="B4810" s="371">
        <v>109</v>
      </c>
      <c r="C4810" s="371"/>
      <c r="D4810" s="2716">
        <f t="shared" si="524"/>
        <v>1</v>
      </c>
      <c r="E4810" s="2721">
        <v>1</v>
      </c>
      <c r="F4810" s="294"/>
      <c r="G4810" s="380" t="s">
        <v>4298</v>
      </c>
      <c r="H4810" s="383"/>
      <c r="I4810" s="1500">
        <v>0</v>
      </c>
      <c r="J4810" s="291"/>
      <c r="K4810" s="291"/>
      <c r="L4810" s="291"/>
      <c r="M4810" s="291"/>
      <c r="S4810" s="364"/>
      <c r="Z4810" s="609" t="s">
        <v>4288</v>
      </c>
      <c r="AA4810" s="609" t="s">
        <v>5711</v>
      </c>
    </row>
    <row r="4811" spans="1:27" ht="24">
      <c r="A4811" s="2714"/>
      <c r="B4811" s="371">
        <v>110</v>
      </c>
      <c r="C4811" s="371"/>
      <c r="D4811" s="2716">
        <f t="shared" si="524"/>
        <v>1</v>
      </c>
      <c r="E4811" s="2721">
        <v>1</v>
      </c>
      <c r="F4811" s="294"/>
      <c r="G4811" s="409" t="s">
        <v>4299</v>
      </c>
      <c r="H4811" s="383"/>
      <c r="I4811" s="1500">
        <v>0</v>
      </c>
      <c r="J4811" s="291"/>
      <c r="K4811" s="291"/>
      <c r="L4811" s="291"/>
      <c r="M4811" s="291"/>
      <c r="S4811" s="364"/>
      <c r="Z4811" s="609" t="s">
        <v>4288</v>
      </c>
      <c r="AA4811" s="609" t="s">
        <v>5711</v>
      </c>
    </row>
    <row r="4812" spans="1:27" ht="24">
      <c r="A4812" s="2714"/>
      <c r="B4812" s="371">
        <v>111</v>
      </c>
      <c r="C4812" s="371"/>
      <c r="D4812" s="2716">
        <f t="shared" si="524"/>
        <v>1</v>
      </c>
      <c r="E4812" s="2721">
        <v>1</v>
      </c>
      <c r="F4812" s="294"/>
      <c r="G4812" s="409" t="s">
        <v>4300</v>
      </c>
      <c r="H4812" s="383"/>
      <c r="I4812" s="1500">
        <v>0</v>
      </c>
      <c r="J4812" s="291"/>
      <c r="K4812" s="291"/>
      <c r="L4812" s="291"/>
      <c r="M4812" s="291"/>
      <c r="S4812" s="364"/>
      <c r="Z4812" s="609" t="s">
        <v>4288</v>
      </c>
      <c r="AA4812" s="609" t="s">
        <v>5711</v>
      </c>
    </row>
    <row r="4813" spans="1:27" ht="24">
      <c r="A4813" s="2714"/>
      <c r="B4813" s="371">
        <v>112</v>
      </c>
      <c r="C4813" s="371"/>
      <c r="D4813" s="2716">
        <f t="shared" si="524"/>
        <v>1</v>
      </c>
      <c r="E4813" s="2721">
        <v>1</v>
      </c>
      <c r="F4813" s="294"/>
      <c r="G4813" s="409" t="s">
        <v>4301</v>
      </c>
      <c r="H4813" s="383"/>
      <c r="I4813" s="1500">
        <v>0</v>
      </c>
      <c r="J4813" s="291"/>
      <c r="K4813" s="291"/>
      <c r="L4813" s="291"/>
      <c r="M4813" s="291"/>
      <c r="S4813" s="364"/>
      <c r="Z4813" s="609" t="s">
        <v>4288</v>
      </c>
      <c r="AA4813" s="609" t="s">
        <v>5711</v>
      </c>
    </row>
    <row r="4814" spans="1:27" ht="24">
      <c r="A4814" s="2714"/>
      <c r="B4814" s="371">
        <v>113</v>
      </c>
      <c r="C4814" s="371"/>
      <c r="D4814" s="2716">
        <f t="shared" si="524"/>
        <v>1</v>
      </c>
      <c r="E4814" s="2721">
        <v>1</v>
      </c>
      <c r="F4814" s="294"/>
      <c r="G4814" s="409" t="s">
        <v>4302</v>
      </c>
      <c r="H4814" s="383"/>
      <c r="I4814" s="1500">
        <v>0</v>
      </c>
      <c r="J4814" s="291"/>
      <c r="K4814" s="291"/>
      <c r="L4814" s="291"/>
      <c r="M4814" s="291"/>
      <c r="S4814" s="364"/>
      <c r="Z4814" s="609" t="s">
        <v>4288</v>
      </c>
      <c r="AA4814" s="609" t="s">
        <v>5711</v>
      </c>
    </row>
    <row r="4815" spans="1:27" ht="24">
      <c r="A4815" s="2714"/>
      <c r="B4815" s="371">
        <v>114</v>
      </c>
      <c r="C4815" s="371"/>
      <c r="D4815" s="2716">
        <f t="shared" si="524"/>
        <v>1</v>
      </c>
      <c r="E4815" s="2721">
        <v>1</v>
      </c>
      <c r="F4815" s="294"/>
      <c r="G4815" s="380" t="s">
        <v>4303</v>
      </c>
      <c r="H4815" s="383"/>
      <c r="I4815" s="1500">
        <v>0</v>
      </c>
      <c r="J4815" s="291"/>
      <c r="K4815" s="291"/>
      <c r="L4815" s="291"/>
      <c r="M4815" s="291"/>
      <c r="S4815" s="364"/>
      <c r="Z4815" s="609" t="s">
        <v>4288</v>
      </c>
      <c r="AA4815" s="609" t="s">
        <v>5711</v>
      </c>
    </row>
    <row r="4816" spans="1:27" ht="24">
      <c r="A4816" s="2714"/>
      <c r="B4816" s="371">
        <v>115</v>
      </c>
      <c r="C4816" s="371"/>
      <c r="D4816" s="2716">
        <f t="shared" si="524"/>
        <v>1</v>
      </c>
      <c r="E4816" s="2721">
        <v>1</v>
      </c>
      <c r="F4816" s="294"/>
      <c r="G4816" s="380" t="s">
        <v>4304</v>
      </c>
      <c r="H4816" s="383"/>
      <c r="I4816" s="1500">
        <v>0</v>
      </c>
      <c r="J4816" s="291"/>
      <c r="K4816" s="291"/>
      <c r="L4816" s="291"/>
      <c r="M4816" s="291"/>
      <c r="S4816" s="364"/>
      <c r="Z4816" s="609" t="s">
        <v>4288</v>
      </c>
      <c r="AA4816" s="609" t="s">
        <v>5711</v>
      </c>
    </row>
    <row r="4817" spans="1:27" ht="18">
      <c r="A4817" s="2714"/>
      <c r="B4817" s="371">
        <v>116</v>
      </c>
      <c r="C4817" s="371" t="s">
        <v>2791</v>
      </c>
      <c r="D4817" s="2716">
        <f t="shared" si="524"/>
        <v>0</v>
      </c>
      <c r="E4817" s="2721">
        <v>1</v>
      </c>
      <c r="F4817" s="294"/>
      <c r="G4817" s="409" t="s">
        <v>2792</v>
      </c>
      <c r="H4817" s="383"/>
      <c r="I4817" s="401"/>
      <c r="J4817" s="291"/>
      <c r="K4817" s="291"/>
      <c r="L4817" s="291"/>
      <c r="M4817" s="291"/>
      <c r="S4817" s="364"/>
      <c r="Z4817" s="609" t="s">
        <v>4288</v>
      </c>
      <c r="AA4817" s="609" t="s">
        <v>5711</v>
      </c>
    </row>
    <row r="4818" spans="1:27" ht="18.75" thickBot="1">
      <c r="A4818" s="2714"/>
      <c r="B4818" s="371"/>
      <c r="C4818" s="371"/>
      <c r="D4818" s="2716">
        <f t="shared" si="524"/>
        <v>1</v>
      </c>
      <c r="E4818" s="2721" t="s">
        <v>2751</v>
      </c>
      <c r="F4818" s="294"/>
      <c r="G4818" s="403" t="s">
        <v>2752</v>
      </c>
      <c r="H4818" s="404">
        <f>SUMPRODUCT($E4801:$E4817,H4801:H4817)</f>
        <v>0</v>
      </c>
      <c r="I4818" s="413">
        <f>SUMPRODUCT($E4801:$E4817,I4801:I4817)</f>
        <v>0</v>
      </c>
      <c r="J4818" s="291"/>
      <c r="K4818" s="291"/>
      <c r="L4818" s="291"/>
      <c r="M4818" s="291"/>
      <c r="S4818" s="364"/>
      <c r="Z4818" s="609" t="s">
        <v>4288</v>
      </c>
      <c r="AA4818" s="609" t="s">
        <v>5711</v>
      </c>
    </row>
    <row r="4819" spans="1:27" ht="18">
      <c r="A4819" s="2714"/>
      <c r="B4819" s="371"/>
      <c r="C4819" s="371" t="s">
        <v>2755</v>
      </c>
      <c r="D4819" s="2716"/>
      <c r="F4819" s="293"/>
      <c r="G4819" s="376"/>
      <c r="H4819" s="315"/>
      <c r="I4819" s="396"/>
      <c r="J4819" s="425"/>
      <c r="K4819" s="426"/>
      <c r="L4819" s="427"/>
      <c r="M4819" s="425"/>
      <c r="N4819" s="426"/>
      <c r="O4819" s="427"/>
      <c r="P4819" s="425"/>
      <c r="Q4819" s="442"/>
      <c r="R4819" s="443"/>
      <c r="S4819" s="364"/>
      <c r="Z4819" s="609" t="s">
        <v>4288</v>
      </c>
      <c r="AA4819" s="609" t="s">
        <v>5711</v>
      </c>
    </row>
    <row r="4820" spans="1:27" ht="17.25">
      <c r="A4820" s="2715">
        <v>6102</v>
      </c>
      <c r="B4820" s="371">
        <v>69</v>
      </c>
      <c r="C4820" s="2716" t="str">
        <f>VLOOKUP($A4820,Sheet_Items,2,0)</f>
        <v>净敞口套期收益</v>
      </c>
      <c r="D4820" s="371"/>
      <c r="E4820" s="2716" t="s">
        <v>2739</v>
      </c>
      <c r="F4820" s="293"/>
      <c r="G4820" s="305" t="str">
        <f>B4820&amp;" "&amp;C4820</f>
        <v>69 净敞口套期收益</v>
      </c>
      <c r="H4820" s="306"/>
      <c r="I4820" s="306"/>
      <c r="J4820" s="306" t="s">
        <v>4206</v>
      </c>
      <c r="K4820" s="341">
        <f>VLOOKUP($A4820,Sheet_Trialbal,6,0)</f>
        <v>0</v>
      </c>
      <c r="L4820" s="342"/>
      <c r="M4820" s="306" t="s">
        <v>4207</v>
      </c>
      <c r="N4820" s="341">
        <f>VLOOKUP($A4820,Sheet_Trialbal,10,0)</f>
        <v>0</v>
      </c>
      <c r="O4820" s="342"/>
      <c r="P4820" s="301"/>
      <c r="S4820" s="364"/>
      <c r="Z4820" s="609" t="s">
        <v>4305</v>
      </c>
      <c r="AA4820" s="609" t="s">
        <v>4306</v>
      </c>
    </row>
    <row r="4821" spans="1:27" ht="24">
      <c r="A4821" s="2714" t="s">
        <v>1882</v>
      </c>
      <c r="B4821" s="371">
        <v>1</v>
      </c>
      <c r="C4821" s="371"/>
      <c r="D4821" s="2716" t="str">
        <f>VLOOKUP($A4821,Sheet_NoteList,2,0)</f>
        <v>净敞口套期收益明细项目</v>
      </c>
      <c r="E4821" s="2716" t="s">
        <v>2742</v>
      </c>
      <c r="F4821" s="293"/>
      <c r="G4821" s="372" t="str">
        <f>"("&amp;B4821&amp;")"&amp;D4821</f>
        <v>(1)净敞口套期收益明细项目</v>
      </c>
      <c r="H4821" s="1517" t="str">
        <f>$A4821</f>
        <v>6102a</v>
      </c>
      <c r="I4821" s="343" t="s">
        <v>2743</v>
      </c>
      <c r="J4821" s="301" t="s">
        <v>4210</v>
      </c>
      <c r="K4821" s="2210">
        <f>H4832</f>
        <v>0</v>
      </c>
      <c r="L4821" s="349" t="str">
        <f>IF($I4821="适用",IF(ROUND(K$4820-K4821,2)=0,"F/S",ROUND(K$4820-K4821,2)),"#N/A")</f>
        <v>F/S</v>
      </c>
      <c r="M4821" s="301" t="s">
        <v>4211</v>
      </c>
      <c r="N4821" s="2210">
        <f>I4832</f>
        <v>0</v>
      </c>
      <c r="O4821" s="349" t="str">
        <f>IF($I4821="适用",IF(ROUND(N$4820-N4821,2)=0,"F/S",ROUND(N$4820-N4821,2)),"#N/A")</f>
        <v>F/S</v>
      </c>
      <c r="P4821" s="301"/>
      <c r="S4821" s="364"/>
      <c r="Z4821" s="609" t="s">
        <v>4305</v>
      </c>
      <c r="AA4821" s="609" t="s">
        <v>4306</v>
      </c>
    </row>
    <row r="4822" spans="1:27" ht="0.75" customHeight="1" thickBot="1">
      <c r="A4822" s="2714"/>
      <c r="B4822" s="371"/>
      <c r="C4822" s="371"/>
      <c r="D4822" s="2716"/>
      <c r="F4822" s="371"/>
      <c r="G4822" s="405" t="s">
        <v>4307</v>
      </c>
      <c r="H4822" s="371" t="s">
        <v>2747</v>
      </c>
      <c r="I4822" s="371" t="s">
        <v>2748</v>
      </c>
      <c r="J4822" s="433"/>
      <c r="K4822" s="428"/>
      <c r="L4822" s="428"/>
      <c r="M4822" s="433"/>
      <c r="N4822" s="428"/>
      <c r="O4822" s="428"/>
      <c r="P4822" s="433"/>
      <c r="Q4822" s="442"/>
      <c r="R4822" s="443"/>
      <c r="S4822" s="364"/>
      <c r="Z4822" s="609" t="s">
        <v>4305</v>
      </c>
      <c r="AA4822" s="609" t="s">
        <v>4306</v>
      </c>
    </row>
    <row r="4823" spans="1:27" ht="18">
      <c r="A4823" s="2714"/>
      <c r="B4823" s="371"/>
      <c r="C4823" s="371"/>
      <c r="D4823" s="2716"/>
      <c r="E4823" s="2716" t="s">
        <v>2749</v>
      </c>
      <c r="F4823" s="293"/>
      <c r="G4823" s="2305" t="s">
        <v>47</v>
      </c>
      <c r="H4823" s="2291" t="str">
        <f>$V$4</f>
        <v>2019年度</v>
      </c>
      <c r="I4823" s="2293" t="str">
        <f>$V$5</f>
        <v>2018年度</v>
      </c>
      <c r="J4823" s="355" t="s">
        <v>5334</v>
      </c>
      <c r="K4823" s="434"/>
      <c r="L4823" s="434"/>
      <c r="M4823" s="435"/>
      <c r="N4823" s="434"/>
      <c r="O4823" s="434"/>
      <c r="P4823" s="435"/>
      <c r="Q4823" s="442"/>
      <c r="R4823" s="443"/>
      <c r="S4823" s="364"/>
      <c r="Z4823" s="609" t="s">
        <v>4305</v>
      </c>
      <c r="AA4823" s="609" t="s">
        <v>4306</v>
      </c>
    </row>
    <row r="4824" spans="1:27" ht="18">
      <c r="A4824" s="2714"/>
      <c r="B4824" s="371">
        <v>101</v>
      </c>
      <c r="C4824" s="371" t="s">
        <v>2791</v>
      </c>
      <c r="D4824" s="2716">
        <f t="shared" ref="D4824:D4832" si="525">IF(OR(G4824="*",G4824="",G4824=0),0,COUNTIF($G$4824:$G$4832,G4824))</f>
        <v>0</v>
      </c>
      <c r="E4824" s="2721">
        <v>1</v>
      </c>
      <c r="F4824" s="293"/>
      <c r="G4824" s="319" t="s">
        <v>2792</v>
      </c>
      <c r="H4824" s="309"/>
      <c r="I4824" s="1475">
        <v>0</v>
      </c>
      <c r="J4824" s="438"/>
      <c r="K4824" s="439"/>
      <c r="L4824" s="437"/>
      <c r="M4824" s="438"/>
      <c r="N4824" s="439"/>
      <c r="O4824" s="437"/>
      <c r="P4824" s="438"/>
      <c r="Q4824" s="442"/>
      <c r="R4824" s="443"/>
      <c r="S4824" s="364"/>
      <c r="Z4824" s="609" t="s">
        <v>4305</v>
      </c>
      <c r="AA4824" s="609" t="s">
        <v>4306</v>
      </c>
    </row>
    <row r="4825" spans="1:27" ht="18">
      <c r="A4825" s="2714"/>
      <c r="B4825" s="371">
        <v>102</v>
      </c>
      <c r="C4825" s="371" t="s">
        <v>2791</v>
      </c>
      <c r="D4825" s="2716">
        <f t="shared" si="525"/>
        <v>0</v>
      </c>
      <c r="E4825" s="2721">
        <v>1</v>
      </c>
      <c r="F4825" s="293"/>
      <c r="G4825" s="319" t="s">
        <v>2792</v>
      </c>
      <c r="H4825" s="309"/>
      <c r="I4825" s="1475">
        <v>0</v>
      </c>
      <c r="J4825" s="438"/>
      <c r="K4825" s="439"/>
      <c r="L4825" s="437"/>
      <c r="M4825" s="438"/>
      <c r="N4825" s="439"/>
      <c r="O4825" s="437"/>
      <c r="P4825" s="438"/>
      <c r="Q4825" s="442"/>
      <c r="R4825" s="443"/>
      <c r="S4825" s="364"/>
      <c r="Z4825" s="609" t="s">
        <v>4305</v>
      </c>
      <c r="AA4825" s="609" t="s">
        <v>4306</v>
      </c>
    </row>
    <row r="4826" spans="1:27" ht="18">
      <c r="A4826" s="2714"/>
      <c r="B4826" s="371">
        <v>103</v>
      </c>
      <c r="C4826" s="371" t="s">
        <v>2791</v>
      </c>
      <c r="D4826" s="2716">
        <f t="shared" si="525"/>
        <v>0</v>
      </c>
      <c r="E4826" s="2721">
        <v>1</v>
      </c>
      <c r="F4826" s="293"/>
      <c r="G4826" s="319" t="s">
        <v>2792</v>
      </c>
      <c r="H4826" s="309"/>
      <c r="I4826" s="1475">
        <v>0</v>
      </c>
      <c r="J4826" s="438"/>
      <c r="K4826" s="439"/>
      <c r="L4826" s="437"/>
      <c r="M4826" s="438"/>
      <c r="N4826" s="439"/>
      <c r="O4826" s="437"/>
      <c r="P4826" s="438"/>
      <c r="Q4826" s="442"/>
      <c r="R4826" s="443"/>
      <c r="S4826" s="364"/>
      <c r="Z4826" s="609" t="s">
        <v>4305</v>
      </c>
      <c r="AA4826" s="609" t="s">
        <v>4306</v>
      </c>
    </row>
    <row r="4827" spans="1:27" ht="18">
      <c r="A4827" s="2714"/>
      <c r="B4827" s="371">
        <v>104</v>
      </c>
      <c r="C4827" s="371" t="s">
        <v>2791</v>
      </c>
      <c r="D4827" s="2716">
        <f t="shared" si="525"/>
        <v>0</v>
      </c>
      <c r="E4827" s="2721">
        <v>1</v>
      </c>
      <c r="F4827" s="293"/>
      <c r="G4827" s="319" t="s">
        <v>2792</v>
      </c>
      <c r="H4827" s="309"/>
      <c r="I4827" s="1475">
        <v>0</v>
      </c>
      <c r="J4827" s="438"/>
      <c r="K4827" s="439"/>
      <c r="L4827" s="437"/>
      <c r="M4827" s="438"/>
      <c r="N4827" s="439"/>
      <c r="O4827" s="437"/>
      <c r="P4827" s="438"/>
      <c r="Q4827" s="442"/>
      <c r="R4827" s="443"/>
      <c r="S4827" s="364"/>
      <c r="Z4827" s="609" t="s">
        <v>4305</v>
      </c>
      <c r="AA4827" s="609" t="s">
        <v>4306</v>
      </c>
    </row>
    <row r="4828" spans="1:27" ht="18">
      <c r="A4828" s="2714"/>
      <c r="B4828" s="371">
        <v>105</v>
      </c>
      <c r="C4828" s="371" t="s">
        <v>2791</v>
      </c>
      <c r="D4828" s="2716">
        <f t="shared" si="525"/>
        <v>0</v>
      </c>
      <c r="E4828" s="2721">
        <v>1</v>
      </c>
      <c r="F4828" s="293"/>
      <c r="G4828" s="319" t="s">
        <v>2792</v>
      </c>
      <c r="H4828" s="309"/>
      <c r="I4828" s="1475">
        <v>0</v>
      </c>
      <c r="J4828" s="438"/>
      <c r="K4828" s="439"/>
      <c r="L4828" s="437"/>
      <c r="M4828" s="438"/>
      <c r="N4828" s="439"/>
      <c r="O4828" s="437"/>
      <c r="P4828" s="438"/>
      <c r="Q4828" s="442"/>
      <c r="R4828" s="443"/>
      <c r="S4828" s="364"/>
      <c r="Z4828" s="609" t="s">
        <v>4305</v>
      </c>
      <c r="AA4828" s="609" t="s">
        <v>4306</v>
      </c>
    </row>
    <row r="4829" spans="1:27" ht="18">
      <c r="A4829" s="2714"/>
      <c r="B4829" s="371">
        <v>106</v>
      </c>
      <c r="C4829" s="371" t="s">
        <v>2791</v>
      </c>
      <c r="D4829" s="2716">
        <f t="shared" si="525"/>
        <v>0</v>
      </c>
      <c r="E4829" s="2721">
        <v>1</v>
      </c>
      <c r="F4829" s="293"/>
      <c r="G4829" s="319" t="s">
        <v>2792</v>
      </c>
      <c r="H4829" s="309"/>
      <c r="I4829" s="1475">
        <v>0</v>
      </c>
      <c r="J4829" s="438"/>
      <c r="K4829" s="439"/>
      <c r="L4829" s="437"/>
      <c r="M4829" s="438"/>
      <c r="N4829" s="439"/>
      <c r="O4829" s="437"/>
      <c r="P4829" s="438"/>
      <c r="Q4829" s="442"/>
      <c r="R4829" s="443"/>
      <c r="S4829" s="364"/>
      <c r="Z4829" s="609" t="s">
        <v>4305</v>
      </c>
      <c r="AA4829" s="609" t="s">
        <v>4306</v>
      </c>
    </row>
    <row r="4830" spans="1:27" ht="18">
      <c r="A4830" s="2714"/>
      <c r="B4830" s="371">
        <v>107</v>
      </c>
      <c r="C4830" s="371" t="s">
        <v>2791</v>
      </c>
      <c r="D4830" s="2716">
        <f t="shared" si="525"/>
        <v>0</v>
      </c>
      <c r="E4830" s="2721">
        <v>1</v>
      </c>
      <c r="F4830" s="293"/>
      <c r="G4830" s="319" t="s">
        <v>2792</v>
      </c>
      <c r="H4830" s="309"/>
      <c r="I4830" s="1475">
        <v>0</v>
      </c>
      <c r="J4830" s="438"/>
      <c r="K4830" s="439"/>
      <c r="L4830" s="437"/>
      <c r="M4830" s="438"/>
      <c r="N4830" s="439"/>
      <c r="O4830" s="437"/>
      <c r="P4830" s="438"/>
      <c r="Q4830" s="442"/>
      <c r="R4830" s="443"/>
      <c r="S4830" s="364"/>
      <c r="Z4830" s="609" t="s">
        <v>4305</v>
      </c>
      <c r="AA4830" s="609" t="s">
        <v>4306</v>
      </c>
    </row>
    <row r="4831" spans="1:27" ht="18">
      <c r="A4831" s="2714"/>
      <c r="B4831" s="371">
        <v>108</v>
      </c>
      <c r="C4831" s="371" t="s">
        <v>2791</v>
      </c>
      <c r="D4831" s="2716">
        <f t="shared" si="525"/>
        <v>0</v>
      </c>
      <c r="E4831" s="2721">
        <v>1</v>
      </c>
      <c r="F4831" s="293"/>
      <c r="G4831" s="319" t="s">
        <v>2792</v>
      </c>
      <c r="H4831" s="309"/>
      <c r="I4831" s="1475">
        <v>0</v>
      </c>
      <c r="J4831" s="438"/>
      <c r="K4831" s="439"/>
      <c r="L4831" s="437"/>
      <c r="M4831" s="438"/>
      <c r="N4831" s="439"/>
      <c r="O4831" s="437"/>
      <c r="P4831" s="438"/>
      <c r="Q4831" s="442"/>
      <c r="R4831" s="443"/>
      <c r="S4831" s="364"/>
      <c r="Z4831" s="609" t="s">
        <v>4305</v>
      </c>
      <c r="AA4831" s="609" t="s">
        <v>4306</v>
      </c>
    </row>
    <row r="4832" spans="1:27" ht="18.75" thickBot="1">
      <c r="A4832" s="2714"/>
      <c r="B4832" s="371"/>
      <c r="C4832" s="371"/>
      <c r="D4832" s="2716">
        <f t="shared" si="525"/>
        <v>1</v>
      </c>
      <c r="E4832" s="2721" t="s">
        <v>2751</v>
      </c>
      <c r="F4832" s="293"/>
      <c r="G4832" s="2234" t="s">
        <v>2752</v>
      </c>
      <c r="H4832" s="2325">
        <f>SUMPRODUCT($E4823:$E4831,H4823:H4831)</f>
        <v>0</v>
      </c>
      <c r="I4832" s="2342">
        <f>SUMPRODUCT($E4823:$E4831,I4823:I4831)</f>
        <v>0</v>
      </c>
      <c r="J4832" s="440"/>
      <c r="K4832" s="439"/>
      <c r="L4832" s="437"/>
      <c r="M4832" s="440"/>
      <c r="N4832" s="439"/>
      <c r="O4832" s="437"/>
      <c r="P4832" s="440"/>
      <c r="Q4832" s="442"/>
      <c r="R4832" s="443"/>
      <c r="S4832" s="364"/>
      <c r="Z4832" s="609" t="s">
        <v>4305</v>
      </c>
      <c r="AA4832" s="609" t="s">
        <v>4306</v>
      </c>
    </row>
    <row r="4833" spans="1:31" ht="18">
      <c r="A4833" s="2714"/>
      <c r="B4833" s="371"/>
      <c r="C4833" s="371" t="s">
        <v>2755</v>
      </c>
      <c r="D4833" s="2716"/>
      <c r="F4833" s="293"/>
      <c r="G4833" s="376"/>
      <c r="H4833" s="315"/>
      <c r="I4833" s="396"/>
      <c r="J4833" s="425"/>
      <c r="K4833" s="426"/>
      <c r="L4833" s="427"/>
      <c r="M4833" s="425"/>
      <c r="N4833" s="426"/>
      <c r="O4833" s="427"/>
      <c r="P4833" s="425"/>
      <c r="Q4833" s="442"/>
      <c r="R4833" s="443"/>
      <c r="S4833" s="364"/>
      <c r="Z4833" s="609" t="s">
        <v>4305</v>
      </c>
      <c r="AA4833" s="609" t="s">
        <v>4306</v>
      </c>
    </row>
    <row r="4834" spans="1:31" ht="18">
      <c r="A4834" s="2714">
        <v>6101</v>
      </c>
      <c r="B4834" s="371">
        <v>70</v>
      </c>
      <c r="C4834" s="2716" t="str">
        <f>VLOOKUP($A4834,Sheet_Items,2,0)</f>
        <v>公允价值变动收益</v>
      </c>
      <c r="D4834" s="371"/>
      <c r="E4834" s="2716" t="s">
        <v>2739</v>
      </c>
      <c r="F4834" s="294"/>
      <c r="G4834" s="305" t="str">
        <f>B4834&amp;" "&amp;C4834</f>
        <v>70 公允价值变动收益</v>
      </c>
      <c r="H4834" s="306"/>
      <c r="I4834" s="306"/>
      <c r="J4834" s="306" t="s">
        <v>4206</v>
      </c>
      <c r="K4834" s="341">
        <f>VLOOKUP($A4834,Sheet_Trialbal,6,0)</f>
        <v>0</v>
      </c>
      <c r="L4834" s="342"/>
      <c r="M4834" s="306" t="s">
        <v>4207</v>
      </c>
      <c r="N4834" s="341">
        <f>VLOOKUP($A4834,Sheet_Trialbal,10,0)</f>
        <v>0</v>
      </c>
      <c r="O4834" s="306"/>
      <c r="P4834" s="301"/>
      <c r="S4834" s="364"/>
      <c r="Z4834" s="609" t="s">
        <v>4308</v>
      </c>
      <c r="AA4834" s="609" t="s">
        <v>5713</v>
      </c>
    </row>
    <row r="4835" spans="1:31" ht="24">
      <c r="A4835" s="2714" t="s">
        <v>6091</v>
      </c>
      <c r="B4835" s="371">
        <v>1</v>
      </c>
      <c r="C4835" s="371"/>
      <c r="D4835" s="2716" t="str">
        <f>VLOOKUP($A4835,Sheet_NoteList,2,0)</f>
        <v>公允价值变动收益明细项目列示</v>
      </c>
      <c r="E4835" s="2716" t="s">
        <v>6531</v>
      </c>
      <c r="F4835" s="293"/>
      <c r="G4835" s="372" t="str">
        <f>"("&amp;B4835&amp;")"&amp;D4835</f>
        <v>(1)公允价值变动收益明细项目列示</v>
      </c>
      <c r="H4835" s="1517" t="str">
        <f>$A4835</f>
        <v>6101b</v>
      </c>
      <c r="I4835" s="343" t="s">
        <v>6093</v>
      </c>
      <c r="J4835" s="301" t="s">
        <v>6094</v>
      </c>
      <c r="K4835" s="2210">
        <f>H4846</f>
        <v>0</v>
      </c>
      <c r="L4835" s="349" t="str">
        <f>IF($I4835="适用",IF(ROUND(K$4834-K4835,2)=0,"F/S",ROUND(K$4834-K4835,2)),"#N/A")</f>
        <v>F/S</v>
      </c>
      <c r="M4835" s="301" t="s">
        <v>6095</v>
      </c>
      <c r="N4835" s="2210">
        <f>I4846</f>
        <v>0</v>
      </c>
      <c r="O4835" s="349" t="str">
        <f>IF($I4835="适用",IF(ROUND(N$4834-N4835,2)=0,"F/S",ROUND(N$4834-N4835,2)),"#N/A")</f>
        <v>F/S</v>
      </c>
      <c r="P4835" s="301"/>
      <c r="S4835" s="364"/>
      <c r="Z4835" s="609" t="s">
        <v>4308</v>
      </c>
      <c r="AA4835" s="609" t="s">
        <v>5713</v>
      </c>
    </row>
    <row r="4836" spans="1:31" ht="0.75" customHeight="1" thickBot="1">
      <c r="A4836" s="2714"/>
      <c r="B4836" s="371"/>
      <c r="C4836" s="371"/>
      <c r="D4836" s="2716"/>
      <c r="E4836" s="586"/>
      <c r="F4836" s="586"/>
      <c r="G4836" s="2224" t="s">
        <v>6096</v>
      </c>
      <c r="H4836" s="1617" t="s">
        <v>4223</v>
      </c>
      <c r="I4836" s="371" t="s">
        <v>4224</v>
      </c>
      <c r="J4836" s="301"/>
      <c r="K4836" s="391"/>
      <c r="L4836" s="349"/>
      <c r="M4836" s="301"/>
      <c r="N4836" s="391"/>
      <c r="O4836" s="349"/>
      <c r="P4836" s="301"/>
      <c r="S4836" s="364"/>
      <c r="Z4836" s="609" t="s">
        <v>4308</v>
      </c>
      <c r="AA4836" s="609" t="s">
        <v>5713</v>
      </c>
    </row>
    <row r="4837" spans="1:31" ht="18">
      <c r="A4837" s="2714"/>
      <c r="B4837" s="371"/>
      <c r="C4837" s="371"/>
      <c r="D4837" s="2716"/>
      <c r="E4837" s="586" t="s">
        <v>2749</v>
      </c>
      <c r="F4837" s="414"/>
      <c r="G4837" s="2453" t="s">
        <v>1878</v>
      </c>
      <c r="H4837" s="2523" t="str">
        <f>$V$4</f>
        <v>2019年度</v>
      </c>
      <c r="I4837" s="2524" t="str">
        <f>$V$5</f>
        <v>2018年度</v>
      </c>
      <c r="J4837" s="355" t="s">
        <v>5335</v>
      </c>
      <c r="K4837" s="391"/>
      <c r="L4837" s="349"/>
      <c r="M4837" s="301"/>
      <c r="N4837" s="391"/>
      <c r="O4837" s="349"/>
      <c r="P4837" s="301"/>
      <c r="S4837" s="364"/>
      <c r="Z4837" s="609" t="s">
        <v>4308</v>
      </c>
      <c r="AA4837" s="609" t="s">
        <v>5713</v>
      </c>
    </row>
    <row r="4838" spans="1:31" ht="18">
      <c r="A4838" s="2714"/>
      <c r="B4838" s="371">
        <v>101</v>
      </c>
      <c r="C4838" s="371"/>
      <c r="D4838" s="2716">
        <f t="shared" ref="D4838:D4846" si="526">IF(OR(G4838="*",G4838="",G4838=0),0,COUNTIF($G$4838:$G$4846,G4838))</f>
        <v>1</v>
      </c>
      <c r="E4838" s="2721">
        <v>1</v>
      </c>
      <c r="F4838" s="294"/>
      <c r="G4838" s="1474" t="s">
        <v>71</v>
      </c>
      <c r="H4838" s="2275"/>
      <c r="I4838" s="2296"/>
      <c r="J4838" s="301"/>
      <c r="K4838" s="391"/>
      <c r="L4838" s="349"/>
      <c r="M4838" s="301"/>
      <c r="N4838" s="391"/>
      <c r="O4838" s="349"/>
      <c r="P4838" s="301"/>
      <c r="S4838" s="364"/>
      <c r="Z4838" s="609" t="s">
        <v>4308</v>
      </c>
      <c r="AA4838" s="609" t="s">
        <v>5713</v>
      </c>
    </row>
    <row r="4839" spans="1:31" ht="24">
      <c r="A4839" s="2714"/>
      <c r="B4839" s="371">
        <v>102</v>
      </c>
      <c r="C4839" s="371"/>
      <c r="D4839" s="2716">
        <f t="shared" si="526"/>
        <v>1</v>
      </c>
      <c r="E4839" s="2721">
        <v>0</v>
      </c>
      <c r="F4839" s="294"/>
      <c r="G4839" s="1474" t="s">
        <v>4310</v>
      </c>
      <c r="H4839" s="2275"/>
      <c r="I4839" s="2296"/>
      <c r="J4839" s="301"/>
      <c r="K4839" s="391"/>
      <c r="L4839" s="349"/>
      <c r="M4839" s="301"/>
      <c r="N4839" s="391"/>
      <c r="O4839" s="349"/>
      <c r="P4839" s="301"/>
      <c r="S4839" s="364"/>
      <c r="Z4839" s="609" t="s">
        <v>4308</v>
      </c>
      <c r="AA4839" s="609" t="s">
        <v>5713</v>
      </c>
    </row>
    <row r="4840" spans="1:31" ht="24">
      <c r="A4840" s="2714"/>
      <c r="B4840" s="371">
        <v>103</v>
      </c>
      <c r="C4840" s="371"/>
      <c r="D4840" s="2716">
        <f t="shared" si="526"/>
        <v>1</v>
      </c>
      <c r="E4840" s="2721">
        <v>1</v>
      </c>
      <c r="F4840" s="294"/>
      <c r="G4840" s="1474" t="s">
        <v>4311</v>
      </c>
      <c r="H4840" s="2275"/>
      <c r="I4840" s="2296"/>
      <c r="J4840" s="301"/>
      <c r="K4840" s="391"/>
      <c r="L4840" s="349"/>
      <c r="M4840" s="301"/>
      <c r="N4840" s="391"/>
      <c r="O4840" s="349"/>
      <c r="P4840" s="301"/>
      <c r="S4840" s="364"/>
      <c r="Z4840" s="609" t="s">
        <v>4308</v>
      </c>
      <c r="AA4840" s="609" t="s">
        <v>5713</v>
      </c>
    </row>
    <row r="4841" spans="1:31" ht="18">
      <c r="A4841" s="2714"/>
      <c r="B4841" s="371">
        <v>104</v>
      </c>
      <c r="C4841" s="371"/>
      <c r="D4841" s="2716">
        <f t="shared" si="526"/>
        <v>1</v>
      </c>
      <c r="E4841" s="2721">
        <v>1</v>
      </c>
      <c r="F4841" s="294"/>
      <c r="G4841" s="1474" t="s">
        <v>462</v>
      </c>
      <c r="H4841" s="2275"/>
      <c r="I4841" s="2296"/>
      <c r="J4841" s="301"/>
      <c r="K4841" s="391"/>
      <c r="L4841" s="349"/>
      <c r="M4841" s="301"/>
      <c r="N4841" s="391"/>
      <c r="O4841" s="349"/>
      <c r="P4841" s="301"/>
      <c r="S4841" s="364"/>
      <c r="Z4841" s="609" t="s">
        <v>4308</v>
      </c>
      <c r="AA4841" s="609" t="s">
        <v>5713</v>
      </c>
    </row>
    <row r="4842" spans="1:31" ht="24">
      <c r="A4842" s="2714"/>
      <c r="B4842" s="371">
        <v>105</v>
      </c>
      <c r="C4842" s="371"/>
      <c r="D4842" s="2716">
        <f t="shared" si="526"/>
        <v>1</v>
      </c>
      <c r="E4842" s="2721">
        <v>0</v>
      </c>
      <c r="F4842" s="294"/>
      <c r="G4842" s="1474" t="s">
        <v>4312</v>
      </c>
      <c r="H4842" s="2275"/>
      <c r="I4842" s="2296"/>
      <c r="J4842" s="301"/>
      <c r="K4842" s="391"/>
      <c r="L4842" s="349"/>
      <c r="M4842" s="301"/>
      <c r="N4842" s="391"/>
      <c r="O4842" s="349"/>
      <c r="P4842" s="301"/>
      <c r="S4842" s="364"/>
      <c r="Z4842" s="609" t="s">
        <v>4308</v>
      </c>
      <c r="AA4842" s="609" t="s">
        <v>5713</v>
      </c>
    </row>
    <row r="4843" spans="1:31" ht="24">
      <c r="A4843" s="2714"/>
      <c r="B4843" s="371">
        <v>106</v>
      </c>
      <c r="C4843" s="371"/>
      <c r="D4843" s="2716">
        <f t="shared" si="526"/>
        <v>1</v>
      </c>
      <c r="E4843" s="2721">
        <v>1</v>
      </c>
      <c r="F4843" s="294"/>
      <c r="G4843" s="1474" t="s">
        <v>4313</v>
      </c>
      <c r="H4843" s="2275"/>
      <c r="I4843" s="2296"/>
      <c r="J4843" s="301"/>
      <c r="K4843" s="391"/>
      <c r="L4843" s="349"/>
      <c r="M4843" s="301"/>
      <c r="N4843" s="391"/>
      <c r="O4843" s="349"/>
      <c r="P4843" s="301"/>
      <c r="S4843" s="364"/>
      <c r="Z4843" s="609" t="s">
        <v>4308</v>
      </c>
      <c r="AA4843" s="609" t="s">
        <v>5713</v>
      </c>
    </row>
    <row r="4844" spans="1:31" ht="18">
      <c r="A4844" s="2714"/>
      <c r="B4844" s="371">
        <v>107</v>
      </c>
      <c r="C4844" s="371"/>
      <c r="D4844" s="2716">
        <f t="shared" si="526"/>
        <v>1</v>
      </c>
      <c r="E4844" s="2721">
        <v>1</v>
      </c>
      <c r="F4844" s="294"/>
      <c r="G4844" s="1474" t="s">
        <v>329</v>
      </c>
      <c r="H4844" s="2275"/>
      <c r="I4844" s="2296"/>
      <c r="J4844" s="301"/>
      <c r="K4844" s="391"/>
      <c r="L4844" s="349"/>
      <c r="M4844" s="301"/>
      <c r="N4844" s="391"/>
      <c r="O4844" s="349"/>
      <c r="P4844" s="301"/>
      <c r="S4844" s="364"/>
      <c r="Z4844" s="609" t="s">
        <v>4308</v>
      </c>
      <c r="AA4844" s="609" t="s">
        <v>5713</v>
      </c>
    </row>
    <row r="4845" spans="1:31" ht="18">
      <c r="A4845" s="2714"/>
      <c r="B4845" s="371">
        <v>108</v>
      </c>
      <c r="C4845" s="371" t="s">
        <v>2791</v>
      </c>
      <c r="D4845" s="2716">
        <f t="shared" si="526"/>
        <v>0</v>
      </c>
      <c r="E4845" s="2721">
        <v>1</v>
      </c>
      <c r="F4845" s="294"/>
      <c r="G4845" s="2467" t="s">
        <v>2792</v>
      </c>
      <c r="H4845" s="2275"/>
      <c r="I4845" s="2296"/>
      <c r="J4845" s="301"/>
      <c r="K4845" s="391"/>
      <c r="L4845" s="349"/>
      <c r="M4845" s="301"/>
      <c r="N4845" s="391"/>
      <c r="O4845" s="349"/>
      <c r="P4845" s="301"/>
      <c r="S4845" s="364"/>
      <c r="Z4845" s="609" t="s">
        <v>4308</v>
      </c>
      <c r="AA4845" s="609" t="s">
        <v>5713</v>
      </c>
    </row>
    <row r="4846" spans="1:31" ht="18.75" thickBot="1">
      <c r="A4846" s="2714"/>
      <c r="B4846" s="371"/>
      <c r="C4846" s="371"/>
      <c r="D4846" s="2716">
        <f t="shared" si="526"/>
        <v>1</v>
      </c>
      <c r="E4846" s="2721" t="s">
        <v>2751</v>
      </c>
      <c r="F4846" s="293"/>
      <c r="G4846" s="2234" t="s">
        <v>2752</v>
      </c>
      <c r="H4846" s="2235">
        <f>SUMPRODUCT($E4837:$E4845,H4837:H4845)</f>
        <v>0</v>
      </c>
      <c r="I4846" s="2236">
        <f>SUMPRODUCT($E4837:$E4845,I4837:I4845)</f>
        <v>0</v>
      </c>
      <c r="J4846" s="301"/>
      <c r="K4846" s="391"/>
      <c r="L4846" s="349"/>
      <c r="M4846" s="301"/>
      <c r="N4846" s="391"/>
      <c r="O4846" s="349"/>
      <c r="P4846" s="301"/>
      <c r="S4846" s="364"/>
      <c r="Z4846" s="609" t="s">
        <v>4308</v>
      </c>
      <c r="AA4846" s="609" t="s">
        <v>5713</v>
      </c>
    </row>
    <row r="4847" spans="1:31" ht="18">
      <c r="A4847" s="2714"/>
      <c r="B4847" s="371"/>
      <c r="C4847" s="371" t="s">
        <v>2755</v>
      </c>
      <c r="D4847" s="2716"/>
      <c r="F4847" s="293"/>
      <c r="G4847" s="376"/>
      <c r="H4847" s="1576"/>
      <c r="I4847" s="396"/>
      <c r="J4847" s="301"/>
      <c r="K4847" s="391"/>
      <c r="L4847" s="349"/>
      <c r="M4847" s="301"/>
      <c r="N4847" s="391"/>
      <c r="O4847" s="349"/>
      <c r="P4847" s="301"/>
      <c r="S4847" s="364"/>
      <c r="Z4847" s="609" t="s">
        <v>4308</v>
      </c>
      <c r="AA4847" s="609" t="s">
        <v>5713</v>
      </c>
    </row>
    <row r="4848" spans="1:31" ht="24" hidden="1">
      <c r="A4848" s="2714" t="s">
        <v>1876</v>
      </c>
      <c r="B4848" s="371">
        <v>1</v>
      </c>
      <c r="C4848" s="371"/>
      <c r="D4848" s="2716" t="str">
        <f>VLOOKUP($A4848,Sheet_NoteList,2,0)</f>
        <v>公允价值变动收益明细项目</v>
      </c>
      <c r="E4848" s="2716" t="s">
        <v>6632</v>
      </c>
      <c r="F4848" s="294"/>
      <c r="G4848" s="372" t="str">
        <f>"("&amp;B4848&amp;")"&amp;D4848</f>
        <v>(1)公允价值变动收益明细项目</v>
      </c>
      <c r="H4848" s="1517" t="str">
        <f>$A4848</f>
        <v>6101a</v>
      </c>
      <c r="I4848" s="343" t="s">
        <v>6631</v>
      </c>
      <c r="J4848" s="301" t="s">
        <v>6633</v>
      </c>
      <c r="K4848" s="344">
        <f>H4859</f>
        <v>0</v>
      </c>
      <c r="L4848" s="345" t="str">
        <f>IF($I4848="适用",IF(ROUND(K4834-K4848,2)=0,"F/S",ROUND(K4834-K4848,2)),"#N/A")</f>
        <v>#N/A</v>
      </c>
      <c r="M4848" s="301" t="s">
        <v>6634</v>
      </c>
      <c r="N4848" s="344">
        <f>I4859</f>
        <v>0</v>
      </c>
      <c r="O4848" s="345" t="str">
        <f>IF($I4848="适用",IF(ROUND(N4834-N4848,2)=0,"F/S",ROUND(N4834-N4848,2)),"#N/A")</f>
        <v>#N/A</v>
      </c>
      <c r="P4848" s="301"/>
      <c r="Q4848" s="290" t="str">
        <f>IF($I4848="不适用","",IF(ROUND(SUM($H$4851:$I$4859),2)=0,"请输入",""))</f>
        <v/>
      </c>
      <c r="S4848" s="364"/>
      <c r="Z4848" s="609" t="s">
        <v>4308</v>
      </c>
      <c r="AA4848" s="609" t="s">
        <v>5713</v>
      </c>
      <c r="AE4848" s="369" t="s">
        <v>2761</v>
      </c>
    </row>
    <row r="4849" spans="1:31" ht="0.75" hidden="1" customHeight="1" thickBot="1">
      <c r="A4849" s="2714"/>
      <c r="B4849" s="371"/>
      <c r="C4849" s="371"/>
      <c r="D4849" s="371"/>
      <c r="E4849" s="586"/>
      <c r="F4849" s="586"/>
      <c r="G4849" s="586" t="s">
        <v>4309</v>
      </c>
      <c r="H4849" s="371" t="s">
        <v>4223</v>
      </c>
      <c r="I4849" s="371" t="s">
        <v>4224</v>
      </c>
      <c r="J4849" s="291"/>
      <c r="K4849" s="291"/>
      <c r="L4849" s="291"/>
      <c r="M4849" s="291"/>
      <c r="S4849" s="364"/>
      <c r="Z4849" s="609" t="s">
        <v>4308</v>
      </c>
      <c r="AA4849" s="609" t="s">
        <v>5713</v>
      </c>
      <c r="AE4849" s="369" t="s">
        <v>2761</v>
      </c>
    </row>
    <row r="4850" spans="1:31" ht="18" hidden="1">
      <c r="A4850" s="2714"/>
      <c r="B4850" s="371"/>
      <c r="C4850" s="371"/>
      <c r="D4850" s="371"/>
      <c r="E4850" s="586" t="s">
        <v>2749</v>
      </c>
      <c r="F4850" s="363"/>
      <c r="G4850" s="2569" t="s">
        <v>1878</v>
      </c>
      <c r="H4850" s="2557" t="s">
        <v>4242</v>
      </c>
      <c r="I4850" s="2572" t="s">
        <v>4245</v>
      </c>
      <c r="J4850" s="2452" t="s">
        <v>5990</v>
      </c>
      <c r="K4850" s="291"/>
      <c r="L4850" s="291"/>
      <c r="M4850" s="291"/>
      <c r="S4850" s="364"/>
      <c r="Z4850" s="609" t="s">
        <v>4308</v>
      </c>
      <c r="AA4850" s="609" t="s">
        <v>5713</v>
      </c>
      <c r="AE4850" s="369" t="s">
        <v>2761</v>
      </c>
    </row>
    <row r="4851" spans="1:31" ht="24" hidden="1">
      <c r="A4851" s="2714"/>
      <c r="B4851" s="371">
        <v>101</v>
      </c>
      <c r="C4851" s="371"/>
      <c r="D4851" s="2716">
        <f t="shared" ref="D4851:D4859" si="527">IF(OR(G4851="*",G4851="",G4851=0),0,COUNTIF($G$4851:$G$4859,G4851))</f>
        <v>1</v>
      </c>
      <c r="E4851" s="2721">
        <v>1</v>
      </c>
      <c r="F4851" s="294"/>
      <c r="G4851" s="1474" t="s">
        <v>6098</v>
      </c>
      <c r="H4851" s="2275"/>
      <c r="I4851" s="2296"/>
      <c r="J4851" s="291"/>
      <c r="K4851" s="291"/>
      <c r="L4851" s="291"/>
      <c r="M4851" s="291"/>
      <c r="S4851" s="364"/>
      <c r="Z4851" s="609" t="s">
        <v>4308</v>
      </c>
      <c r="AA4851" s="609" t="s">
        <v>5713</v>
      </c>
      <c r="AE4851" s="369" t="s">
        <v>2761</v>
      </c>
    </row>
    <row r="4852" spans="1:31" ht="24" hidden="1">
      <c r="A4852" s="2714"/>
      <c r="B4852" s="371">
        <v>102</v>
      </c>
      <c r="C4852" s="371"/>
      <c r="D4852" s="2716">
        <f t="shared" si="527"/>
        <v>1</v>
      </c>
      <c r="E4852" s="2721">
        <v>0</v>
      </c>
      <c r="F4852" s="294"/>
      <c r="G4852" s="1474" t="s">
        <v>6099</v>
      </c>
      <c r="H4852" s="2275"/>
      <c r="I4852" s="2296"/>
      <c r="J4852" s="291"/>
      <c r="K4852" s="291"/>
      <c r="L4852" s="291"/>
      <c r="M4852" s="291"/>
      <c r="S4852" s="364"/>
      <c r="Z4852" s="609" t="s">
        <v>4308</v>
      </c>
      <c r="AA4852" s="609" t="s">
        <v>5713</v>
      </c>
      <c r="AE4852" s="369" t="s">
        <v>2761</v>
      </c>
    </row>
    <row r="4853" spans="1:31" ht="24" hidden="1">
      <c r="A4853" s="2714"/>
      <c r="B4853" s="371">
        <v>103</v>
      </c>
      <c r="C4853" s="371"/>
      <c r="D4853" s="2716">
        <f t="shared" si="527"/>
        <v>1</v>
      </c>
      <c r="E4853" s="2721">
        <v>1</v>
      </c>
      <c r="F4853" s="294"/>
      <c r="G4853" s="1474" t="s">
        <v>6100</v>
      </c>
      <c r="H4853" s="2275"/>
      <c r="I4853" s="2296"/>
      <c r="J4853" s="291"/>
      <c r="K4853" s="291"/>
      <c r="L4853" s="291"/>
      <c r="M4853" s="291"/>
      <c r="S4853" s="364"/>
      <c r="Z4853" s="609" t="s">
        <v>4308</v>
      </c>
      <c r="AA4853" s="609" t="s">
        <v>5713</v>
      </c>
      <c r="AE4853" s="369" t="s">
        <v>2761</v>
      </c>
    </row>
    <row r="4854" spans="1:31" ht="24" hidden="1">
      <c r="A4854" s="2714"/>
      <c r="B4854" s="371">
        <v>104</v>
      </c>
      <c r="C4854" s="371"/>
      <c r="D4854" s="2716">
        <f t="shared" si="527"/>
        <v>1</v>
      </c>
      <c r="E4854" s="2721">
        <v>1</v>
      </c>
      <c r="F4854" s="294"/>
      <c r="G4854" s="1474" t="s">
        <v>4313</v>
      </c>
      <c r="H4854" s="2275"/>
      <c r="I4854" s="2296"/>
      <c r="J4854" s="291"/>
      <c r="K4854" s="291"/>
      <c r="L4854" s="291"/>
      <c r="M4854" s="291"/>
      <c r="S4854" s="364"/>
      <c r="Z4854" s="609" t="s">
        <v>4308</v>
      </c>
      <c r="AA4854" s="609" t="s">
        <v>5713</v>
      </c>
      <c r="AE4854" s="369" t="s">
        <v>2761</v>
      </c>
    </row>
    <row r="4855" spans="1:31" ht="18" hidden="1">
      <c r="A4855" s="2714"/>
      <c r="B4855" s="371">
        <v>105</v>
      </c>
      <c r="C4855" s="371"/>
      <c r="D4855" s="2716">
        <f t="shared" si="527"/>
        <v>1</v>
      </c>
      <c r="E4855" s="2721">
        <v>1</v>
      </c>
      <c r="F4855" s="294"/>
      <c r="G4855" s="1474" t="s">
        <v>6097</v>
      </c>
      <c r="H4855" s="2275"/>
      <c r="I4855" s="2296"/>
      <c r="J4855" s="291"/>
      <c r="K4855" s="291"/>
      <c r="L4855" s="291"/>
      <c r="M4855" s="291"/>
      <c r="S4855" s="364"/>
      <c r="Z4855" s="609" t="s">
        <v>4308</v>
      </c>
      <c r="AA4855" s="609" t="s">
        <v>5713</v>
      </c>
      <c r="AE4855" s="369" t="s">
        <v>2761</v>
      </c>
    </row>
    <row r="4856" spans="1:31" ht="18" hidden="1">
      <c r="A4856" s="2714"/>
      <c r="B4856" s="371">
        <v>106</v>
      </c>
      <c r="C4856" s="371"/>
      <c r="D4856" s="2716">
        <f t="shared" si="527"/>
        <v>1</v>
      </c>
      <c r="E4856" s="2721">
        <v>1</v>
      </c>
      <c r="F4856" s="294"/>
      <c r="G4856" s="1474" t="s">
        <v>932</v>
      </c>
      <c r="H4856" s="2275"/>
      <c r="I4856" s="2296"/>
      <c r="J4856" s="291"/>
      <c r="K4856" s="291"/>
      <c r="L4856" s="291"/>
      <c r="M4856" s="291"/>
      <c r="S4856" s="364"/>
      <c r="Z4856" s="609" t="s">
        <v>4308</v>
      </c>
      <c r="AA4856" s="609" t="s">
        <v>5713</v>
      </c>
      <c r="AE4856" s="369" t="s">
        <v>2761</v>
      </c>
    </row>
    <row r="4857" spans="1:31" ht="18" hidden="1">
      <c r="A4857" s="2714"/>
      <c r="B4857" s="371">
        <v>107</v>
      </c>
      <c r="C4857" s="371" t="s">
        <v>2791</v>
      </c>
      <c r="D4857" s="2716">
        <f t="shared" si="527"/>
        <v>0</v>
      </c>
      <c r="E4857" s="2721">
        <v>1</v>
      </c>
      <c r="F4857" s="294"/>
      <c r="G4857" s="2467" t="s">
        <v>5146</v>
      </c>
      <c r="H4857" s="2275"/>
      <c r="I4857" s="2296"/>
      <c r="J4857" s="291"/>
      <c r="K4857" s="291"/>
      <c r="L4857" s="291"/>
      <c r="M4857" s="291"/>
      <c r="S4857" s="364"/>
      <c r="Z4857" s="609" t="s">
        <v>4308</v>
      </c>
      <c r="AA4857" s="609" t="s">
        <v>5713</v>
      </c>
      <c r="AE4857" s="369" t="s">
        <v>2761</v>
      </c>
    </row>
    <row r="4858" spans="1:31" ht="18" hidden="1">
      <c r="A4858" s="2714"/>
      <c r="B4858" s="371">
        <v>108</v>
      </c>
      <c r="C4858" s="371" t="s">
        <v>2791</v>
      </c>
      <c r="D4858" s="2716">
        <f t="shared" si="527"/>
        <v>0</v>
      </c>
      <c r="E4858" s="2721">
        <v>1</v>
      </c>
      <c r="F4858" s="294"/>
      <c r="G4858" s="2467" t="s">
        <v>2792</v>
      </c>
      <c r="H4858" s="2275"/>
      <c r="I4858" s="2296"/>
      <c r="J4858" s="291"/>
      <c r="K4858" s="291"/>
      <c r="L4858" s="291"/>
      <c r="M4858" s="291"/>
      <c r="S4858" s="364"/>
      <c r="Z4858" s="609" t="s">
        <v>4308</v>
      </c>
      <c r="AA4858" s="609" t="s">
        <v>5713</v>
      </c>
      <c r="AE4858" s="369" t="s">
        <v>2761</v>
      </c>
    </row>
    <row r="4859" spans="1:31" ht="18.75" hidden="1" thickBot="1">
      <c r="A4859" s="2714"/>
      <c r="B4859" s="371"/>
      <c r="C4859" s="371"/>
      <c r="D4859" s="2716">
        <f t="shared" si="527"/>
        <v>1</v>
      </c>
      <c r="E4859" s="2721" t="s">
        <v>2751</v>
      </c>
      <c r="F4859" s="294"/>
      <c r="G4859" s="310" t="s">
        <v>2752</v>
      </c>
      <c r="H4859" s="1481">
        <f>SUMPRODUCT($E4850:$E4858,H4850:H4858)</f>
        <v>0</v>
      </c>
      <c r="I4859" s="1482">
        <f>SUMPRODUCT($E4850:$E4858,I4850:I4858)</f>
        <v>0</v>
      </c>
      <c r="J4859" s="291"/>
      <c r="K4859" s="291"/>
      <c r="L4859" s="291"/>
      <c r="M4859" s="291"/>
      <c r="S4859" s="364"/>
      <c r="Z4859" s="609" t="s">
        <v>4308</v>
      </c>
      <c r="AA4859" s="609" t="s">
        <v>5713</v>
      </c>
      <c r="AE4859" s="369" t="s">
        <v>2761</v>
      </c>
    </row>
    <row r="4860" spans="1:31" ht="18" hidden="1">
      <c r="A4860" s="2714"/>
      <c r="B4860" s="371"/>
      <c r="C4860" s="371" t="s">
        <v>2755</v>
      </c>
      <c r="D4860" s="2716"/>
      <c r="F4860" s="293"/>
      <c r="G4860" s="376"/>
      <c r="H4860" s="315"/>
      <c r="I4860" s="396"/>
      <c r="J4860" s="425"/>
      <c r="K4860" s="426"/>
      <c r="L4860" s="427"/>
      <c r="M4860" s="425"/>
      <c r="N4860" s="426"/>
      <c r="O4860" s="427"/>
      <c r="P4860" s="425"/>
      <c r="Q4860" s="442"/>
      <c r="R4860" s="443"/>
      <c r="S4860" s="364"/>
      <c r="Z4860" s="609" t="s">
        <v>4308</v>
      </c>
      <c r="AA4860" s="609" t="s">
        <v>5713</v>
      </c>
      <c r="AE4860" s="369" t="s">
        <v>2761</v>
      </c>
    </row>
    <row r="4861" spans="1:31" ht="17.25">
      <c r="A4861" s="2715">
        <v>6672</v>
      </c>
      <c r="B4861" s="371">
        <v>71</v>
      </c>
      <c r="C4861" s="2716" t="str">
        <f>VLOOKUP($A4861,Sheet_Items,2,0)</f>
        <v>信用减值损失</v>
      </c>
      <c r="D4861" s="371"/>
      <c r="E4861" s="2716" t="s">
        <v>2739</v>
      </c>
      <c r="F4861" s="293"/>
      <c r="G4861" s="305" t="str">
        <f>B4861&amp;" "&amp;C4861</f>
        <v>71 信用减值损失</v>
      </c>
      <c r="H4861" s="306"/>
      <c r="I4861" s="306"/>
      <c r="J4861" s="306" t="s">
        <v>4206</v>
      </c>
      <c r="K4861" s="341">
        <f>VLOOKUP($A4861,Sheet_Trialbal,6,0)</f>
        <v>3895.59</v>
      </c>
      <c r="L4861" s="342"/>
      <c r="M4861" s="306" t="s">
        <v>4207</v>
      </c>
      <c r="N4861" s="341">
        <f>VLOOKUP($A4861,Sheet_Trialbal,10,0)</f>
        <v>0</v>
      </c>
      <c r="O4861" s="342"/>
      <c r="P4861" s="301"/>
      <c r="S4861" s="364"/>
      <c r="Z4861" s="609" t="s">
        <v>4314</v>
      </c>
      <c r="AA4861" s="609" t="s">
        <v>4315</v>
      </c>
    </row>
    <row r="4862" spans="1:31" ht="18">
      <c r="A4862" s="2714" t="s">
        <v>1930</v>
      </c>
      <c r="B4862" s="371">
        <v>1</v>
      </c>
      <c r="C4862" s="371"/>
      <c r="D4862" s="2716" t="str">
        <f>VLOOKUP($A4862,Sheet_NoteList,2,0)</f>
        <v>信用减值损失明细项目</v>
      </c>
      <c r="E4862" s="2716" t="s">
        <v>2742</v>
      </c>
      <c r="F4862" s="293"/>
      <c r="G4862" s="372" t="str">
        <f>"("&amp;B4862&amp;")"&amp;D4862</f>
        <v>(1)信用减值损失明细项目</v>
      </c>
      <c r="H4862" s="1517" t="str">
        <f>$A4862</f>
        <v>6672a</v>
      </c>
      <c r="I4862" s="343" t="s">
        <v>2743</v>
      </c>
      <c r="J4862" s="301" t="s">
        <v>4210</v>
      </c>
      <c r="K4862" s="2210">
        <f>H4873</f>
        <v>3895.59</v>
      </c>
      <c r="L4862" s="349" t="str">
        <f>IF($I4862="适用",IF(ROUND(K$4861-K4862,2)=0,"F/S",ROUND(K$4861-K4862,2)),"#N/A")</f>
        <v>F/S</v>
      </c>
      <c r="M4862" s="301" t="s">
        <v>4211</v>
      </c>
      <c r="N4862" s="2210">
        <f>I4873</f>
        <v>0</v>
      </c>
      <c r="O4862" s="349" t="str">
        <f>IF($I4862="适用",IF(ROUND(N$4861-N4862,2)=0,"F/S",ROUND(N$4861-N4862,2)),"#N/A")</f>
        <v>F/S</v>
      </c>
      <c r="P4862" s="301"/>
      <c r="S4862" s="364"/>
      <c r="Z4862" s="609" t="s">
        <v>4314</v>
      </c>
      <c r="AA4862" s="609" t="s">
        <v>4315</v>
      </c>
    </row>
    <row r="4863" spans="1:31" ht="0.75" customHeight="1" thickBot="1">
      <c r="A4863" s="2714"/>
      <c r="B4863" s="371"/>
      <c r="C4863" s="371"/>
      <c r="D4863" s="2716"/>
      <c r="F4863" s="371"/>
      <c r="G4863" s="405" t="s">
        <v>4316</v>
      </c>
      <c r="H4863" s="371" t="s">
        <v>2747</v>
      </c>
      <c r="I4863" s="371" t="s">
        <v>2748</v>
      </c>
      <c r="J4863" s="433"/>
      <c r="K4863" s="428"/>
      <c r="L4863" s="428"/>
      <c r="M4863" s="433"/>
      <c r="N4863" s="428"/>
      <c r="O4863" s="428"/>
      <c r="P4863" s="433"/>
      <c r="Q4863" s="442"/>
      <c r="R4863" s="443"/>
      <c r="S4863" s="364"/>
      <c r="Z4863" s="609" t="s">
        <v>4314</v>
      </c>
      <c r="AA4863" s="609" t="s">
        <v>4315</v>
      </c>
    </row>
    <row r="4864" spans="1:31" ht="18.75" thickTop="1">
      <c r="A4864" s="2714"/>
      <c r="B4864" s="371"/>
      <c r="C4864" s="371"/>
      <c r="D4864" s="2716"/>
      <c r="E4864" s="2716" t="s">
        <v>2749</v>
      </c>
      <c r="F4864" s="293"/>
      <c r="G4864" s="2305" t="s">
        <v>47</v>
      </c>
      <c r="H4864" s="2291" t="str">
        <f>$V$4</f>
        <v>2019年度</v>
      </c>
      <c r="I4864" s="2293" t="str">
        <f>$V$5</f>
        <v>2018年度</v>
      </c>
      <c r="J4864" s="355" t="s">
        <v>5336</v>
      </c>
      <c r="K4864" s="1584" t="s">
        <v>5496</v>
      </c>
      <c r="L4864" s="1584" t="s">
        <v>5497</v>
      </c>
      <c r="M4864" s="1584" t="s">
        <v>5498</v>
      </c>
      <c r="N4864" s="434"/>
      <c r="O4864" s="434"/>
      <c r="P4864" s="435"/>
      <c r="Q4864" s="442"/>
      <c r="R4864" s="443"/>
      <c r="S4864" s="364"/>
      <c r="Z4864" s="609" t="s">
        <v>4314</v>
      </c>
      <c r="AA4864" s="609" t="s">
        <v>4315</v>
      </c>
    </row>
    <row r="4865" spans="1:27" ht="18">
      <c r="A4865" s="2714"/>
      <c r="B4865" s="371">
        <v>101</v>
      </c>
      <c r="C4865" s="371"/>
      <c r="D4865" s="2716">
        <f t="shared" ref="D4865:D4873" si="528">IF(OR(G4865="*",G4865="",G4865=0),0,COUNTIF($G$4865:$G$4873,G4865))</f>
        <v>1</v>
      </c>
      <c r="E4865" s="2721">
        <v>1</v>
      </c>
      <c r="F4865" s="293"/>
      <c r="G4865" s="308" t="s">
        <v>4317</v>
      </c>
      <c r="H4865" s="309"/>
      <c r="I4865" s="1475">
        <v>0</v>
      </c>
      <c r="J4865" s="438"/>
      <c r="K4865" s="1587" t="s">
        <v>5499</v>
      </c>
      <c r="L4865" s="1588">
        <f ca="1">HYPERLINK("#'"&amp;$G$1&amp;"'!"&amp;ADDRESS(ROW(Notes!K264),COLUMN(Notes!K264),4),K264)</f>
        <v>0</v>
      </c>
      <c r="M4865" s="1544">
        <f ca="1">L4865-H4865</f>
        <v>0</v>
      </c>
      <c r="N4865" s="437"/>
      <c r="O4865" s="437"/>
      <c r="P4865" s="438"/>
      <c r="Q4865" s="442"/>
      <c r="R4865" s="443"/>
      <c r="S4865" s="364"/>
      <c r="Z4865" s="609" t="s">
        <v>4314</v>
      </c>
      <c r="AA4865" s="609" t="s">
        <v>4315</v>
      </c>
    </row>
    <row r="4866" spans="1:27" ht="18">
      <c r="A4866" s="2714"/>
      <c r="B4866" s="371">
        <v>102</v>
      </c>
      <c r="C4866" s="371"/>
      <c r="D4866" s="2716">
        <f t="shared" si="528"/>
        <v>1</v>
      </c>
      <c r="E4866" s="2721">
        <v>1</v>
      </c>
      <c r="F4866" s="293"/>
      <c r="G4866" s="308" t="s">
        <v>4318</v>
      </c>
      <c r="H4866" s="309"/>
      <c r="I4866" s="1475">
        <v>0</v>
      </c>
      <c r="J4866" s="438"/>
      <c r="K4866" s="1587" t="s">
        <v>5500</v>
      </c>
      <c r="L4866" s="1588">
        <f ca="1">HYPERLINK("#'"&amp;$G$1&amp;"'!"&amp;ADDRESS(ROW(Notes!K592),COLUMN(Notes!K592),4),K592)</f>
        <v>0</v>
      </c>
      <c r="M4866" s="1544">
        <f t="shared" ref="M4866:M4871" ca="1" si="529">L4866-H4866</f>
        <v>0</v>
      </c>
      <c r="N4866" s="437"/>
      <c r="O4866" s="437"/>
      <c r="P4866" s="438"/>
      <c r="Q4866" s="442"/>
      <c r="R4866" s="443"/>
      <c r="S4866" s="364"/>
      <c r="Z4866" s="609" t="s">
        <v>4314</v>
      </c>
      <c r="AA4866" s="609" t="s">
        <v>4315</v>
      </c>
    </row>
    <row r="4867" spans="1:27" ht="18">
      <c r="A4867" s="2714"/>
      <c r="B4867" s="371">
        <v>103</v>
      </c>
      <c r="C4867" s="371"/>
      <c r="D4867" s="2716">
        <f t="shared" si="528"/>
        <v>1</v>
      </c>
      <c r="E4867" s="2721">
        <v>1</v>
      </c>
      <c r="F4867" s="293"/>
      <c r="G4867" s="1474" t="s">
        <v>4319</v>
      </c>
      <c r="H4867" s="309">
        <v>3895.59</v>
      </c>
      <c r="I4867" s="1475">
        <v>0</v>
      </c>
      <c r="J4867" s="438"/>
      <c r="K4867" s="1587" t="s">
        <v>5501</v>
      </c>
      <c r="L4867" s="1588">
        <f ca="1">HYPERLINK("#'"&amp;$G$1&amp;"'!"&amp;ADDRESS(ROW(Notes!K1482),COLUMN(Notes!K1482),4),K1482)</f>
        <v>0</v>
      </c>
      <c r="M4867" s="1544">
        <f t="shared" ca="1" si="529"/>
        <v>-3895.59</v>
      </c>
      <c r="N4867" s="437"/>
      <c r="O4867" s="437"/>
      <c r="P4867" s="438"/>
      <c r="Q4867" s="442"/>
      <c r="R4867" s="443"/>
      <c r="S4867" s="364"/>
      <c r="Z4867" s="609" t="s">
        <v>4314</v>
      </c>
      <c r="AA4867" s="609" t="s">
        <v>4315</v>
      </c>
    </row>
    <row r="4868" spans="1:27" ht="18">
      <c r="A4868" s="2714"/>
      <c r="B4868" s="371">
        <v>104</v>
      </c>
      <c r="C4868" s="371"/>
      <c r="D4868" s="2716">
        <f t="shared" si="528"/>
        <v>1</v>
      </c>
      <c r="E4868" s="2721">
        <v>1</v>
      </c>
      <c r="F4868" s="293"/>
      <c r="G4868" s="308" t="s">
        <v>4320</v>
      </c>
      <c r="H4868" s="309"/>
      <c r="I4868" s="1475">
        <v>0</v>
      </c>
      <c r="J4868" s="438"/>
      <c r="K4868" s="1587" t="s">
        <v>5502</v>
      </c>
      <c r="L4868" s="1588">
        <f ca="1">HYPERLINK("#'"&amp;$G$1&amp;"'!"&amp;ADDRESS(ROW(Notes!K856),COLUMN(Notes!K856),4),HYPERLINK("#'"&amp;$G$1&amp;"'!"&amp;ADDRESS(ROW(Notes!K856),COLUMN(Notes!K856),4),K856))</f>
        <v>0</v>
      </c>
      <c r="M4868" s="1544">
        <f t="shared" ca="1" si="529"/>
        <v>0</v>
      </c>
      <c r="N4868" s="437"/>
      <c r="O4868" s="437"/>
      <c r="P4868" s="438"/>
      <c r="Q4868" s="442"/>
      <c r="R4868" s="443"/>
      <c r="S4868" s="364"/>
      <c r="Z4868" s="609" t="s">
        <v>4314</v>
      </c>
      <c r="AA4868" s="609" t="s">
        <v>4315</v>
      </c>
    </row>
    <row r="4869" spans="1:27" ht="18">
      <c r="A4869" s="2714"/>
      <c r="B4869" s="371">
        <v>105</v>
      </c>
      <c r="C4869" s="371"/>
      <c r="D4869" s="2716">
        <f t="shared" si="528"/>
        <v>1</v>
      </c>
      <c r="E4869" s="2721">
        <v>1</v>
      </c>
      <c r="F4869" s="293"/>
      <c r="G4869" s="1474" t="s">
        <v>4321</v>
      </c>
      <c r="H4869" s="309"/>
      <c r="I4869" s="1475">
        <v>0</v>
      </c>
      <c r="J4869" s="438"/>
      <c r="K4869" s="2671" t="s">
        <v>6369</v>
      </c>
      <c r="L4869" s="1588">
        <f ca="1">HYPERLINK("#'"&amp;$G$1&amp;"'!"&amp;ADDRESS(ROW(Notes!K1918),COLUMN(Notes!K1918),4),K1918)</f>
        <v>0</v>
      </c>
      <c r="M4869" s="1544">
        <f t="shared" ca="1" si="529"/>
        <v>0</v>
      </c>
      <c r="N4869" s="437"/>
      <c r="O4869" s="437"/>
      <c r="P4869" s="438"/>
      <c r="Q4869" s="442"/>
      <c r="R4869" s="443"/>
      <c r="S4869" s="364"/>
      <c r="Z4869" s="609" t="s">
        <v>4314</v>
      </c>
      <c r="AA4869" s="609" t="s">
        <v>4315</v>
      </c>
    </row>
    <row r="4870" spans="1:27" ht="18">
      <c r="A4870" s="2714"/>
      <c r="B4870" s="371">
        <v>106</v>
      </c>
      <c r="C4870" s="371"/>
      <c r="D4870" s="2716">
        <f t="shared" si="528"/>
        <v>1</v>
      </c>
      <c r="E4870" s="2721">
        <v>1</v>
      </c>
      <c r="F4870" s="293"/>
      <c r="G4870" s="1474" t="s">
        <v>4322</v>
      </c>
      <c r="H4870" s="309"/>
      <c r="I4870" s="1475">
        <v>0</v>
      </c>
      <c r="J4870" s="438"/>
      <c r="K4870" s="1587" t="s">
        <v>5503</v>
      </c>
      <c r="L4870" s="1588">
        <f ca="1">HYPERLINK("#'"&amp;$G$1&amp;"'!"&amp;ADDRESS(ROW(Notes!K2128),COLUMN(Notes!K2128),4),K2128)</f>
        <v>0</v>
      </c>
      <c r="M4870" s="1544">
        <f t="shared" ca="1" si="529"/>
        <v>0</v>
      </c>
      <c r="N4870" s="437"/>
      <c r="O4870" s="437"/>
      <c r="P4870" s="438"/>
      <c r="Q4870" s="442"/>
      <c r="R4870" s="443"/>
      <c r="S4870" s="364"/>
      <c r="Z4870" s="609" t="s">
        <v>4314</v>
      </c>
      <c r="AA4870" s="609" t="s">
        <v>4315</v>
      </c>
    </row>
    <row r="4871" spans="1:27" ht="18">
      <c r="A4871" s="2714"/>
      <c r="B4871" s="371">
        <v>107</v>
      </c>
      <c r="C4871" s="371"/>
      <c r="D4871" s="2716">
        <f t="shared" si="528"/>
        <v>1</v>
      </c>
      <c r="E4871" s="2721">
        <v>1</v>
      </c>
      <c r="F4871" s="293"/>
      <c r="G4871" s="1474" t="s">
        <v>4323</v>
      </c>
      <c r="H4871" s="309"/>
      <c r="I4871" s="1475">
        <v>0</v>
      </c>
      <c r="J4871" s="438"/>
      <c r="K4871" s="1587" t="s">
        <v>5504</v>
      </c>
      <c r="L4871" s="1588">
        <f ca="1">HYPERLINK("#'"&amp;$G$1&amp;"'!"&amp;ADDRESS(ROW(Notes!K2340),COLUMN(Notes!K2340),4),K2340)</f>
        <v>0</v>
      </c>
      <c r="M4871" s="1544">
        <f t="shared" ca="1" si="529"/>
        <v>0</v>
      </c>
      <c r="N4871" s="437"/>
      <c r="O4871" s="437"/>
      <c r="P4871" s="438"/>
      <c r="Q4871" s="442"/>
      <c r="R4871" s="443"/>
      <c r="S4871" s="364"/>
      <c r="Z4871" s="609" t="s">
        <v>4314</v>
      </c>
      <c r="AA4871" s="609" t="s">
        <v>4315</v>
      </c>
    </row>
    <row r="4872" spans="1:27" ht="18">
      <c r="A4872" s="2714"/>
      <c r="B4872" s="371">
        <v>108</v>
      </c>
      <c r="C4872" s="371" t="s">
        <v>2791</v>
      </c>
      <c r="D4872" s="2716">
        <f t="shared" si="528"/>
        <v>0</v>
      </c>
      <c r="E4872" s="2721">
        <v>1</v>
      </c>
      <c r="F4872" s="293"/>
      <c r="G4872" s="319" t="s">
        <v>2792</v>
      </c>
      <c r="H4872" s="309"/>
      <c r="I4872" s="1475">
        <v>0</v>
      </c>
      <c r="J4872" s="438"/>
      <c r="M4872" s="1544"/>
      <c r="N4872" s="437"/>
      <c r="O4872" s="437"/>
      <c r="P4872" s="438"/>
      <c r="Q4872" s="442"/>
      <c r="R4872" s="443"/>
      <c r="S4872" s="364"/>
      <c r="Z4872" s="609" t="s">
        <v>4314</v>
      </c>
      <c r="AA4872" s="609" t="s">
        <v>4315</v>
      </c>
    </row>
    <row r="4873" spans="1:27" ht="18.75" thickBot="1">
      <c r="A4873" s="2714"/>
      <c r="B4873" s="371"/>
      <c r="C4873" s="371"/>
      <c r="D4873" s="2716">
        <f t="shared" si="528"/>
        <v>1</v>
      </c>
      <c r="E4873" s="2721" t="s">
        <v>2751</v>
      </c>
      <c r="F4873" s="293"/>
      <c r="G4873" s="2234" t="s">
        <v>2752</v>
      </c>
      <c r="H4873" s="2325">
        <f>SUMPRODUCT($E4864:$E4872,H4864:H4872)</f>
        <v>3895.59</v>
      </c>
      <c r="I4873" s="2342">
        <f>SUMPRODUCT($E4864:$E4872,I4864:I4872)</f>
        <v>0</v>
      </c>
      <c r="J4873" s="440"/>
      <c r="M4873" s="1557">
        <f t="shared" ref="M4873" ca="1" si="530">SUM(M4865:M4872)</f>
        <v>-3895.59</v>
      </c>
      <c r="N4873" s="437"/>
      <c r="O4873" s="437"/>
      <c r="P4873" s="440"/>
      <c r="Q4873" s="442"/>
      <c r="R4873" s="443"/>
      <c r="S4873" s="364"/>
      <c r="Z4873" s="609" t="s">
        <v>4314</v>
      </c>
      <c r="AA4873" s="609" t="s">
        <v>4315</v>
      </c>
    </row>
    <row r="4874" spans="1:27" ht="18">
      <c r="A4874" s="2714"/>
      <c r="B4874" s="371"/>
      <c r="C4874" s="371" t="s">
        <v>2755</v>
      </c>
      <c r="D4874" s="2716"/>
      <c r="F4874" s="293"/>
      <c r="G4874" s="376"/>
      <c r="H4874" s="315"/>
      <c r="I4874" s="396"/>
      <c r="J4874" s="425"/>
      <c r="K4874" s="1585" t="s">
        <v>5495</v>
      </c>
      <c r="L4874" s="427"/>
      <c r="O4874" s="427"/>
      <c r="P4874" s="425"/>
      <c r="Q4874" s="442"/>
      <c r="R4874" s="443"/>
      <c r="S4874" s="364"/>
      <c r="Z4874" s="609" t="s">
        <v>4314</v>
      </c>
      <c r="AA4874" s="609" t="s">
        <v>4315</v>
      </c>
    </row>
    <row r="4875" spans="1:27" ht="18">
      <c r="A4875" s="2714">
        <v>6671</v>
      </c>
      <c r="B4875" s="371">
        <v>72</v>
      </c>
      <c r="C4875" s="2716" t="str">
        <f>VLOOKUP($A4875,Sheet_Items,2,0)</f>
        <v>资产减值损失</v>
      </c>
      <c r="D4875" s="371"/>
      <c r="E4875" s="2716" t="s">
        <v>2739</v>
      </c>
      <c r="F4875" s="294"/>
      <c r="G4875" s="305" t="str">
        <f>B4875&amp;" "&amp;C4875</f>
        <v>72 资产减值损失</v>
      </c>
      <c r="H4875" s="306"/>
      <c r="I4875" s="306"/>
      <c r="J4875" s="306" t="s">
        <v>4206</v>
      </c>
      <c r="K4875" s="341">
        <f>VLOOKUP($A4875,Sheet_Trialbal,6,0)</f>
        <v>0</v>
      </c>
      <c r="L4875" s="342"/>
      <c r="M4875" s="306" t="s">
        <v>4207</v>
      </c>
      <c r="N4875" s="341">
        <f>VLOOKUP($A4875,Sheet_Trialbal,10,0)</f>
        <v>-29565.119999999999</v>
      </c>
      <c r="O4875" s="306"/>
      <c r="P4875" s="301"/>
      <c r="S4875" s="364"/>
      <c r="Z4875" s="609" t="s">
        <v>4324</v>
      </c>
      <c r="AA4875" s="609" t="s">
        <v>5714</v>
      </c>
    </row>
    <row r="4876" spans="1:27" ht="18">
      <c r="A4876" s="2714" t="s">
        <v>1927</v>
      </c>
      <c r="B4876" s="371">
        <v>1</v>
      </c>
      <c r="C4876" s="371"/>
      <c r="D4876" s="2716" t="str">
        <f>VLOOKUP($A4876,Sheet_NoteList,2,0)</f>
        <v>资产减值损失明细项目</v>
      </c>
      <c r="E4876" s="2716" t="s">
        <v>2742</v>
      </c>
      <c r="F4876" s="294"/>
      <c r="G4876" s="372" t="str">
        <f>"("&amp;B4876&amp;")"&amp;D4876</f>
        <v>(1)资产减值损失明细项目</v>
      </c>
      <c r="H4876" s="1517" t="str">
        <f>$A4876</f>
        <v>6671a</v>
      </c>
      <c r="I4876" s="343" t="s">
        <v>2743</v>
      </c>
      <c r="J4876" s="301" t="s">
        <v>4210</v>
      </c>
      <c r="K4876" s="2210">
        <f>H4895</f>
        <v>0</v>
      </c>
      <c r="L4876" s="345" t="str">
        <f>IF($I4876="适用",IF(ROUND(K4875-K4876,2)=0,"F/S",ROUND(K4875-K4876,2)),"#N/A")</f>
        <v>F/S</v>
      </c>
      <c r="M4876" s="301" t="s">
        <v>4211</v>
      </c>
      <c r="N4876" s="2210">
        <f>I4895</f>
        <v>0</v>
      </c>
      <c r="O4876" s="345">
        <f>IF($I4876="适用",IF(ROUND(N4875-N4876,2)=0,"F/S",ROUND(N4875-N4876,2)),"#N/A")</f>
        <v>-29565.119999999999</v>
      </c>
      <c r="P4876" s="301"/>
      <c r="Q4876" s="290" t="str">
        <f>IF($I4876="不适用","",IF(ROUND(SUM($H$4879:$I$4895),2)=0,"请输入",""))</f>
        <v>请输入</v>
      </c>
      <c r="S4876" s="364"/>
      <c r="Z4876" s="609" t="s">
        <v>4324</v>
      </c>
      <c r="AA4876" s="609" t="s">
        <v>5714</v>
      </c>
    </row>
    <row r="4877" spans="1:27" ht="0.75" customHeight="1" thickBot="1">
      <c r="A4877" s="2714"/>
      <c r="B4877" s="371"/>
      <c r="C4877" s="371"/>
      <c r="D4877" s="371"/>
      <c r="F4877" s="294"/>
      <c r="G4877" s="294" t="s">
        <v>4325</v>
      </c>
      <c r="H4877" s="294" t="s">
        <v>4223</v>
      </c>
      <c r="I4877" s="294" t="s">
        <v>4224</v>
      </c>
      <c r="J4877" s="291"/>
      <c r="K4877" s="291"/>
      <c r="L4877" s="291"/>
      <c r="M4877" s="291"/>
      <c r="S4877" s="364"/>
      <c r="Z4877" s="609" t="s">
        <v>4324</v>
      </c>
      <c r="AA4877" s="609" t="s">
        <v>5714</v>
      </c>
    </row>
    <row r="4878" spans="1:27" ht="18.75" thickTop="1">
      <c r="A4878" s="2714"/>
      <c r="B4878" s="371"/>
      <c r="C4878" s="371"/>
      <c r="D4878" s="371"/>
      <c r="E4878" s="2716" t="s">
        <v>2749</v>
      </c>
      <c r="F4878" s="294"/>
      <c r="G4878" s="2608" t="s">
        <v>47</v>
      </c>
      <c r="H4878" s="2609" t="str">
        <f>$V$4</f>
        <v>2019年度</v>
      </c>
      <c r="I4878" s="2610" t="str">
        <f>$V$5</f>
        <v>2018年度</v>
      </c>
      <c r="J4878" s="355" t="s">
        <v>5337</v>
      </c>
      <c r="K4878" s="1584" t="s">
        <v>5496</v>
      </c>
      <c r="L4878" s="1584" t="s">
        <v>5497</v>
      </c>
      <c r="M4878" s="1530" t="s">
        <v>5506</v>
      </c>
      <c r="S4878" s="364"/>
      <c r="Z4878" s="609" t="s">
        <v>4324</v>
      </c>
      <c r="AA4878" s="609" t="s">
        <v>5714</v>
      </c>
    </row>
    <row r="4879" spans="1:27" ht="18">
      <c r="A4879" s="2714"/>
      <c r="B4879" s="371">
        <v>101</v>
      </c>
      <c r="C4879" s="371"/>
      <c r="D4879" s="2716">
        <f t="shared" ref="D4879:D4895" si="531">IF(OR(G4879="*",G4879="",G4879=0),0,COUNTIF($G$4879:$G$4895,G4879))</f>
        <v>1</v>
      </c>
      <c r="E4879" s="2721">
        <v>1</v>
      </c>
      <c r="F4879" s="294"/>
      <c r="G4879" s="380" t="s">
        <v>4326</v>
      </c>
      <c r="H4879" s="2329">
        <v>0</v>
      </c>
      <c r="I4879" s="401"/>
      <c r="J4879" s="291"/>
      <c r="K4879" s="1586"/>
      <c r="L4879" s="1590"/>
      <c r="M4879" s="456"/>
      <c r="S4879" s="364"/>
      <c r="Z4879" s="609" t="s">
        <v>4324</v>
      </c>
      <c r="AA4879" s="609" t="s">
        <v>5714</v>
      </c>
    </row>
    <row r="4880" spans="1:27" ht="18">
      <c r="A4880" s="2714"/>
      <c r="B4880" s="371">
        <v>102</v>
      </c>
      <c r="C4880" s="371"/>
      <c r="D4880" s="2716">
        <f t="shared" si="531"/>
        <v>1</v>
      </c>
      <c r="E4880" s="2721">
        <v>1</v>
      </c>
      <c r="F4880" s="294"/>
      <c r="G4880" s="380" t="s">
        <v>4327</v>
      </c>
      <c r="H4880" s="383"/>
      <c r="I4880" s="401"/>
      <c r="J4880" s="291"/>
      <c r="K4880" s="1587" t="s">
        <v>5507</v>
      </c>
      <c r="L4880" s="1588">
        <f ca="1">HYPERLINK("#'"&amp;$G$1&amp;"'!"&amp;ADDRESS(ROW(Notes!I1653),COLUMN(Notes!I1653),4),I1653)</f>
        <v>0</v>
      </c>
      <c r="M4880" s="456">
        <f ca="1">L4880-H4880</f>
        <v>0</v>
      </c>
      <c r="S4880" s="364"/>
      <c r="Z4880" s="609" t="s">
        <v>4324</v>
      </c>
      <c r="AA4880" s="609" t="s">
        <v>5714</v>
      </c>
    </row>
    <row r="4881" spans="1:27" ht="24">
      <c r="A4881" s="2714"/>
      <c r="B4881" s="371">
        <v>103</v>
      </c>
      <c r="C4881" s="371"/>
      <c r="D4881" s="2716">
        <f t="shared" si="531"/>
        <v>1</v>
      </c>
      <c r="E4881" s="2721">
        <v>1</v>
      </c>
      <c r="F4881" s="294"/>
      <c r="G4881" s="380" t="s">
        <v>4328</v>
      </c>
      <c r="H4881" s="2329">
        <v>0</v>
      </c>
      <c r="I4881" s="401"/>
      <c r="J4881" s="291"/>
      <c r="K4881" s="1586"/>
      <c r="L4881" s="1590"/>
      <c r="M4881" s="456"/>
      <c r="S4881" s="364"/>
      <c r="Z4881" s="609" t="s">
        <v>4324</v>
      </c>
      <c r="AA4881" s="609" t="s">
        <v>5714</v>
      </c>
    </row>
    <row r="4882" spans="1:27" ht="18">
      <c r="A4882" s="2714"/>
      <c r="B4882" s="371">
        <v>104</v>
      </c>
      <c r="C4882" s="371"/>
      <c r="D4882" s="2716">
        <f t="shared" si="531"/>
        <v>1</v>
      </c>
      <c r="E4882" s="2721">
        <v>1</v>
      </c>
      <c r="F4882" s="294"/>
      <c r="G4882" s="380" t="s">
        <v>4329</v>
      </c>
      <c r="H4882" s="2329">
        <v>0</v>
      </c>
      <c r="I4882" s="401"/>
      <c r="J4882" s="291"/>
      <c r="K4882" s="1586"/>
      <c r="L4882" s="1590"/>
      <c r="M4882" s="456"/>
      <c r="S4882" s="364"/>
      <c r="Z4882" s="609" t="s">
        <v>4324</v>
      </c>
      <c r="AA4882" s="609" t="s">
        <v>5714</v>
      </c>
    </row>
    <row r="4883" spans="1:27" ht="18">
      <c r="A4883" s="2714"/>
      <c r="B4883" s="371">
        <v>105</v>
      </c>
      <c r="C4883" s="371"/>
      <c r="D4883" s="2716">
        <f t="shared" si="531"/>
        <v>1</v>
      </c>
      <c r="E4883" s="2721">
        <v>1</v>
      </c>
      <c r="F4883" s="294"/>
      <c r="G4883" s="380" t="s">
        <v>4330</v>
      </c>
      <c r="H4883" s="383"/>
      <c r="I4883" s="401"/>
      <c r="J4883" s="291"/>
      <c r="K4883" s="1587" t="s">
        <v>5508</v>
      </c>
      <c r="L4883" s="1588">
        <f ca="1">HYPERLINK("#'"&amp;$G$1&amp;"'!"&amp;ADDRESS(ROW(Notes!O2494),COLUMN(Notes!O2494),4),O2494)</f>
        <v>0</v>
      </c>
      <c r="M4883" s="456">
        <f t="shared" ref="M4883:M4892" ca="1" si="532">L4883-H4883</f>
        <v>0</v>
      </c>
      <c r="S4883" s="364"/>
      <c r="Z4883" s="609" t="s">
        <v>4324</v>
      </c>
      <c r="AA4883" s="609" t="s">
        <v>5714</v>
      </c>
    </row>
    <row r="4884" spans="1:27" ht="18">
      <c r="A4884" s="2714"/>
      <c r="B4884" s="371">
        <v>106</v>
      </c>
      <c r="C4884" s="371"/>
      <c r="D4884" s="2716">
        <f t="shared" si="531"/>
        <v>1</v>
      </c>
      <c r="E4884" s="2721">
        <v>1</v>
      </c>
      <c r="F4884" s="294"/>
      <c r="G4884" s="380" t="s">
        <v>4331</v>
      </c>
      <c r="H4884" s="383"/>
      <c r="I4884" s="401"/>
      <c r="J4884" s="291"/>
      <c r="K4884" s="1587" t="s">
        <v>5509</v>
      </c>
      <c r="L4884" s="1588">
        <f ca="1">HYPERLINK("#'"&amp;$G$1&amp;"'!"&amp;ADDRESS(ROW(Notes!K2587),COLUMN(Notes!K2587),4),K2587)</f>
        <v>0</v>
      </c>
      <c r="M4884" s="456">
        <f t="shared" ca="1" si="532"/>
        <v>0</v>
      </c>
      <c r="S4884" s="364"/>
      <c r="Z4884" s="609" t="s">
        <v>4324</v>
      </c>
      <c r="AA4884" s="609" t="s">
        <v>5714</v>
      </c>
    </row>
    <row r="4885" spans="1:27" ht="18">
      <c r="A4885" s="2714"/>
      <c r="B4885" s="371">
        <v>107</v>
      </c>
      <c r="C4885" s="371"/>
      <c r="D4885" s="2716">
        <f t="shared" si="531"/>
        <v>1</v>
      </c>
      <c r="E4885" s="2721">
        <v>1</v>
      </c>
      <c r="F4885" s="294"/>
      <c r="G4885" s="380" t="s">
        <v>4332</v>
      </c>
      <c r="H4885" s="383"/>
      <c r="I4885" s="401"/>
      <c r="J4885" s="291"/>
      <c r="K4885" s="1587" t="s">
        <v>5510</v>
      </c>
      <c r="L4885" s="1588">
        <f ca="1">HYPERLINK("#'"&amp;$G$1&amp;"'!"&amp;ADDRESS(ROW(Notes!L2685),COLUMN(Notes!L2685),4),L2685)</f>
        <v>0</v>
      </c>
      <c r="M4885" s="456">
        <f t="shared" ca="1" si="532"/>
        <v>0</v>
      </c>
      <c r="S4885" s="364"/>
      <c r="Z4885" s="609" t="s">
        <v>4324</v>
      </c>
      <c r="AA4885" s="609" t="s">
        <v>5714</v>
      </c>
    </row>
    <row r="4886" spans="1:27" ht="18">
      <c r="A4886" s="2714"/>
      <c r="B4886" s="371">
        <v>108</v>
      </c>
      <c r="C4886" s="371"/>
      <c r="D4886" s="2716">
        <f t="shared" si="531"/>
        <v>1</v>
      </c>
      <c r="E4886" s="2721">
        <v>1</v>
      </c>
      <c r="F4886" s="294"/>
      <c r="G4886" s="380" t="s">
        <v>4333</v>
      </c>
      <c r="H4886" s="383"/>
      <c r="I4886" s="401"/>
      <c r="J4886" s="291"/>
      <c r="K4886" s="2671" t="s">
        <v>6638</v>
      </c>
      <c r="L4886" s="1588">
        <f ca="1">HYPERLINK("#'"&amp;$G$1&amp;"'!"&amp;ADDRESS(ROW(Notes!I2917),COLUMN(Notes!I2917),4),I2917-L2917)</f>
        <v>0</v>
      </c>
      <c r="M4886" s="456">
        <f t="shared" ca="1" si="532"/>
        <v>0</v>
      </c>
      <c r="N4886" s="2264" t="s">
        <v>6370</v>
      </c>
      <c r="S4886" s="364"/>
      <c r="Z4886" s="609" t="s">
        <v>4324</v>
      </c>
      <c r="AA4886" s="609" t="s">
        <v>5714</v>
      </c>
    </row>
    <row r="4887" spans="1:27" ht="18">
      <c r="A4887" s="2714"/>
      <c r="B4887" s="371">
        <v>109</v>
      </c>
      <c r="C4887" s="371"/>
      <c r="D4887" s="2716">
        <f t="shared" si="531"/>
        <v>1</v>
      </c>
      <c r="E4887" s="2721">
        <v>1</v>
      </c>
      <c r="F4887" s="294"/>
      <c r="G4887" s="380" t="s">
        <v>4334</v>
      </c>
      <c r="H4887" s="383"/>
      <c r="I4887" s="401"/>
      <c r="J4887" s="291"/>
      <c r="K4887" s="1587" t="s">
        <v>5511</v>
      </c>
      <c r="L4887" s="1588">
        <f ca="1">HYPERLINK("#'"&amp;$G$1&amp;"'!"&amp;ADDRESS(ROW(Notes!H2888),COLUMN(Notes!H2888),4),H2888-I2888)</f>
        <v>0</v>
      </c>
      <c r="M4887" s="456">
        <f t="shared" ca="1" si="532"/>
        <v>0</v>
      </c>
      <c r="N4887" s="2264" t="s">
        <v>6370</v>
      </c>
      <c r="S4887" s="364"/>
      <c r="Z4887" s="609" t="s">
        <v>4324</v>
      </c>
      <c r="AA4887" s="609" t="s">
        <v>5714</v>
      </c>
    </row>
    <row r="4888" spans="1:27" ht="18">
      <c r="A4888" s="2714"/>
      <c r="B4888" s="371">
        <v>110</v>
      </c>
      <c r="C4888" s="371"/>
      <c r="D4888" s="2716">
        <f t="shared" si="531"/>
        <v>1</v>
      </c>
      <c r="E4888" s="2721">
        <v>1</v>
      </c>
      <c r="F4888" s="294"/>
      <c r="G4888" s="380" t="s">
        <v>4335</v>
      </c>
      <c r="H4888" s="383"/>
      <c r="I4888" s="401"/>
      <c r="J4888" s="291"/>
      <c r="K4888" s="1587" t="s">
        <v>5512</v>
      </c>
      <c r="L4888" s="1588">
        <f ca="1">HYPERLINK("#'"&amp;$G$1&amp;"'!"&amp;ADDRESS(ROW(Notes!K2966),COLUMN(Notes!K2966),4),K2966)</f>
        <v>0</v>
      </c>
      <c r="M4888" s="456">
        <f t="shared" ca="1" si="532"/>
        <v>0</v>
      </c>
      <c r="S4888" s="364"/>
      <c r="Z4888" s="609" t="s">
        <v>4324</v>
      </c>
      <c r="AA4888" s="609" t="s">
        <v>5714</v>
      </c>
    </row>
    <row r="4889" spans="1:27" ht="18">
      <c r="A4889" s="2714"/>
      <c r="B4889" s="371">
        <v>111</v>
      </c>
      <c r="C4889" s="371"/>
      <c r="D4889" s="2716">
        <f t="shared" si="531"/>
        <v>1</v>
      </c>
      <c r="E4889" s="2721">
        <v>1</v>
      </c>
      <c r="F4889" s="294"/>
      <c r="G4889" s="380" t="s">
        <v>4336</v>
      </c>
      <c r="H4889" s="383"/>
      <c r="I4889" s="401"/>
      <c r="J4889" s="291"/>
      <c r="K4889" s="1587" t="s">
        <v>5513</v>
      </c>
      <c r="L4889" s="1588">
        <f ca="1">HYPERLINK("#'"&amp;$G$1&amp;"'!"&amp;ADDRESS(ROW(Notes!L3031),COLUMN(Notes!L3031),4),L3031)</f>
        <v>0</v>
      </c>
      <c r="M4889" s="456">
        <f t="shared" ca="1" si="532"/>
        <v>0</v>
      </c>
      <c r="S4889" s="364"/>
      <c r="Z4889" s="609" t="s">
        <v>4324</v>
      </c>
      <c r="AA4889" s="609" t="s">
        <v>5714</v>
      </c>
    </row>
    <row r="4890" spans="1:27" ht="18">
      <c r="A4890" s="2714"/>
      <c r="B4890" s="371">
        <v>112</v>
      </c>
      <c r="C4890" s="371"/>
      <c r="D4890" s="2716">
        <f t="shared" si="531"/>
        <v>1</v>
      </c>
      <c r="E4890" s="2721">
        <v>1</v>
      </c>
      <c r="F4890" s="294"/>
      <c r="G4890" s="380" t="s">
        <v>4337</v>
      </c>
      <c r="H4890" s="383"/>
      <c r="I4890" s="401"/>
      <c r="J4890" s="291"/>
      <c r="K4890" s="1587" t="s">
        <v>5514</v>
      </c>
      <c r="L4890" s="1588">
        <f ca="1">HYPERLINK("#'"&amp;$G$1&amp;"'!"&amp;ADDRESS(ROW(Notes!L3089),COLUMN(Notes!L3089),4),L3089)</f>
        <v>0</v>
      </c>
      <c r="M4890" s="456">
        <f t="shared" ca="1" si="532"/>
        <v>0</v>
      </c>
      <c r="S4890" s="364"/>
      <c r="Z4890" s="609" t="s">
        <v>4324</v>
      </c>
      <c r="AA4890" s="609" t="s">
        <v>5714</v>
      </c>
    </row>
    <row r="4891" spans="1:27" ht="18">
      <c r="A4891" s="2714"/>
      <c r="B4891" s="371">
        <v>113</v>
      </c>
      <c r="C4891" s="371"/>
      <c r="D4891" s="2716">
        <f t="shared" si="531"/>
        <v>1</v>
      </c>
      <c r="E4891" s="2721">
        <v>1</v>
      </c>
      <c r="F4891" s="294"/>
      <c r="G4891" s="380" t="s">
        <v>4338</v>
      </c>
      <c r="H4891" s="383"/>
      <c r="I4891" s="401"/>
      <c r="J4891" s="291"/>
      <c r="K4891" s="1587" t="s">
        <v>5515</v>
      </c>
      <c r="L4891" s="1588">
        <f ca="1">HYPERLINK("#'"&amp;$G$1&amp;"'!"&amp;ADDRESS(ROW(Notes!I3210),COLUMN(Notes!I3210),4),I3210)</f>
        <v>0</v>
      </c>
      <c r="M4891" s="456">
        <f t="shared" ca="1" si="532"/>
        <v>0</v>
      </c>
      <c r="S4891" s="364"/>
      <c r="Z4891" s="609" t="s">
        <v>4324</v>
      </c>
      <c r="AA4891" s="609" t="s">
        <v>5714</v>
      </c>
    </row>
    <row r="4892" spans="1:27" ht="18">
      <c r="A4892" s="2714"/>
      <c r="B4892" s="371">
        <v>114</v>
      </c>
      <c r="C4892" s="371"/>
      <c r="D4892" s="2716">
        <f t="shared" si="531"/>
        <v>1</v>
      </c>
      <c r="E4892" s="2721">
        <v>1</v>
      </c>
      <c r="F4892" s="294"/>
      <c r="G4892" s="380" t="s">
        <v>4339</v>
      </c>
      <c r="H4892" s="383"/>
      <c r="I4892" s="401"/>
      <c r="J4892" s="291"/>
      <c r="K4892" s="1587" t="s">
        <v>5516</v>
      </c>
      <c r="L4892" s="1588">
        <f ca="1">HYPERLINK("#'"&amp;$G$1&amp;"'!"&amp;ADDRESS(ROW(Notes!I1787),COLUMN(Notes!I1787),4),I1787)</f>
        <v>0</v>
      </c>
      <c r="M4892" s="456">
        <f t="shared" ca="1" si="532"/>
        <v>0</v>
      </c>
      <c r="S4892" s="364"/>
      <c r="Z4892" s="609" t="s">
        <v>4324</v>
      </c>
      <c r="AA4892" s="609" t="s">
        <v>5714</v>
      </c>
    </row>
    <row r="4893" spans="1:27" ht="18">
      <c r="A4893" s="2714"/>
      <c r="B4893" s="371">
        <v>115</v>
      </c>
      <c r="C4893" s="371" t="s">
        <v>2791</v>
      </c>
      <c r="D4893" s="2716">
        <f t="shared" si="531"/>
        <v>0</v>
      </c>
      <c r="E4893" s="2721">
        <v>1</v>
      </c>
      <c r="F4893" s="294"/>
      <c r="G4893" s="409" t="s">
        <v>2792</v>
      </c>
      <c r="H4893" s="383"/>
      <c r="I4893" s="401"/>
      <c r="J4893" s="291"/>
      <c r="K4893" s="1586"/>
      <c r="L4893" s="1590"/>
      <c r="M4893" s="456"/>
      <c r="S4893" s="364"/>
      <c r="Z4893" s="609" t="s">
        <v>4324</v>
      </c>
      <c r="AA4893" s="609" t="s">
        <v>5714</v>
      </c>
    </row>
    <row r="4894" spans="1:27" ht="18">
      <c r="A4894" s="2714"/>
      <c r="B4894" s="371">
        <v>116</v>
      </c>
      <c r="C4894" s="371" t="s">
        <v>2791</v>
      </c>
      <c r="D4894" s="2716">
        <f t="shared" si="531"/>
        <v>0</v>
      </c>
      <c r="E4894" s="2721">
        <v>1</v>
      </c>
      <c r="F4894" s="294"/>
      <c r="G4894" s="409" t="s">
        <v>2792</v>
      </c>
      <c r="H4894" s="383"/>
      <c r="I4894" s="401"/>
      <c r="J4894" s="291"/>
      <c r="K4894" s="1586"/>
      <c r="L4894" s="1590"/>
      <c r="M4894" s="456"/>
      <c r="S4894" s="364"/>
      <c r="Z4894" s="609" t="s">
        <v>4324</v>
      </c>
      <c r="AA4894" s="609" t="s">
        <v>5714</v>
      </c>
    </row>
    <row r="4895" spans="1:27" ht="18.75" thickBot="1">
      <c r="A4895" s="2714"/>
      <c r="B4895" s="371"/>
      <c r="C4895" s="371"/>
      <c r="D4895" s="2716">
        <f t="shared" si="531"/>
        <v>1</v>
      </c>
      <c r="E4895" s="2721" t="s">
        <v>2751</v>
      </c>
      <c r="F4895" s="294"/>
      <c r="G4895" s="2330" t="s">
        <v>2752</v>
      </c>
      <c r="H4895" s="2331">
        <f>SUMPRODUCT($E4878:$E4894,H4878:H4894)</f>
        <v>0</v>
      </c>
      <c r="I4895" s="2332">
        <f>SUMPRODUCT($E4878:$E4894,I4878:I4894)</f>
        <v>0</v>
      </c>
      <c r="J4895" s="291"/>
      <c r="M4895" s="1531">
        <f t="shared" ref="M4895" ca="1" si="533">SUM(M4879:M4894)</f>
        <v>0</v>
      </c>
      <c r="S4895" s="364"/>
      <c r="Z4895" s="609" t="s">
        <v>4324</v>
      </c>
      <c r="AA4895" s="609" t="s">
        <v>5714</v>
      </c>
    </row>
    <row r="4896" spans="1:27" ht="18">
      <c r="A4896" s="2714"/>
      <c r="B4896" s="371"/>
      <c r="C4896" s="371" t="s">
        <v>2755</v>
      </c>
      <c r="D4896" s="371"/>
      <c r="F4896" s="294"/>
      <c r="G4896" s="301"/>
      <c r="H4896" s="349"/>
      <c r="I4896" s="349"/>
      <c r="J4896" s="291"/>
      <c r="K4896" s="1539" t="s">
        <v>5505</v>
      </c>
      <c r="N4896" s="354"/>
      <c r="S4896" s="364"/>
      <c r="Z4896" s="609" t="s">
        <v>4324</v>
      </c>
      <c r="AA4896" s="609" t="s">
        <v>5714</v>
      </c>
    </row>
    <row r="4897" spans="1:27" ht="17.25">
      <c r="A4897" s="2715">
        <v>6171</v>
      </c>
      <c r="B4897" s="371">
        <v>73</v>
      </c>
      <c r="C4897" s="2716" t="str">
        <f>VLOOKUP($A4897,Sheet_Items,2,0)</f>
        <v>资产处置收益</v>
      </c>
      <c r="D4897" s="371"/>
      <c r="E4897" s="2716" t="s">
        <v>2739</v>
      </c>
      <c r="F4897" s="371"/>
      <c r="G4897" s="305" t="str">
        <f>B4897&amp;" "&amp;C4897</f>
        <v>73 资产处置收益</v>
      </c>
      <c r="H4897" s="306"/>
      <c r="I4897" s="306"/>
      <c r="J4897" s="306" t="s">
        <v>4206</v>
      </c>
      <c r="K4897" s="341">
        <f>VLOOKUP($A4897,Sheet_Trialbal,6,0)</f>
        <v>0</v>
      </c>
      <c r="L4897" s="342"/>
      <c r="M4897" s="306" t="s">
        <v>4207</v>
      </c>
      <c r="N4897" s="341">
        <f>VLOOKUP($A4897,Sheet_Trialbal,10,0)</f>
        <v>0</v>
      </c>
      <c r="O4897" s="342"/>
      <c r="P4897" s="301"/>
      <c r="S4897" s="364"/>
      <c r="Z4897" s="609" t="s">
        <v>4340</v>
      </c>
      <c r="AA4897" s="609" t="s">
        <v>5715</v>
      </c>
    </row>
    <row r="4898" spans="1:27" ht="18">
      <c r="A4898" s="2714" t="s">
        <v>1888</v>
      </c>
      <c r="B4898" s="371">
        <v>1</v>
      </c>
      <c r="C4898" s="371"/>
      <c r="D4898" s="2716" t="str">
        <f>VLOOKUP($A4898,Sheet_NoteList,2,0)</f>
        <v>资产处置收益明细项目</v>
      </c>
      <c r="E4898" s="2716" t="s">
        <v>2742</v>
      </c>
      <c r="F4898" s="371"/>
      <c r="G4898" s="372" t="str">
        <f>"("&amp;B4898&amp;")"&amp;D4898</f>
        <v>(1)资产处置收益明细项目</v>
      </c>
      <c r="H4898" s="1517" t="str">
        <f>$A4898</f>
        <v>6171a</v>
      </c>
      <c r="I4898" s="343" t="s">
        <v>2743</v>
      </c>
      <c r="J4898" s="301" t="s">
        <v>4210</v>
      </c>
      <c r="K4898" s="2210">
        <f>H4910</f>
        <v>0</v>
      </c>
      <c r="L4898" s="349" t="str">
        <f>IF($I4898="适用",IF(ROUND(K$4897-K4898,2)=0,"F/S",ROUND(K$4897-K4898,2)),"#N/A")</f>
        <v>F/S</v>
      </c>
      <c r="M4898" s="301" t="s">
        <v>4211</v>
      </c>
      <c r="N4898" s="2210">
        <f>I4910</f>
        <v>0</v>
      </c>
      <c r="O4898" s="349" t="str">
        <f>IF($I4898="适用",IF(ROUND(N$4897-N4898,2)=0,"F/S",ROUND(N$4897-N4898,2)),"#N/A")</f>
        <v>F/S</v>
      </c>
      <c r="P4898" s="301"/>
      <c r="S4898" s="364"/>
      <c r="Z4898" s="609" t="s">
        <v>4340</v>
      </c>
      <c r="AA4898" s="609" t="s">
        <v>5715</v>
      </c>
    </row>
    <row r="4899" spans="1:27" ht="0.75" customHeight="1" thickBot="1">
      <c r="A4899" s="2714"/>
      <c r="B4899" s="371"/>
      <c r="C4899" s="371"/>
      <c r="D4899" s="2716"/>
      <c r="F4899" s="371"/>
      <c r="G4899" s="405" t="s">
        <v>4341</v>
      </c>
      <c r="H4899" s="371" t="s">
        <v>4223</v>
      </c>
      <c r="I4899" s="371" t="s">
        <v>4224</v>
      </c>
      <c r="J4899" s="301"/>
      <c r="K4899" s="391"/>
      <c r="L4899" s="349"/>
      <c r="M4899" s="301"/>
      <c r="N4899" s="391"/>
      <c r="O4899" s="349"/>
      <c r="P4899" s="301"/>
      <c r="S4899" s="364"/>
      <c r="Z4899" s="609" t="s">
        <v>4340</v>
      </c>
      <c r="AA4899" s="609" t="s">
        <v>5715</v>
      </c>
    </row>
    <row r="4900" spans="1:27" ht="18">
      <c r="A4900" s="2714"/>
      <c r="B4900" s="371"/>
      <c r="C4900" s="371"/>
      <c r="D4900" s="2716"/>
      <c r="E4900" s="2716" t="s">
        <v>2749</v>
      </c>
      <c r="F4900" s="371"/>
      <c r="G4900" s="373" t="s">
        <v>47</v>
      </c>
      <c r="H4900" s="406" t="str">
        <f>$V$4</f>
        <v>2019年度</v>
      </c>
      <c r="I4900" s="417" t="str">
        <f>$V$5</f>
        <v>2018年度</v>
      </c>
      <c r="J4900" s="355" t="s">
        <v>5338</v>
      </c>
      <c r="K4900" s="391"/>
      <c r="L4900" s="349"/>
      <c r="M4900" s="301"/>
      <c r="N4900" s="391"/>
      <c r="O4900" s="349"/>
      <c r="P4900" s="301"/>
      <c r="S4900" s="364"/>
      <c r="Z4900" s="609" t="s">
        <v>4340</v>
      </c>
      <c r="AA4900" s="609" t="s">
        <v>5715</v>
      </c>
    </row>
    <row r="4901" spans="1:27" ht="60">
      <c r="A4901" s="2714"/>
      <c r="B4901" s="371">
        <v>101</v>
      </c>
      <c r="C4901" s="371"/>
      <c r="D4901" s="2716">
        <f t="shared" ref="D4901:D4910" si="534">IF(OR(G4901="*",G4901="",G4901=0),0,COUNTIF($G$4901:$G$4910,G4901))</f>
        <v>1</v>
      </c>
      <c r="E4901" s="2721">
        <v>1</v>
      </c>
      <c r="F4901" s="371"/>
      <c r="G4901" s="308" t="s">
        <v>4342</v>
      </c>
      <c r="H4901" s="309"/>
      <c r="I4901" s="394"/>
      <c r="J4901" s="301"/>
      <c r="K4901" s="391"/>
      <c r="L4901" s="349"/>
      <c r="M4901" s="301"/>
      <c r="N4901" s="391"/>
      <c r="O4901" s="349"/>
      <c r="P4901" s="301"/>
      <c r="S4901" s="364"/>
      <c r="Z4901" s="609" t="s">
        <v>4340</v>
      </c>
      <c r="AA4901" s="609" t="s">
        <v>5715</v>
      </c>
    </row>
    <row r="4902" spans="1:27" ht="48">
      <c r="A4902" s="2714"/>
      <c r="B4902" s="371">
        <v>102</v>
      </c>
      <c r="C4902" s="371"/>
      <c r="D4902" s="2716">
        <f t="shared" si="534"/>
        <v>1</v>
      </c>
      <c r="E4902" s="2721">
        <v>1</v>
      </c>
      <c r="F4902" s="371"/>
      <c r="G4902" s="308" t="s">
        <v>4343</v>
      </c>
      <c r="H4902" s="309"/>
      <c r="I4902" s="394"/>
      <c r="J4902" s="301"/>
      <c r="K4902" s="391"/>
      <c r="L4902" s="349"/>
      <c r="M4902" s="301"/>
      <c r="N4902" s="391"/>
      <c r="O4902" s="349"/>
      <c r="P4902" s="301"/>
      <c r="S4902" s="364"/>
      <c r="Z4902" s="609" t="s">
        <v>4340</v>
      </c>
      <c r="AA4902" s="609" t="s">
        <v>5715</v>
      </c>
    </row>
    <row r="4903" spans="1:27" ht="18">
      <c r="A4903" s="2714"/>
      <c r="B4903" s="371">
        <v>103</v>
      </c>
      <c r="C4903" s="371"/>
      <c r="D4903" s="2716">
        <f t="shared" si="534"/>
        <v>1</v>
      </c>
      <c r="E4903" s="2721">
        <v>0</v>
      </c>
      <c r="F4903" s="371"/>
      <c r="G4903" s="603" t="s">
        <v>353</v>
      </c>
      <c r="H4903" s="309"/>
      <c r="I4903" s="394"/>
      <c r="J4903" s="301"/>
      <c r="K4903" s="391"/>
      <c r="L4903" s="349"/>
      <c r="M4903" s="301"/>
      <c r="N4903" s="391"/>
      <c r="O4903" s="349"/>
      <c r="P4903" s="301"/>
      <c r="S4903" s="364"/>
      <c r="Z4903" s="609" t="s">
        <v>4340</v>
      </c>
      <c r="AA4903" s="609" t="s">
        <v>5715</v>
      </c>
    </row>
    <row r="4904" spans="1:27" ht="18">
      <c r="A4904" s="2714"/>
      <c r="B4904" s="371">
        <v>104</v>
      </c>
      <c r="C4904" s="371"/>
      <c r="D4904" s="2716">
        <f t="shared" si="534"/>
        <v>1</v>
      </c>
      <c r="E4904" s="2721">
        <v>0</v>
      </c>
      <c r="F4904" s="371"/>
      <c r="G4904" s="603" t="s">
        <v>396</v>
      </c>
      <c r="H4904" s="309"/>
      <c r="I4904" s="394"/>
      <c r="J4904" s="301"/>
      <c r="K4904" s="391"/>
      <c r="L4904" s="349"/>
      <c r="M4904" s="301"/>
      <c r="N4904" s="391"/>
      <c r="O4904" s="349"/>
      <c r="P4904" s="301"/>
      <c r="S4904" s="364"/>
      <c r="Z4904" s="609" t="s">
        <v>4340</v>
      </c>
      <c r="AA4904" s="609" t="s">
        <v>5715</v>
      </c>
    </row>
    <row r="4905" spans="1:27" ht="18">
      <c r="A4905" s="2714"/>
      <c r="B4905" s="371">
        <v>105</v>
      </c>
      <c r="C4905" s="371"/>
      <c r="D4905" s="2716">
        <f t="shared" si="534"/>
        <v>1</v>
      </c>
      <c r="E4905" s="2721">
        <v>0</v>
      </c>
      <c r="F4905" s="371"/>
      <c r="G4905" s="603" t="s">
        <v>344</v>
      </c>
      <c r="H4905" s="309"/>
      <c r="I4905" s="394"/>
      <c r="J4905" s="301"/>
      <c r="K4905" s="391"/>
      <c r="L4905" s="349"/>
      <c r="M4905" s="301"/>
      <c r="N4905" s="391"/>
      <c r="O4905" s="349"/>
      <c r="P4905" s="301"/>
      <c r="S4905" s="364"/>
      <c r="Z4905" s="609" t="s">
        <v>4340</v>
      </c>
      <c r="AA4905" s="609" t="s">
        <v>5715</v>
      </c>
    </row>
    <row r="4906" spans="1:27" ht="18">
      <c r="A4906" s="2714"/>
      <c r="B4906" s="371">
        <v>106</v>
      </c>
      <c r="C4906" s="371"/>
      <c r="D4906" s="2716">
        <f t="shared" si="534"/>
        <v>1</v>
      </c>
      <c r="E4906" s="2721">
        <v>0</v>
      </c>
      <c r="F4906" s="371"/>
      <c r="G4906" s="603" t="s">
        <v>381</v>
      </c>
      <c r="H4906" s="309"/>
      <c r="I4906" s="394"/>
      <c r="J4906" s="301"/>
      <c r="K4906" s="391"/>
      <c r="L4906" s="349"/>
      <c r="M4906" s="301"/>
      <c r="N4906" s="391"/>
      <c r="O4906" s="349"/>
      <c r="P4906" s="301"/>
      <c r="S4906" s="364"/>
      <c r="Z4906" s="609" t="s">
        <v>4340</v>
      </c>
      <c r="AA4906" s="609" t="s">
        <v>5715</v>
      </c>
    </row>
    <row r="4907" spans="1:27" ht="48">
      <c r="A4907" s="2714"/>
      <c r="B4907" s="371">
        <v>107</v>
      </c>
      <c r="C4907" s="371"/>
      <c r="D4907" s="2716">
        <f t="shared" si="534"/>
        <v>1</v>
      </c>
      <c r="E4907" s="2721">
        <v>1</v>
      </c>
      <c r="F4907" s="371"/>
      <c r="G4907" s="308" t="s">
        <v>4344</v>
      </c>
      <c r="H4907" s="309"/>
      <c r="I4907" s="394"/>
      <c r="J4907" s="301"/>
      <c r="K4907" s="391"/>
      <c r="L4907" s="349"/>
      <c r="M4907" s="301"/>
      <c r="N4907" s="391"/>
      <c r="O4907" s="349"/>
      <c r="P4907" s="301"/>
      <c r="S4907" s="364"/>
      <c r="Z4907" s="609" t="s">
        <v>4340</v>
      </c>
      <c r="AA4907" s="609" t="s">
        <v>5715</v>
      </c>
    </row>
    <row r="4908" spans="1:27" ht="48">
      <c r="A4908" s="2714"/>
      <c r="B4908" s="371">
        <v>108</v>
      </c>
      <c r="C4908" s="371"/>
      <c r="D4908" s="2716">
        <f t="shared" si="534"/>
        <v>1</v>
      </c>
      <c r="E4908" s="2721">
        <v>1</v>
      </c>
      <c r="F4908" s="371"/>
      <c r="G4908" s="319" t="s">
        <v>4345</v>
      </c>
      <c r="H4908" s="309"/>
      <c r="I4908" s="394"/>
      <c r="J4908" s="301"/>
      <c r="K4908" s="391"/>
      <c r="L4908" s="349"/>
      <c r="M4908" s="301"/>
      <c r="N4908" s="391"/>
      <c r="O4908" s="349"/>
      <c r="P4908" s="301"/>
      <c r="S4908" s="364"/>
      <c r="Z4908" s="609" t="s">
        <v>4340</v>
      </c>
      <c r="AA4908" s="609" t="s">
        <v>5715</v>
      </c>
    </row>
    <row r="4909" spans="1:27" ht="18">
      <c r="A4909" s="2714"/>
      <c r="B4909" s="371">
        <v>109</v>
      </c>
      <c r="C4909" s="371" t="s">
        <v>2791</v>
      </c>
      <c r="D4909" s="2716">
        <f t="shared" si="534"/>
        <v>0</v>
      </c>
      <c r="E4909" s="2721">
        <v>1</v>
      </c>
      <c r="F4909" s="371"/>
      <c r="G4909" s="319" t="s">
        <v>2792</v>
      </c>
      <c r="H4909" s="309"/>
      <c r="I4909" s="394"/>
      <c r="J4909" s="301"/>
      <c r="K4909" s="391"/>
      <c r="L4909" s="349"/>
      <c r="M4909" s="301"/>
      <c r="N4909" s="391"/>
      <c r="O4909" s="349"/>
      <c r="P4909" s="301"/>
      <c r="S4909" s="364"/>
      <c r="Z4909" s="609" t="s">
        <v>4340</v>
      </c>
      <c r="AA4909" s="609" t="s">
        <v>5715</v>
      </c>
    </row>
    <row r="4910" spans="1:27" ht="18.75" thickBot="1">
      <c r="A4910" s="2714"/>
      <c r="B4910" s="371"/>
      <c r="C4910" s="371"/>
      <c r="D4910" s="2716">
        <f t="shared" si="534"/>
        <v>1</v>
      </c>
      <c r="E4910" s="2721" t="s">
        <v>2751</v>
      </c>
      <c r="F4910" s="371"/>
      <c r="G4910" s="407" t="s">
        <v>2752</v>
      </c>
      <c r="H4910" s="375">
        <f>SUMPRODUCT($E4900:$E4909,H4900:H4909)</f>
        <v>0</v>
      </c>
      <c r="I4910" s="395">
        <f>SUMPRODUCT($E4900:$E4909,I4900:I4909)</f>
        <v>0</v>
      </c>
      <c r="J4910" s="301"/>
      <c r="K4910" s="391"/>
      <c r="L4910" s="349"/>
      <c r="M4910" s="301"/>
      <c r="N4910" s="391"/>
      <c r="O4910" s="349"/>
      <c r="P4910" s="301"/>
      <c r="S4910" s="364"/>
      <c r="Z4910" s="609" t="s">
        <v>4340</v>
      </c>
      <c r="AA4910" s="609" t="s">
        <v>5715</v>
      </c>
    </row>
    <row r="4911" spans="1:27" ht="18">
      <c r="A4911" s="2714"/>
      <c r="B4911" s="371"/>
      <c r="C4911" s="371" t="s">
        <v>2755</v>
      </c>
      <c r="D4911" s="2716"/>
      <c r="F4911" s="371"/>
      <c r="G4911" s="376"/>
      <c r="H4911" s="315"/>
      <c r="I4911" s="396"/>
      <c r="J4911" s="301"/>
      <c r="K4911" s="391"/>
      <c r="L4911" s="349"/>
      <c r="M4911" s="301"/>
      <c r="N4911" s="391"/>
      <c r="O4911" s="349"/>
      <c r="P4911" s="301"/>
      <c r="S4911" s="364"/>
      <c r="Z4911" s="609" t="s">
        <v>4340</v>
      </c>
      <c r="AA4911" s="609" t="s">
        <v>5715</v>
      </c>
    </row>
    <row r="4912" spans="1:27" ht="18">
      <c r="A4912" s="2714">
        <v>6710</v>
      </c>
      <c r="B4912" s="371">
        <v>74</v>
      </c>
      <c r="C4912" s="2716" t="str">
        <f>VLOOKUP($A4912,Sheet_Items,2,0)</f>
        <v>营业外收入</v>
      </c>
      <c r="D4912" s="371"/>
      <c r="E4912" s="2716" t="s">
        <v>2739</v>
      </c>
      <c r="F4912" s="294"/>
      <c r="G4912" s="305" t="str">
        <f>B4912&amp;" "&amp;C4912</f>
        <v>74 营业外收入</v>
      </c>
      <c r="H4912" s="306"/>
      <c r="I4912" s="306"/>
      <c r="J4912" s="306" t="s">
        <v>4206</v>
      </c>
      <c r="K4912" s="341">
        <f>VLOOKUP($A4912,Sheet_Trialbal,6,0)</f>
        <v>0</v>
      </c>
      <c r="L4912" s="342"/>
      <c r="M4912" s="306" t="s">
        <v>4207</v>
      </c>
      <c r="N4912" s="341">
        <f>VLOOKUP($A4912,Sheet_Trialbal,10,0)</f>
        <v>0</v>
      </c>
      <c r="O4912" s="306"/>
      <c r="P4912" s="301"/>
      <c r="S4912" s="364"/>
      <c r="Z4912" s="609" t="s">
        <v>4148</v>
      </c>
      <c r="AA4912" s="609" t="s">
        <v>5716</v>
      </c>
    </row>
    <row r="4913" spans="1:29" ht="18">
      <c r="A4913" s="2714" t="s">
        <v>1933</v>
      </c>
      <c r="B4913" s="371">
        <v>1</v>
      </c>
      <c r="C4913" s="371"/>
      <c r="D4913" s="2716" t="str">
        <f>VLOOKUP($A4913,Sheet_NoteList,2,0)</f>
        <v>营业外收入明细项目</v>
      </c>
      <c r="E4913" s="2716" t="s">
        <v>2742</v>
      </c>
      <c r="F4913" s="294"/>
      <c r="G4913" s="307" t="str">
        <f>"("&amp;B4913&amp;")"&amp;D4913</f>
        <v>(1)营业外收入明细项目</v>
      </c>
      <c r="H4913" s="1517" t="str">
        <f>$A4913</f>
        <v>6710a</v>
      </c>
      <c r="I4913" s="343" t="s">
        <v>2743</v>
      </c>
      <c r="J4913" s="301" t="s">
        <v>4210</v>
      </c>
      <c r="K4913" s="2210">
        <f>H4924</f>
        <v>0</v>
      </c>
      <c r="L4913" s="345" t="str">
        <f>IF($I4913="适用",IF(ROUND(K$4912-K4913,2)=0,"F/S",ROUND(K$4912-K4913,2)),"#N/A")</f>
        <v>F/S</v>
      </c>
      <c r="M4913" s="301" t="s">
        <v>4211</v>
      </c>
      <c r="N4913" s="2210">
        <f>I4924</f>
        <v>0</v>
      </c>
      <c r="O4913" s="345" t="str">
        <f>IF($I4913="适用",IF(ROUND(N$4912-N4913,2)=0,"F/S",ROUND(N$4912-N4913,2)),"#N/A")</f>
        <v>F/S</v>
      </c>
      <c r="P4913" s="301"/>
      <c r="Q4913" s="290" t="str">
        <f>IF($I4913="不适用","",IF(ROUND(SUM($H$4916:$J$4924),2)=0,"请输入",""))</f>
        <v>请输入</v>
      </c>
      <c r="S4913" s="364"/>
      <c r="Z4913" s="609" t="s">
        <v>4148</v>
      </c>
      <c r="AA4913" s="609" t="s">
        <v>5716</v>
      </c>
    </row>
    <row r="4914" spans="1:29" ht="0.75" customHeight="1" thickBot="1">
      <c r="A4914" s="2714"/>
      <c r="B4914" s="371"/>
      <c r="C4914" s="371"/>
      <c r="D4914" s="371"/>
      <c r="F4914" s="294"/>
      <c r="G4914" s="294" t="s">
        <v>4346</v>
      </c>
      <c r="H4914" s="294" t="s">
        <v>4223</v>
      </c>
      <c r="I4914" s="294" t="s">
        <v>4224</v>
      </c>
      <c r="J4914" s="294" t="s">
        <v>4347</v>
      </c>
      <c r="K4914" s="291"/>
      <c r="L4914" s="291"/>
      <c r="M4914" s="291"/>
      <c r="N4914" s="291"/>
      <c r="S4914" s="364"/>
      <c r="Z4914" s="609" t="s">
        <v>4148</v>
      </c>
      <c r="AA4914" s="609" t="s">
        <v>5716</v>
      </c>
    </row>
    <row r="4915" spans="1:29" ht="24">
      <c r="A4915" s="2714"/>
      <c r="B4915" s="371"/>
      <c r="C4915" s="371"/>
      <c r="D4915" s="371"/>
      <c r="E4915" s="2716" t="s">
        <v>2749</v>
      </c>
      <c r="F4915" s="294"/>
      <c r="G4915" s="378" t="s">
        <v>47</v>
      </c>
      <c r="H4915" s="398" t="str">
        <f>$V$4</f>
        <v>2019年度</v>
      </c>
      <c r="I4915" s="398" t="str">
        <f>$V$5</f>
        <v>2018年度</v>
      </c>
      <c r="J4915" s="511" t="s">
        <v>4348</v>
      </c>
      <c r="K4915" s="355" t="s">
        <v>5339</v>
      </c>
      <c r="L4915" s="291"/>
      <c r="M4915" s="291"/>
      <c r="N4915" s="291"/>
      <c r="S4915" s="364"/>
      <c r="Z4915" s="609" t="s">
        <v>4148</v>
      </c>
      <c r="AA4915" s="609" t="s">
        <v>5716</v>
      </c>
    </row>
    <row r="4916" spans="1:29" ht="18">
      <c r="A4916" s="2714"/>
      <c r="B4916" s="371">
        <v>101</v>
      </c>
      <c r="C4916" s="371"/>
      <c r="D4916" s="2716">
        <f t="shared" ref="D4916:D4924" si="535">IF(OR(G4916="*",G4916="",G4916=0),0,COUNTIF($G$4916:$G$4924,G4916))</f>
        <v>1</v>
      </c>
      <c r="E4916" s="2721">
        <v>1</v>
      </c>
      <c r="F4916" s="294"/>
      <c r="G4916" s="380" t="s">
        <v>4349</v>
      </c>
      <c r="H4916" s="383"/>
      <c r="I4916" s="383"/>
      <c r="J4916" s="401"/>
      <c r="K4916" s="424"/>
      <c r="L4916" s="291"/>
      <c r="M4916" s="291"/>
      <c r="N4916" s="291"/>
      <c r="S4916" s="364"/>
      <c r="Z4916" s="609" t="s">
        <v>4148</v>
      </c>
      <c r="AA4916" s="609" t="s">
        <v>5716</v>
      </c>
    </row>
    <row r="4917" spans="1:29" ht="18">
      <c r="A4917" s="2714"/>
      <c r="B4917" s="371">
        <v>102</v>
      </c>
      <c r="C4917" s="371"/>
      <c r="D4917" s="2716">
        <f t="shared" si="535"/>
        <v>1</v>
      </c>
      <c r="E4917" s="2721">
        <v>1</v>
      </c>
      <c r="F4917" s="294"/>
      <c r="G4917" s="380" t="s">
        <v>4350</v>
      </c>
      <c r="H4917" s="383"/>
      <c r="I4917" s="383"/>
      <c r="J4917" s="401"/>
      <c r="K4917" s="291"/>
      <c r="L4917" s="291"/>
      <c r="M4917" s="291"/>
      <c r="N4917" s="291"/>
      <c r="S4917" s="364"/>
      <c r="Z4917" s="609" t="s">
        <v>4148</v>
      </c>
      <c r="AA4917" s="609" t="s">
        <v>5716</v>
      </c>
    </row>
    <row r="4918" spans="1:29" ht="24">
      <c r="A4918" s="2714"/>
      <c r="B4918" s="371">
        <v>103</v>
      </c>
      <c r="C4918" s="371"/>
      <c r="D4918" s="2716">
        <f t="shared" si="535"/>
        <v>1</v>
      </c>
      <c r="E4918" s="2721">
        <v>1</v>
      </c>
      <c r="F4918" s="294"/>
      <c r="G4918" s="380" t="s">
        <v>1936</v>
      </c>
      <c r="H4918" s="383"/>
      <c r="I4918" s="383"/>
      <c r="J4918" s="401"/>
      <c r="K4918" s="1533" t="str">
        <f ca="1">HYPERLINK("#'"&amp;$G$1&amp;"'!"&amp;ADDRESS(ROW(Notes!H4937),COLUMN(Notes!H4937),4),"* 请勿删除此行！点击往勾稽单元格，F5+Enter返回")</f>
        <v>* 请勿删除此行！点击往勾稽单元格，F5+Enter返回</v>
      </c>
      <c r="L4918" s="291"/>
      <c r="M4918" s="291"/>
      <c r="N4918" s="291"/>
      <c r="S4918" s="364"/>
      <c r="Z4918" s="609" t="s">
        <v>4148</v>
      </c>
      <c r="AA4918" s="609" t="s">
        <v>5716</v>
      </c>
      <c r="AC4918" s="369" t="s">
        <v>6574</v>
      </c>
    </row>
    <row r="4919" spans="1:29" ht="18">
      <c r="A4919" s="2714"/>
      <c r="B4919" s="371">
        <v>104</v>
      </c>
      <c r="C4919" s="371"/>
      <c r="D4919" s="2716">
        <f t="shared" si="535"/>
        <v>1</v>
      </c>
      <c r="E4919" s="2721">
        <v>1</v>
      </c>
      <c r="F4919" s="294"/>
      <c r="G4919" s="380" t="s">
        <v>4351</v>
      </c>
      <c r="H4919" s="383"/>
      <c r="I4919" s="383"/>
      <c r="J4919" s="401"/>
      <c r="K4919" s="357"/>
      <c r="L4919" s="291"/>
      <c r="M4919" s="291"/>
      <c r="N4919" s="291"/>
      <c r="S4919" s="364"/>
      <c r="Z4919" s="609" t="s">
        <v>4148</v>
      </c>
      <c r="AA4919" s="609" t="s">
        <v>5716</v>
      </c>
    </row>
    <row r="4920" spans="1:29" ht="18">
      <c r="A4920" s="2714"/>
      <c r="B4920" s="371">
        <v>105</v>
      </c>
      <c r="C4920" s="371" t="s">
        <v>2791</v>
      </c>
      <c r="D4920" s="2716">
        <f t="shared" si="535"/>
        <v>0</v>
      </c>
      <c r="E4920" s="2721">
        <v>1</v>
      </c>
      <c r="F4920" s="294"/>
      <c r="G4920" s="409" t="s">
        <v>2792</v>
      </c>
      <c r="H4920" s="383"/>
      <c r="I4920" s="383"/>
      <c r="J4920" s="401"/>
      <c r="K4920" s="291"/>
      <c r="L4920" s="291"/>
      <c r="M4920" s="291"/>
      <c r="N4920" s="291"/>
      <c r="S4920" s="364"/>
      <c r="Z4920" s="609" t="s">
        <v>4148</v>
      </c>
      <c r="AA4920" s="609" t="s">
        <v>5716</v>
      </c>
    </row>
    <row r="4921" spans="1:29" ht="18">
      <c r="A4921" s="2714"/>
      <c r="B4921" s="371">
        <v>106</v>
      </c>
      <c r="C4921" s="371" t="s">
        <v>2791</v>
      </c>
      <c r="D4921" s="2716">
        <f t="shared" si="535"/>
        <v>0</v>
      </c>
      <c r="E4921" s="2721">
        <v>1</v>
      </c>
      <c r="F4921" s="294"/>
      <c r="G4921" s="409" t="s">
        <v>2792</v>
      </c>
      <c r="H4921" s="383"/>
      <c r="I4921" s="383"/>
      <c r="J4921" s="401"/>
      <c r="K4921" s="291"/>
      <c r="L4921" s="291"/>
      <c r="M4921" s="291"/>
      <c r="N4921" s="291"/>
      <c r="S4921" s="364"/>
      <c r="Z4921" s="609" t="s">
        <v>4148</v>
      </c>
      <c r="AA4921" s="609" t="s">
        <v>5716</v>
      </c>
    </row>
    <row r="4922" spans="1:29" ht="18">
      <c r="A4922" s="2714"/>
      <c r="B4922" s="371">
        <v>107</v>
      </c>
      <c r="C4922" s="371" t="s">
        <v>2791</v>
      </c>
      <c r="D4922" s="2716">
        <f t="shared" si="535"/>
        <v>0</v>
      </c>
      <c r="E4922" s="2721">
        <v>1</v>
      </c>
      <c r="F4922" s="294"/>
      <c r="G4922" s="409" t="s">
        <v>2792</v>
      </c>
      <c r="H4922" s="383"/>
      <c r="I4922" s="383"/>
      <c r="J4922" s="401"/>
      <c r="K4922" s="291"/>
      <c r="L4922" s="291"/>
      <c r="M4922" s="291"/>
      <c r="N4922" s="291"/>
      <c r="S4922" s="364"/>
      <c r="Z4922" s="609" t="s">
        <v>4148</v>
      </c>
      <c r="AA4922" s="609" t="s">
        <v>5716</v>
      </c>
    </row>
    <row r="4923" spans="1:29" ht="18">
      <c r="A4923" s="2714"/>
      <c r="B4923" s="371">
        <v>109</v>
      </c>
      <c r="C4923" s="371" t="s">
        <v>2791</v>
      </c>
      <c r="D4923" s="2716">
        <f t="shared" si="535"/>
        <v>0</v>
      </c>
      <c r="E4923" s="2721">
        <v>1</v>
      </c>
      <c r="F4923" s="294"/>
      <c r="G4923" s="409" t="s">
        <v>2792</v>
      </c>
      <c r="H4923" s="383"/>
      <c r="I4923" s="383"/>
      <c r="J4923" s="401"/>
      <c r="K4923" s="291"/>
      <c r="L4923" s="291"/>
      <c r="M4923" s="291"/>
      <c r="N4923" s="291"/>
      <c r="S4923" s="364"/>
      <c r="Z4923" s="609" t="s">
        <v>4148</v>
      </c>
      <c r="AA4923" s="609" t="s">
        <v>5716</v>
      </c>
    </row>
    <row r="4924" spans="1:29" ht="18.75" thickBot="1">
      <c r="A4924" s="2714"/>
      <c r="B4924" s="371"/>
      <c r="C4924" s="371"/>
      <c r="D4924" s="2716">
        <f t="shared" si="535"/>
        <v>1</v>
      </c>
      <c r="E4924" s="2721" t="s">
        <v>2751</v>
      </c>
      <c r="F4924" s="294"/>
      <c r="G4924" s="403" t="s">
        <v>2752</v>
      </c>
      <c r="H4924" s="404">
        <f>SUMPRODUCT($E4915:$E4923,H4915:H4923)</f>
        <v>0</v>
      </c>
      <c r="I4924" s="404">
        <f>SUMPRODUCT($E4915:$E4923,I4915:I4923)</f>
        <v>0</v>
      </c>
      <c r="J4924" s="413">
        <f>SUMPRODUCT($E4915:$E4923,J4915:J4923)</f>
        <v>0</v>
      </c>
      <c r="K4924" s="291"/>
      <c r="L4924" s="291"/>
      <c r="M4924" s="291"/>
      <c r="N4924" s="291"/>
      <c r="S4924" s="364"/>
      <c r="Z4924" s="609" t="s">
        <v>4148</v>
      </c>
      <c r="AA4924" s="609" t="s">
        <v>5716</v>
      </c>
    </row>
    <row r="4925" spans="1:29" ht="18">
      <c r="A4925" s="2714"/>
      <c r="B4925" s="371"/>
      <c r="C4925" s="371" t="s">
        <v>2755</v>
      </c>
      <c r="D4925" s="371"/>
      <c r="F4925" s="294"/>
      <c r="G4925" s="301"/>
      <c r="H4925" s="315"/>
      <c r="I4925" s="315"/>
      <c r="J4925" s="315"/>
      <c r="K4925" s="291"/>
      <c r="L4925" s="291"/>
      <c r="M4925" s="291"/>
      <c r="N4925" s="291"/>
      <c r="S4925" s="364"/>
      <c r="Z4925" s="609" t="s">
        <v>4148</v>
      </c>
      <c r="AA4925" s="609" t="s">
        <v>5716</v>
      </c>
    </row>
    <row r="4926" spans="1:29" ht="24">
      <c r="A4926" s="2714" t="s">
        <v>1935</v>
      </c>
      <c r="B4926" s="371">
        <v>2</v>
      </c>
      <c r="C4926" s="371"/>
      <c r="D4926" s="2716" t="str">
        <f>VLOOKUP($A4926,Sheet_NoteList,2,0)</f>
        <v>与企业日常活动无关的政府补助</v>
      </c>
      <c r="E4926" s="2716" t="s">
        <v>2742</v>
      </c>
      <c r="F4926" s="294"/>
      <c r="G4926" s="372" t="str">
        <f>"("&amp;B4926&amp;")"&amp;D4926</f>
        <v>(2)与企业日常活动无关的政府补助</v>
      </c>
      <c r="H4926" s="1517" t="str">
        <f>$A4926</f>
        <v>6710b</v>
      </c>
      <c r="I4926" s="343" t="s">
        <v>2743</v>
      </c>
      <c r="J4926" s="301" t="s">
        <v>4210</v>
      </c>
      <c r="K4926" s="2210">
        <f>H4934</f>
        <v>0</v>
      </c>
      <c r="L4926" s="345"/>
      <c r="M4926" s="301" t="s">
        <v>4211</v>
      </c>
      <c r="N4926" s="2210">
        <f>I4934</f>
        <v>0</v>
      </c>
      <c r="O4926" s="345"/>
      <c r="P4926" s="301"/>
      <c r="Q4926" s="290" t="str">
        <f>IF($I4926="不适用","",IF(ROUND(SUM($H$4929:$K$4934),2)=0,"请输入",""))</f>
        <v>请输入</v>
      </c>
      <c r="S4926" s="364"/>
      <c r="Z4926" s="609" t="s">
        <v>4148</v>
      </c>
      <c r="AA4926" s="609" t="s">
        <v>5716</v>
      </c>
    </row>
    <row r="4927" spans="1:29" ht="0.75" customHeight="1" thickBot="1">
      <c r="A4927" s="2714"/>
      <c r="B4927" s="371"/>
      <c r="C4927" s="371"/>
      <c r="D4927" s="371"/>
      <c r="E4927" s="586"/>
      <c r="F4927" s="518"/>
      <c r="G4927" s="518" t="s">
        <v>4352</v>
      </c>
      <c r="H4927" s="304" t="s">
        <v>4223</v>
      </c>
      <c r="I4927" s="304" t="s">
        <v>4224</v>
      </c>
      <c r="J4927" s="304" t="s">
        <v>3671</v>
      </c>
      <c r="K4927" s="619"/>
      <c r="L4927" s="442"/>
      <c r="M4927" s="442"/>
      <c r="N4927" s="442"/>
      <c r="O4927" s="442"/>
      <c r="P4927" s="442"/>
      <c r="Q4927" s="442"/>
      <c r="R4927" s="443"/>
      <c r="S4927" s="364"/>
      <c r="Z4927" s="609" t="s">
        <v>4148</v>
      </c>
      <c r="AA4927" s="609" t="s">
        <v>5716</v>
      </c>
    </row>
    <row r="4928" spans="1:29" ht="24">
      <c r="A4928" s="2714"/>
      <c r="B4928" s="371"/>
      <c r="C4928" s="371"/>
      <c r="D4928" s="371"/>
      <c r="E4928" s="586" t="s">
        <v>2749</v>
      </c>
      <c r="F4928" s="363"/>
      <c r="G4928" s="2457" t="s">
        <v>1628</v>
      </c>
      <c r="H4928" s="2464" t="str">
        <f>$V$4</f>
        <v>2019年度</v>
      </c>
      <c r="I4928" s="2464" t="str">
        <f>$V$5</f>
        <v>2018年度</v>
      </c>
      <c r="J4928" s="2469" t="s">
        <v>5237</v>
      </c>
      <c r="K4928" s="355" t="s">
        <v>5339</v>
      </c>
      <c r="L4928" s="442"/>
      <c r="M4928" s="442"/>
      <c r="N4928" s="442"/>
      <c r="O4928" s="442"/>
      <c r="P4928" s="442"/>
      <c r="Q4928" s="442"/>
      <c r="R4928" s="443"/>
      <c r="S4928" s="364"/>
      <c r="Z4928" s="609" t="s">
        <v>4148</v>
      </c>
      <c r="AA4928" s="609" t="s">
        <v>5716</v>
      </c>
    </row>
    <row r="4929" spans="1:27" ht="18">
      <c r="A4929" s="2714"/>
      <c r="B4929" s="371">
        <v>101</v>
      </c>
      <c r="C4929" s="371" t="s">
        <v>2791</v>
      </c>
      <c r="D4929" s="2716">
        <f t="shared" ref="D4929:D4934" si="536">IF(OR(G4929="*",G4929="",G4929=0),0,COUNTIF($G$4929:$G$4934,G4929))</f>
        <v>0</v>
      </c>
      <c r="E4929" s="2721">
        <v>1</v>
      </c>
      <c r="F4929" s="294"/>
      <c r="G4929" s="2467" t="s">
        <v>2792</v>
      </c>
      <c r="H4929" s="2275"/>
      <c r="I4929" s="2275"/>
      <c r="J4929" s="2276"/>
      <c r="K4929" s="2672" t="s">
        <v>6362</v>
      </c>
      <c r="L4929" s="2673" t="s">
        <v>6363</v>
      </c>
      <c r="M4929" s="442"/>
      <c r="N4929" s="442"/>
      <c r="O4929" s="442"/>
      <c r="P4929" s="442"/>
      <c r="Q4929" s="442"/>
      <c r="R4929" s="443"/>
      <c r="S4929" s="364"/>
      <c r="Z4929" s="609" t="s">
        <v>4148</v>
      </c>
      <c r="AA4929" s="609" t="s">
        <v>5716</v>
      </c>
    </row>
    <row r="4930" spans="1:27" ht="18">
      <c r="A4930" s="2714"/>
      <c r="B4930" s="371">
        <v>102</v>
      </c>
      <c r="C4930" s="371" t="s">
        <v>2791</v>
      </c>
      <c r="D4930" s="2716">
        <f t="shared" si="536"/>
        <v>0</v>
      </c>
      <c r="E4930" s="2721">
        <v>1</v>
      </c>
      <c r="F4930" s="294"/>
      <c r="G4930" s="2467" t="s">
        <v>2792</v>
      </c>
      <c r="H4930" s="2275"/>
      <c r="I4930" s="2275"/>
      <c r="J4930" s="2276"/>
      <c r="K4930" s="1604"/>
      <c r="L4930" s="2673" t="s">
        <v>6364</v>
      </c>
      <c r="M4930" s="442"/>
      <c r="N4930" s="442"/>
      <c r="O4930" s="442"/>
      <c r="P4930" s="442"/>
      <c r="Q4930" s="442"/>
      <c r="R4930" s="443"/>
      <c r="S4930" s="364"/>
      <c r="Z4930" s="609" t="s">
        <v>4148</v>
      </c>
      <c r="AA4930" s="609" t="s">
        <v>5716</v>
      </c>
    </row>
    <row r="4931" spans="1:27" ht="18">
      <c r="A4931" s="2714"/>
      <c r="B4931" s="371">
        <v>103</v>
      </c>
      <c r="C4931" s="371" t="s">
        <v>2791</v>
      </c>
      <c r="D4931" s="2716">
        <f t="shared" si="536"/>
        <v>0</v>
      </c>
      <c r="E4931" s="2721">
        <v>1</v>
      </c>
      <c r="F4931" s="294"/>
      <c r="G4931" s="2467" t="s">
        <v>2792</v>
      </c>
      <c r="H4931" s="2275"/>
      <c r="I4931" s="2275"/>
      <c r="J4931" s="2276"/>
      <c r="K4931" s="437"/>
      <c r="L4931" s="442"/>
      <c r="M4931" s="442"/>
      <c r="N4931" s="442"/>
      <c r="O4931" s="442"/>
      <c r="P4931" s="442"/>
      <c r="Q4931" s="442"/>
      <c r="R4931" s="443"/>
      <c r="S4931" s="364"/>
      <c r="Z4931" s="609" t="s">
        <v>4148</v>
      </c>
      <c r="AA4931" s="609" t="s">
        <v>5716</v>
      </c>
    </row>
    <row r="4932" spans="1:27" ht="18">
      <c r="A4932" s="2714"/>
      <c r="B4932" s="371">
        <v>104</v>
      </c>
      <c r="C4932" s="371" t="s">
        <v>2791</v>
      </c>
      <c r="D4932" s="2716">
        <f t="shared" si="536"/>
        <v>0</v>
      </c>
      <c r="E4932" s="2721">
        <v>1</v>
      </c>
      <c r="F4932" s="294"/>
      <c r="G4932" s="2467" t="s">
        <v>2792</v>
      </c>
      <c r="H4932" s="2275"/>
      <c r="I4932" s="2275"/>
      <c r="J4932" s="2276"/>
      <c r="K4932" s="437"/>
      <c r="L4932" s="442"/>
      <c r="M4932" s="442"/>
      <c r="N4932" s="442"/>
      <c r="O4932" s="442"/>
      <c r="P4932" s="442"/>
      <c r="Q4932" s="442"/>
      <c r="R4932" s="443"/>
      <c r="S4932" s="364"/>
      <c r="Z4932" s="609" t="s">
        <v>4148</v>
      </c>
      <c r="AA4932" s="609" t="s">
        <v>5716</v>
      </c>
    </row>
    <row r="4933" spans="1:27" ht="18">
      <c r="A4933" s="2714"/>
      <c r="B4933" s="371">
        <v>105</v>
      </c>
      <c r="C4933" s="371" t="s">
        <v>2791</v>
      </c>
      <c r="D4933" s="2716">
        <f t="shared" si="536"/>
        <v>0</v>
      </c>
      <c r="E4933" s="2721">
        <v>1</v>
      </c>
      <c r="F4933" s="294"/>
      <c r="G4933" s="2467" t="s">
        <v>2792</v>
      </c>
      <c r="H4933" s="2275"/>
      <c r="I4933" s="2275"/>
      <c r="J4933" s="2276"/>
      <c r="K4933" s="437"/>
      <c r="L4933" s="442"/>
      <c r="M4933" s="442"/>
      <c r="N4933" s="442"/>
      <c r="O4933" s="442"/>
      <c r="P4933" s="442"/>
      <c r="Q4933" s="442"/>
      <c r="R4933" s="443"/>
      <c r="S4933" s="364"/>
      <c r="Z4933" s="609" t="s">
        <v>4148</v>
      </c>
      <c r="AA4933" s="609" t="s">
        <v>5716</v>
      </c>
    </row>
    <row r="4934" spans="1:27" ht="18.75" thickBot="1">
      <c r="A4934" s="2714"/>
      <c r="B4934" s="371"/>
      <c r="C4934" s="371"/>
      <c r="D4934" s="2716">
        <f t="shared" si="536"/>
        <v>1</v>
      </c>
      <c r="E4934" s="2721" t="s">
        <v>2751</v>
      </c>
      <c r="F4934" s="294"/>
      <c r="G4934" s="374" t="s">
        <v>2752</v>
      </c>
      <c r="H4934" s="1478">
        <f>SUMPRODUCT($E4928:$E4933,H4928:H4933)</f>
        <v>0</v>
      </c>
      <c r="I4934" s="1478">
        <f>SUMPRODUCT($E4928:$E4933,I4928:I4933)</f>
        <v>0</v>
      </c>
      <c r="J4934" s="2260"/>
      <c r="K4934" s="437"/>
      <c r="L4934" s="442"/>
      <c r="M4934" s="442"/>
      <c r="N4934" s="442"/>
      <c r="O4934" s="442"/>
      <c r="P4934" s="442"/>
      <c r="Q4934" s="442"/>
      <c r="R4934" s="443"/>
      <c r="S4934" s="364"/>
      <c r="Z4934" s="609" t="s">
        <v>4148</v>
      </c>
      <c r="AA4934" s="609" t="s">
        <v>5716</v>
      </c>
    </row>
    <row r="4935" spans="1:27" ht="18.75" thickBot="1">
      <c r="A4935" s="2714"/>
      <c r="B4935" s="371"/>
      <c r="C4935" s="371" t="s">
        <v>2755</v>
      </c>
      <c r="D4935" s="371"/>
      <c r="F4935" s="294"/>
      <c r="G4935" s="301"/>
      <c r="H4935" s="315" t="s">
        <v>3002</v>
      </c>
      <c r="I4935" s="315" t="s">
        <v>3002</v>
      </c>
      <c r="J4935" s="393"/>
      <c r="K4935" s="437"/>
      <c r="L4935" s="437"/>
      <c r="M4935" s="437"/>
      <c r="N4935" s="437"/>
      <c r="O4935" s="442"/>
      <c r="P4935" s="442"/>
      <c r="Q4935" s="442"/>
      <c r="R4935" s="443"/>
      <c r="S4935" s="364"/>
      <c r="Z4935" s="609" t="s">
        <v>4148</v>
      </c>
      <c r="AA4935" s="609" t="s">
        <v>5716</v>
      </c>
    </row>
    <row r="4936" spans="1:27" ht="18.75" thickTop="1">
      <c r="A4936" s="2714"/>
      <c r="B4936" s="371"/>
      <c r="C4936" s="371" t="s">
        <v>2565</v>
      </c>
      <c r="D4936" s="371"/>
      <c r="F4936" s="294"/>
      <c r="G4936" s="454" t="s">
        <v>2756</v>
      </c>
      <c r="H4936" s="455" t="str">
        <f>G4913</f>
        <v>(1)营业外收入明细项目</v>
      </c>
      <c r="I4936" s="487"/>
      <c r="J4936" s="474"/>
      <c r="K4936" s="474"/>
      <c r="L4936" s="350"/>
      <c r="M4936" s="350"/>
      <c r="N4936" s="350"/>
      <c r="S4936" s="364"/>
      <c r="Z4936" s="609" t="s">
        <v>4148</v>
      </c>
      <c r="AA4936" s="609" t="s">
        <v>5716</v>
      </c>
    </row>
    <row r="4937" spans="1:27" ht="24">
      <c r="A4937" s="2714"/>
      <c r="B4937" s="371"/>
      <c r="C4937" s="371" t="s">
        <v>2565</v>
      </c>
      <c r="D4937" s="371"/>
      <c r="F4937" s="294"/>
      <c r="G4937" s="316" t="str">
        <f>G4918</f>
        <v>与企业日常活动无关的政府补助</v>
      </c>
      <c r="H4937" s="2252">
        <f ca="1">HYPERLINK("#'"&amp;$G$1&amp;"'!"&amp;ADDRESS(ROW(Notes!H4918),COLUMN(Notes!H4918),4),H4918)</f>
        <v>0</v>
      </c>
      <c r="I4937" s="2252">
        <f ca="1">HYPERLINK("#'"&amp;$G$1&amp;"'!"&amp;ADDRESS(ROW(Notes!I4918),COLUMN(Notes!I4918),4),I4918)</f>
        <v>0</v>
      </c>
      <c r="J4937" s="351"/>
      <c r="K4937" s="2632" t="str">
        <f>H4913</f>
        <v>6710a</v>
      </c>
      <c r="L4937" s="350"/>
      <c r="M4937" s="350"/>
      <c r="N4937" s="350"/>
      <c r="S4937" s="364"/>
      <c r="Z4937" s="609" t="s">
        <v>4148</v>
      </c>
      <c r="AA4937" s="609" t="s">
        <v>5716</v>
      </c>
    </row>
    <row r="4938" spans="1:27" ht="18">
      <c r="A4938" s="2714"/>
      <c r="B4938" s="371"/>
      <c r="C4938" s="371" t="s">
        <v>2565</v>
      </c>
      <c r="D4938" s="371"/>
      <c r="F4938" s="294"/>
      <c r="G4938" s="316" t="s">
        <v>3003</v>
      </c>
      <c r="H4938" s="456">
        <f>H4934</f>
        <v>0</v>
      </c>
      <c r="I4938" s="456">
        <f>I4934</f>
        <v>0</v>
      </c>
      <c r="J4938" s="351"/>
      <c r="K4938" s="351"/>
      <c r="L4938" s="350"/>
      <c r="M4938" s="350"/>
      <c r="N4938" s="350"/>
      <c r="S4938" s="364"/>
      <c r="Z4938" s="609" t="s">
        <v>4148</v>
      </c>
      <c r="AA4938" s="609" t="s">
        <v>5716</v>
      </c>
    </row>
    <row r="4939" spans="1:27" ht="18.75" thickBot="1">
      <c r="A4939" s="2714"/>
      <c r="B4939" s="371"/>
      <c r="C4939" s="371" t="s">
        <v>2565</v>
      </c>
      <c r="D4939" s="371"/>
      <c r="F4939" s="294"/>
      <c r="G4939" s="457" t="s">
        <v>2757</v>
      </c>
      <c r="H4939" s="458">
        <f ca="1">IF(AND(H4937="",H4938=""),"",ROUND(H4937-H4938,2))</f>
        <v>0</v>
      </c>
      <c r="I4939" s="458">
        <f ca="1">IF(AND(I4937="",I4938=""),"",ROUND(I4937-I4938,2))</f>
        <v>0</v>
      </c>
      <c r="J4939" s="356"/>
      <c r="K4939" s="356"/>
      <c r="L4939" s="350"/>
      <c r="M4939" s="350"/>
      <c r="N4939" s="350"/>
      <c r="S4939" s="364"/>
      <c r="Z4939" s="609" t="s">
        <v>4148</v>
      </c>
      <c r="AA4939" s="609" t="s">
        <v>5716</v>
      </c>
    </row>
    <row r="4940" spans="1:27" ht="18.75" thickTop="1">
      <c r="A4940" s="2714"/>
      <c r="B4940" s="371"/>
      <c r="C4940" s="371" t="s">
        <v>2565</v>
      </c>
      <c r="D4940" s="371"/>
      <c r="F4940" s="294"/>
      <c r="G4940" s="354"/>
      <c r="H4940" s="459" t="str">
        <f ca="1">IF(OR(H4939=0,H4939=""),"√","？")</f>
        <v>√</v>
      </c>
      <c r="I4940" s="459" t="str">
        <f ca="1">IF(OR(I4939=0,I4939=""),"√","？")</f>
        <v>√</v>
      </c>
      <c r="J4940" s="317"/>
      <c r="K4940" s="317"/>
      <c r="L4940" s="350"/>
      <c r="M4940" s="350"/>
      <c r="N4940" s="350"/>
      <c r="S4940" s="364"/>
      <c r="Z4940" s="609" t="s">
        <v>4148</v>
      </c>
      <c r="AA4940" s="609" t="s">
        <v>5716</v>
      </c>
    </row>
    <row r="4941" spans="1:27" ht="18">
      <c r="A4941" s="2714"/>
      <c r="B4941" s="371"/>
      <c r="C4941" s="371" t="s">
        <v>2565</v>
      </c>
      <c r="D4941" s="371"/>
      <c r="F4941" s="294"/>
      <c r="G4941" s="460" t="s">
        <v>2759</v>
      </c>
      <c r="H4941" s="461"/>
      <c r="I4941" s="461"/>
      <c r="J4941" s="317"/>
      <c r="K4941" s="352">
        <f ca="1">SUMIF($H$4940:$K$4940,"&lt;&gt;√",$H$4939:$K$4939)</f>
        <v>0</v>
      </c>
      <c r="L4941" s="353" t="str">
        <f ca="1">IF(OR(K4941=0,K4941=""),"√","？")</f>
        <v>√</v>
      </c>
      <c r="M4941" s="350"/>
      <c r="N4941" s="350"/>
      <c r="S4941" s="364"/>
      <c r="Z4941" s="609" t="s">
        <v>4148</v>
      </c>
      <c r="AA4941" s="609" t="s">
        <v>5716</v>
      </c>
    </row>
    <row r="4942" spans="1:27" ht="18">
      <c r="A4942" s="2714"/>
      <c r="B4942" s="371"/>
      <c r="C4942" s="371" t="s">
        <v>2565</v>
      </c>
      <c r="D4942" s="371"/>
      <c r="F4942" s="294"/>
      <c r="G4942" s="354"/>
      <c r="H4942" s="461"/>
      <c r="I4942" s="461"/>
      <c r="J4942" s="317"/>
      <c r="K4942" s="317"/>
      <c r="L4942" s="350"/>
      <c r="M4942" s="350"/>
      <c r="N4942" s="350"/>
      <c r="S4942" s="364"/>
      <c r="Z4942" s="609" t="s">
        <v>4148</v>
      </c>
      <c r="AA4942" s="609" t="s">
        <v>5716</v>
      </c>
    </row>
    <row r="4943" spans="1:27" ht="18">
      <c r="A4943" s="2714">
        <v>6711</v>
      </c>
      <c r="B4943" s="371">
        <v>75</v>
      </c>
      <c r="C4943" s="2716" t="str">
        <f>VLOOKUP($A4943,Sheet_Items,2,0)</f>
        <v>营业外支出</v>
      </c>
      <c r="D4943" s="371"/>
      <c r="E4943" s="2716" t="s">
        <v>2739</v>
      </c>
      <c r="F4943" s="294"/>
      <c r="G4943" s="305" t="str">
        <f>B4943&amp;" "&amp;C4943</f>
        <v>75 营业外支出</v>
      </c>
      <c r="H4943" s="306"/>
      <c r="I4943" s="306"/>
      <c r="J4943" s="306" t="s">
        <v>4206</v>
      </c>
      <c r="K4943" s="341">
        <f>VLOOKUP($A4943,Sheet_Trialbal,6,0)</f>
        <v>0</v>
      </c>
      <c r="L4943" s="342"/>
      <c r="M4943" s="306" t="s">
        <v>4207</v>
      </c>
      <c r="N4943" s="341">
        <f>VLOOKUP($A4943,Sheet_Trialbal,10,0)</f>
        <v>0</v>
      </c>
      <c r="O4943" s="306"/>
      <c r="P4943" s="301"/>
      <c r="S4943" s="364"/>
      <c r="Z4943" s="609" t="s">
        <v>4353</v>
      </c>
      <c r="AA4943" s="609" t="s">
        <v>5717</v>
      </c>
    </row>
    <row r="4944" spans="1:27" ht="18">
      <c r="A4944" s="2714" t="s">
        <v>1937</v>
      </c>
      <c r="B4944" s="371">
        <v>1</v>
      </c>
      <c r="C4944" s="371"/>
      <c r="D4944" s="2716" t="str">
        <f>VLOOKUP($A4944,Sheet_NoteList,2,0)</f>
        <v>营业外支出明细项目</v>
      </c>
      <c r="E4944" s="2716" t="s">
        <v>2742</v>
      </c>
      <c r="F4944" s="294"/>
      <c r="G4944" s="307" t="str">
        <f>"("&amp;B4944&amp;")"&amp;D4944</f>
        <v>(1)营业外支出明细项目</v>
      </c>
      <c r="H4944" s="1517" t="str">
        <f>$A4944</f>
        <v>6711a</v>
      </c>
      <c r="I4944" s="343" t="s">
        <v>2743</v>
      </c>
      <c r="J4944" s="301" t="s">
        <v>4210</v>
      </c>
      <c r="K4944" s="2210">
        <f>H4954</f>
        <v>0</v>
      </c>
      <c r="L4944" s="345" t="str">
        <f>IF($I4944="适用",IF(ROUND(K4943-K4944,2)=0,"F/S",ROUND(K4943-K4944,2)),"#N/A")</f>
        <v>F/S</v>
      </c>
      <c r="M4944" s="301" t="s">
        <v>4211</v>
      </c>
      <c r="N4944" s="2210">
        <f>I4954</f>
        <v>0</v>
      </c>
      <c r="O4944" s="345" t="str">
        <f>IF($I4944="适用",IF(ROUND(N4943-N4944,2)=0,"F/S",ROUND(N4943-N4944,2)),"#N/A")</f>
        <v>F/S</v>
      </c>
      <c r="P4944" s="301"/>
      <c r="Q4944" s="290" t="str">
        <f>IF($I4944="不适用","",IF(ROUND(SUM($H$4947:$J$4954),2)=0,"请输入",""))</f>
        <v>请输入</v>
      </c>
      <c r="S4944" s="364"/>
      <c r="Z4944" s="609" t="s">
        <v>4353</v>
      </c>
      <c r="AA4944" s="609" t="s">
        <v>5717</v>
      </c>
    </row>
    <row r="4945" spans="1:27" ht="0.75" customHeight="1" thickBot="1">
      <c r="A4945" s="2714"/>
      <c r="B4945" s="371"/>
      <c r="C4945" s="371"/>
      <c r="D4945" s="371"/>
      <c r="E4945" s="586"/>
      <c r="F4945" s="363"/>
      <c r="G4945" s="363" t="s">
        <v>4354</v>
      </c>
      <c r="H4945" s="294" t="s">
        <v>4223</v>
      </c>
      <c r="I4945" s="294" t="s">
        <v>4224</v>
      </c>
      <c r="J4945" s="294" t="s">
        <v>4347</v>
      </c>
      <c r="K4945" s="291"/>
      <c r="L4945" s="291"/>
      <c r="M4945" s="291"/>
      <c r="N4945" s="291"/>
      <c r="S4945" s="364"/>
      <c r="Z4945" s="609" t="s">
        <v>4353</v>
      </c>
      <c r="AA4945" s="609" t="s">
        <v>5717</v>
      </c>
    </row>
    <row r="4946" spans="1:27" ht="24">
      <c r="A4946" s="2714"/>
      <c r="B4946" s="371"/>
      <c r="C4946" s="371"/>
      <c r="D4946" s="371"/>
      <c r="E4946" s="586" t="s">
        <v>2749</v>
      </c>
      <c r="F4946" s="363"/>
      <c r="G4946" s="2457" t="s">
        <v>47</v>
      </c>
      <c r="H4946" s="2464" t="str">
        <f>$V$4</f>
        <v>2019年度</v>
      </c>
      <c r="I4946" s="2464" t="str">
        <f>$V$5</f>
        <v>2018年度</v>
      </c>
      <c r="J4946" s="2469" t="s">
        <v>4348</v>
      </c>
      <c r="K4946" s="355" t="s">
        <v>5340</v>
      </c>
      <c r="L4946" s="291"/>
      <c r="M4946" s="291"/>
      <c r="N4946" s="291"/>
      <c r="S4946" s="364"/>
      <c r="Z4946" s="609" t="s">
        <v>4353</v>
      </c>
      <c r="AA4946" s="609" t="s">
        <v>5717</v>
      </c>
    </row>
    <row r="4947" spans="1:27" ht="18">
      <c r="A4947" s="2714"/>
      <c r="B4947" s="371">
        <v>101</v>
      </c>
      <c r="C4947" s="371"/>
      <c r="D4947" s="2716">
        <f t="shared" ref="D4947:D4954" si="537">IF(OR(G4947="*",G4947="",G4947=0),0,COUNTIF($G$4947:$G$4954,G4947))</f>
        <v>1</v>
      </c>
      <c r="E4947" s="2721">
        <v>1</v>
      </c>
      <c r="F4947" s="294"/>
      <c r="G4947" s="1474" t="s">
        <v>4355</v>
      </c>
      <c r="H4947" s="2275"/>
      <c r="I4947" s="2275"/>
      <c r="J4947" s="2296"/>
      <c r="K4947" s="291"/>
      <c r="L4947" s="291"/>
      <c r="M4947" s="291"/>
      <c r="N4947" s="291"/>
      <c r="S4947" s="364"/>
      <c r="Z4947" s="609" t="s">
        <v>4353</v>
      </c>
      <c r="AA4947" s="609" t="s">
        <v>5717</v>
      </c>
    </row>
    <row r="4948" spans="1:27" ht="18">
      <c r="A4948" s="2714"/>
      <c r="B4948" s="371">
        <v>102</v>
      </c>
      <c r="C4948" s="371"/>
      <c r="D4948" s="2716">
        <f t="shared" si="537"/>
        <v>1</v>
      </c>
      <c r="E4948" s="2721">
        <v>1</v>
      </c>
      <c r="F4948" s="294"/>
      <c r="G4948" s="1474" t="s">
        <v>4356</v>
      </c>
      <c r="H4948" s="2275"/>
      <c r="I4948" s="2275"/>
      <c r="J4948" s="2296"/>
      <c r="K4948" s="291"/>
      <c r="L4948" s="291"/>
      <c r="M4948" s="291"/>
      <c r="N4948" s="291"/>
      <c r="S4948" s="364"/>
      <c r="Z4948" s="609" t="s">
        <v>4353</v>
      </c>
      <c r="AA4948" s="609" t="s">
        <v>5717</v>
      </c>
    </row>
    <row r="4949" spans="1:27" ht="18">
      <c r="A4949" s="2714"/>
      <c r="B4949" s="371">
        <v>106</v>
      </c>
      <c r="C4949" s="371"/>
      <c r="D4949" s="2716">
        <f t="shared" si="537"/>
        <v>1</v>
      </c>
      <c r="E4949" s="2721">
        <v>1</v>
      </c>
      <c r="F4949" s="294"/>
      <c r="G4949" s="1474" t="s">
        <v>4357</v>
      </c>
      <c r="H4949" s="2275"/>
      <c r="I4949" s="2275"/>
      <c r="J4949" s="2296"/>
      <c r="K4949" s="291"/>
      <c r="L4949" s="291"/>
      <c r="M4949" s="291"/>
      <c r="N4949" s="291"/>
      <c r="S4949" s="364"/>
      <c r="Z4949" s="609" t="s">
        <v>4353</v>
      </c>
      <c r="AA4949" s="609" t="s">
        <v>5717</v>
      </c>
    </row>
    <row r="4950" spans="1:27" ht="18">
      <c r="A4950" s="2714"/>
      <c r="B4950" s="371">
        <v>107</v>
      </c>
      <c r="C4950" s="371"/>
      <c r="D4950" s="2716">
        <f t="shared" si="537"/>
        <v>1</v>
      </c>
      <c r="E4950" s="2721">
        <v>1</v>
      </c>
      <c r="F4950" s="294"/>
      <c r="G4950" s="1474" t="s">
        <v>4358</v>
      </c>
      <c r="H4950" s="2275"/>
      <c r="I4950" s="2275"/>
      <c r="J4950" s="2296"/>
      <c r="K4950" s="291"/>
      <c r="L4950" s="291"/>
      <c r="M4950" s="291"/>
      <c r="N4950" s="291"/>
      <c r="S4950" s="364"/>
      <c r="Z4950" s="609" t="s">
        <v>4353</v>
      </c>
      <c r="AA4950" s="609" t="s">
        <v>5717</v>
      </c>
    </row>
    <row r="4951" spans="1:27" ht="18">
      <c r="A4951" s="2714"/>
      <c r="B4951" s="371">
        <v>108</v>
      </c>
      <c r="C4951" s="371" t="s">
        <v>2791</v>
      </c>
      <c r="D4951" s="2716">
        <f t="shared" si="537"/>
        <v>0</v>
      </c>
      <c r="E4951" s="2721">
        <v>1</v>
      </c>
      <c r="F4951" s="294"/>
      <c r="G4951" s="2467" t="s">
        <v>2792</v>
      </c>
      <c r="H4951" s="2275"/>
      <c r="I4951" s="2275"/>
      <c r="J4951" s="2296"/>
      <c r="K4951" s="291"/>
      <c r="L4951" s="291"/>
      <c r="M4951" s="291"/>
      <c r="N4951" s="291"/>
      <c r="S4951" s="364"/>
      <c r="Z4951" s="609" t="s">
        <v>4353</v>
      </c>
      <c r="AA4951" s="609" t="s">
        <v>5717</v>
      </c>
    </row>
    <row r="4952" spans="1:27" ht="18">
      <c r="A4952" s="2714"/>
      <c r="B4952" s="371">
        <v>109</v>
      </c>
      <c r="C4952" s="371" t="s">
        <v>2791</v>
      </c>
      <c r="D4952" s="2716">
        <f t="shared" si="537"/>
        <v>0</v>
      </c>
      <c r="E4952" s="2721">
        <v>1</v>
      </c>
      <c r="F4952" s="294"/>
      <c r="G4952" s="2467" t="s">
        <v>2792</v>
      </c>
      <c r="H4952" s="2275"/>
      <c r="I4952" s="2275"/>
      <c r="J4952" s="2296"/>
      <c r="K4952" s="291"/>
      <c r="L4952" s="291"/>
      <c r="M4952" s="291"/>
      <c r="N4952" s="291"/>
      <c r="S4952" s="364"/>
      <c r="Z4952" s="609" t="s">
        <v>4353</v>
      </c>
      <c r="AA4952" s="609" t="s">
        <v>5717</v>
      </c>
    </row>
    <row r="4953" spans="1:27" ht="18">
      <c r="A4953" s="2714"/>
      <c r="B4953" s="371">
        <v>110</v>
      </c>
      <c r="C4953" s="371" t="s">
        <v>2791</v>
      </c>
      <c r="D4953" s="2716">
        <f t="shared" si="537"/>
        <v>0</v>
      </c>
      <c r="E4953" s="2721">
        <v>1</v>
      </c>
      <c r="F4953" s="294"/>
      <c r="G4953" s="2467" t="s">
        <v>2792</v>
      </c>
      <c r="H4953" s="2275"/>
      <c r="I4953" s="2275"/>
      <c r="J4953" s="2296"/>
      <c r="K4953" s="291"/>
      <c r="L4953" s="291"/>
      <c r="M4953" s="291"/>
      <c r="N4953" s="291"/>
      <c r="S4953" s="364"/>
      <c r="Z4953" s="609" t="s">
        <v>4353</v>
      </c>
      <c r="AA4953" s="609" t="s">
        <v>5717</v>
      </c>
    </row>
    <row r="4954" spans="1:27" ht="18.75" thickBot="1">
      <c r="A4954" s="2714"/>
      <c r="B4954" s="371"/>
      <c r="C4954" s="371"/>
      <c r="D4954" s="2716">
        <f t="shared" si="537"/>
        <v>1</v>
      </c>
      <c r="E4954" s="2721" t="s">
        <v>2751</v>
      </c>
      <c r="F4954" s="294"/>
      <c r="G4954" s="374" t="s">
        <v>2752</v>
      </c>
      <c r="H4954" s="1478">
        <f>SUMPRODUCT($E4946:$E4953,H4946:H4953)</f>
        <v>0</v>
      </c>
      <c r="I4954" s="1478">
        <f>SUMPRODUCT($E4946:$E4953,I4946:I4953)</f>
        <v>0</v>
      </c>
      <c r="J4954" s="1479">
        <f>SUMPRODUCT($E4946:$E4953,J4946:J4953)</f>
        <v>0</v>
      </c>
      <c r="K4954" s="291"/>
      <c r="L4954" s="291"/>
      <c r="M4954" s="291"/>
      <c r="N4954" s="291"/>
      <c r="S4954" s="364"/>
      <c r="Z4954" s="609" t="s">
        <v>4353</v>
      </c>
      <c r="AA4954" s="609" t="s">
        <v>5717</v>
      </c>
    </row>
    <row r="4955" spans="1:27" ht="18">
      <c r="A4955" s="2714"/>
      <c r="B4955" s="371"/>
      <c r="C4955" s="371" t="s">
        <v>2755</v>
      </c>
      <c r="D4955" s="371"/>
      <c r="F4955" s="294"/>
      <c r="G4955" s="301"/>
      <c r="H4955" s="315"/>
      <c r="I4955" s="315"/>
      <c r="J4955" s="315"/>
      <c r="K4955" s="291"/>
      <c r="L4955" s="291"/>
      <c r="M4955" s="291"/>
      <c r="N4955" s="291"/>
      <c r="S4955" s="364"/>
      <c r="Z4955" s="609" t="s">
        <v>4353</v>
      </c>
      <c r="AA4955" s="609" t="s">
        <v>5717</v>
      </c>
    </row>
    <row r="4956" spans="1:27" ht="18">
      <c r="A4956" s="2714">
        <v>6791</v>
      </c>
      <c r="B4956" s="371">
        <v>76</v>
      </c>
      <c r="C4956" s="2716" t="str">
        <f>VLOOKUP($A4956,Sheet_Items,2,0)</f>
        <v>所得税费用</v>
      </c>
      <c r="D4956" s="371"/>
      <c r="E4956" s="2716" t="s">
        <v>2739</v>
      </c>
      <c r="F4956" s="294"/>
      <c r="G4956" s="305" t="str">
        <f>B4956&amp;" "&amp;C4956</f>
        <v>76 所得税费用</v>
      </c>
      <c r="H4956" s="306"/>
      <c r="I4956" s="306"/>
      <c r="J4956" s="306" t="s">
        <v>4206</v>
      </c>
      <c r="K4956" s="341">
        <f>VLOOKUP($A4956,Sheet_Trialbal,6,0)</f>
        <v>-6256690.8899999997</v>
      </c>
      <c r="L4956" s="342"/>
      <c r="M4956" s="306" t="s">
        <v>4207</v>
      </c>
      <c r="N4956" s="341">
        <f>VLOOKUP($A4956,Sheet_Trialbal,10,0)</f>
        <v>0</v>
      </c>
      <c r="O4956" s="306"/>
      <c r="P4956" s="301"/>
      <c r="S4956" s="364"/>
      <c r="Z4956" s="609" t="s">
        <v>4359</v>
      </c>
      <c r="AA4956" s="609" t="s">
        <v>5718</v>
      </c>
    </row>
    <row r="4957" spans="1:27" ht="18">
      <c r="A4957" s="2714" t="s">
        <v>1939</v>
      </c>
      <c r="B4957" s="371">
        <v>1</v>
      </c>
      <c r="C4957" s="371"/>
      <c r="D4957" s="2716" t="str">
        <f>VLOOKUP($A4957,Sheet_NoteList,2,0)</f>
        <v>所得税费用的组成</v>
      </c>
      <c r="E4957" s="2716" t="s">
        <v>2742</v>
      </c>
      <c r="F4957" s="294"/>
      <c r="G4957" s="307" t="str">
        <f>"("&amp;B4957&amp;")"&amp;D4957</f>
        <v>(1)所得税费用的组成</v>
      </c>
      <c r="H4957" s="1517" t="str">
        <f>$A4957</f>
        <v>6791a</v>
      </c>
      <c r="I4957" s="343" t="s">
        <v>2743</v>
      </c>
      <c r="J4957" s="301" t="s">
        <v>4210</v>
      </c>
      <c r="K4957" s="2210">
        <f>H4963</f>
        <v>-6256690.8899999997</v>
      </c>
      <c r="L4957" s="345" t="str">
        <f>IF($I4957="适用",IF(ROUND(K$4956-K4957,2)=0,"F/S",ROUND(K$4956-K4957,2)),"#N/A")</f>
        <v>F/S</v>
      </c>
      <c r="M4957" s="301" t="s">
        <v>4211</v>
      </c>
      <c r="N4957" s="2210">
        <f>I4963</f>
        <v>0</v>
      </c>
      <c r="O4957" s="345" t="str">
        <f>IF($I4957="适用",IF(ROUND(N$4956-N4957,2)=0,"F/S",ROUND(N$4956-N4957,2)),"#N/A")</f>
        <v>F/S</v>
      </c>
      <c r="P4957" s="301"/>
      <c r="Q4957" s="290" t="str">
        <f>IF($I4957="不适用","",IF(ROUND(SUM($H$4960:$I$4963),2)=0,"请输入",""))</f>
        <v/>
      </c>
      <c r="S4957" s="364"/>
      <c r="Z4957" s="609" t="s">
        <v>4359</v>
      </c>
      <c r="AA4957" s="609" t="s">
        <v>5718</v>
      </c>
    </row>
    <row r="4958" spans="1:27" ht="0.75" customHeight="1" thickBot="1">
      <c r="A4958" s="2714"/>
      <c r="B4958" s="371"/>
      <c r="C4958" s="371"/>
      <c r="D4958" s="371"/>
      <c r="F4958" s="371"/>
      <c r="G4958" s="371" t="s">
        <v>4360</v>
      </c>
      <c r="H4958" s="371" t="s">
        <v>4223</v>
      </c>
      <c r="I4958" s="371" t="s">
        <v>4224</v>
      </c>
      <c r="J4958" s="291"/>
      <c r="K4958" s="291"/>
      <c r="L4958" s="291"/>
      <c r="M4958" s="291"/>
      <c r="S4958" s="364"/>
      <c r="Z4958" s="609" t="s">
        <v>4359</v>
      </c>
      <c r="AA4958" s="609" t="s">
        <v>5718</v>
      </c>
    </row>
    <row r="4959" spans="1:27" ht="18.75" thickTop="1">
      <c r="A4959" s="2714"/>
      <c r="B4959" s="371"/>
      <c r="C4959" s="371"/>
      <c r="D4959" s="371"/>
      <c r="E4959" s="2716" t="s">
        <v>2749</v>
      </c>
      <c r="F4959" s="294"/>
      <c r="G4959" s="378" t="s">
        <v>47</v>
      </c>
      <c r="H4959" s="398" t="str">
        <f>$V$4</f>
        <v>2019年度</v>
      </c>
      <c r="I4959" s="511" t="str">
        <f>$V$5</f>
        <v>2018年度</v>
      </c>
      <c r="J4959" s="355" t="s">
        <v>5341</v>
      </c>
      <c r="K4959" s="1584" t="str">
        <f>""&amp;"&gt;本期:"&amp;""</f>
        <v>&gt;本期:</v>
      </c>
      <c r="L4959" s="1584"/>
      <c r="M4959" s="2658" t="str">
        <f>""&amp;"NoteID"&amp;""</f>
        <v>NoteID</v>
      </c>
      <c r="S4959" s="364"/>
      <c r="Z4959" s="609" t="s">
        <v>4359</v>
      </c>
      <c r="AA4959" s="609" t="s">
        <v>5718</v>
      </c>
    </row>
    <row r="4960" spans="1:27" ht="18">
      <c r="A4960" s="2714"/>
      <c r="B4960" s="371">
        <v>101</v>
      </c>
      <c r="C4960" s="371"/>
      <c r="D4960" s="2716">
        <f>IF(OR(G4960="*",G4960="",G4960=0),0,COUNTIF($G$4960:$G$4963,G4960))</f>
        <v>1</v>
      </c>
      <c r="E4960" s="2721">
        <v>1</v>
      </c>
      <c r="F4960" s="294"/>
      <c r="G4960" s="380" t="s">
        <v>4361</v>
      </c>
      <c r="H4960" s="383"/>
      <c r="I4960" s="401"/>
      <c r="J4960" s="291"/>
      <c r="K4960" s="2252">
        <f ca="1">HYPERLINK("#'"&amp;$G$1&amp;"'!"&amp;ADDRESS(ROW(Notes!J3732),COLUMN(Notes!J3732),4),J3732)</f>
        <v>0</v>
      </c>
      <c r="L4960" s="456"/>
      <c r="M4960" s="2665" t="str">
        <f>H3727</f>
        <v>2221a</v>
      </c>
      <c r="S4960" s="364"/>
      <c r="Z4960" s="609" t="s">
        <v>4359</v>
      </c>
      <c r="AA4960" s="609" t="s">
        <v>5718</v>
      </c>
    </row>
    <row r="4961" spans="1:27" ht="18">
      <c r="A4961" s="2714"/>
      <c r="B4961" s="371">
        <v>102</v>
      </c>
      <c r="C4961" s="371"/>
      <c r="D4961" s="2716">
        <f>IF(OR(G4961="*",G4961="",G4961=0),0,COUNTIF($G$4960:$G$4963,G4961))</f>
        <v>1</v>
      </c>
      <c r="E4961" s="2721">
        <v>1</v>
      </c>
      <c r="F4961" s="294"/>
      <c r="G4961" s="380" t="s">
        <v>4362</v>
      </c>
      <c r="H4961" s="383">
        <v>-6256690.8899999997</v>
      </c>
      <c r="I4961" s="401"/>
      <c r="J4961" s="291"/>
      <c r="K4961" s="456"/>
      <c r="L4961" s="456"/>
      <c r="M4961" s="2666"/>
      <c r="S4961" s="364"/>
      <c r="Z4961" s="609" t="s">
        <v>4359</v>
      </c>
      <c r="AA4961" s="609" t="s">
        <v>5718</v>
      </c>
    </row>
    <row r="4962" spans="1:27" ht="18">
      <c r="A4962" s="2714"/>
      <c r="B4962" s="371">
        <v>103</v>
      </c>
      <c r="C4962" s="371" t="s">
        <v>2791</v>
      </c>
      <c r="D4962" s="2716">
        <f>IF(OR(G4962="*",G4962="",G4962=0),0,COUNTIF($G$4960:$G$4963,G4962))</f>
        <v>0</v>
      </c>
      <c r="E4962" s="2721">
        <v>1</v>
      </c>
      <c r="F4962" s="294"/>
      <c r="G4962" s="409" t="s">
        <v>2792</v>
      </c>
      <c r="H4962" s="383"/>
      <c r="I4962" s="401"/>
      <c r="J4962" s="291"/>
      <c r="K4962" s="456"/>
      <c r="L4962" s="456"/>
      <c r="M4962" s="2666"/>
      <c r="S4962" s="364"/>
      <c r="Z4962" s="609" t="s">
        <v>4359</v>
      </c>
      <c r="AA4962" s="609" t="s">
        <v>5718</v>
      </c>
    </row>
    <row r="4963" spans="1:27" ht="18.75" thickBot="1">
      <c r="A4963" s="2714"/>
      <c r="B4963" s="371"/>
      <c r="C4963" s="371"/>
      <c r="D4963" s="2716">
        <f>IF(OR(G4963="*",G4963="",G4963=0),0,COUNTIF($G$4960:$G$4963,G4963))</f>
        <v>1</v>
      </c>
      <c r="E4963" s="2721" t="s">
        <v>2751</v>
      </c>
      <c r="F4963" s="294"/>
      <c r="G4963" s="403" t="s">
        <v>2752</v>
      </c>
      <c r="H4963" s="503">
        <f>SUMPRODUCT($E4959:$E4962,H4959:H4962)</f>
        <v>-6256690.8899999997</v>
      </c>
      <c r="I4963" s="515">
        <f>SUMPRODUCT($E4959:$E4962,I4959:I4962)</f>
        <v>0</v>
      </c>
      <c r="J4963" s="291"/>
      <c r="K4963" s="1531">
        <f t="shared" ref="K4963:L4963" ca="1" si="538">SUM(K4960:K4962)</f>
        <v>0</v>
      </c>
      <c r="L4963" s="1531">
        <f t="shared" si="538"/>
        <v>0</v>
      </c>
      <c r="M4963" s="2667"/>
      <c r="S4963" s="364"/>
      <c r="Z4963" s="609" t="s">
        <v>4359</v>
      </c>
      <c r="AA4963" s="609" t="s">
        <v>5718</v>
      </c>
    </row>
    <row r="4964" spans="1:27" ht="18">
      <c r="A4964" s="2714"/>
      <c r="B4964" s="371"/>
      <c r="C4964" s="371" t="s">
        <v>2755</v>
      </c>
      <c r="D4964" s="371"/>
      <c r="F4964" s="294"/>
      <c r="G4964" s="301"/>
      <c r="H4964" s="349"/>
      <c r="I4964" s="349"/>
      <c r="J4964" s="291"/>
      <c r="K4964" s="1539" t="s">
        <v>5505</v>
      </c>
      <c r="L4964" s="354"/>
      <c r="M4964" s="354"/>
      <c r="S4964" s="364"/>
      <c r="Z4964" s="609" t="s">
        <v>4359</v>
      </c>
      <c r="AA4964" s="609" t="s">
        <v>5718</v>
      </c>
    </row>
    <row r="4965" spans="1:27" ht="24">
      <c r="A4965" s="2714" t="s">
        <v>1941</v>
      </c>
      <c r="B4965" s="371">
        <v>2</v>
      </c>
      <c r="C4965" s="371"/>
      <c r="D4965" s="2716" t="str">
        <f>VLOOKUP($A4965,Sheet_NoteList,2,0)</f>
        <v>会计利润与所得税费用调整过程</v>
      </c>
      <c r="E4965" s="2716" t="s">
        <v>2742</v>
      </c>
      <c r="F4965" s="294"/>
      <c r="G4965" s="372" t="str">
        <f>"("&amp;B4965&amp;")"&amp;D4965</f>
        <v>(2)会计利润与所得税费用调整过程</v>
      </c>
      <c r="H4965" s="1517" t="str">
        <f>$A4965</f>
        <v>6791b</v>
      </c>
      <c r="I4965" s="343" t="s">
        <v>2743</v>
      </c>
      <c r="J4965" s="301" t="s">
        <v>4210</v>
      </c>
      <c r="K4965" s="2210">
        <f>H4981</f>
        <v>-6256690.8899999997</v>
      </c>
      <c r="L4965" s="345" t="str">
        <f>IF($I4965="适用",IF(ROUND(K$4956-K4965,2)=0,"F/S",ROUND(K$4956-K4965,2)),"#N/A")</f>
        <v>F/S</v>
      </c>
      <c r="M4965" s="301" t="s">
        <v>4211</v>
      </c>
      <c r="N4965" s="2210">
        <f>I4981</f>
        <v>0</v>
      </c>
      <c r="O4965" s="345" t="str">
        <f>IF($I4965="适用",IF(ROUND(N$4956-N4965,2)=0,"F/S",ROUND(N$4956-N4965,2)),"#N/A")</f>
        <v>F/S</v>
      </c>
      <c r="P4965" s="301"/>
      <c r="Q4965" s="290" t="str">
        <f>IF($I4965="不适用","",IF(ROUND(SUM($H$4968:$I$4981),2)=0,"请输入",""))</f>
        <v/>
      </c>
      <c r="S4965" s="364"/>
      <c r="Z4965" s="609" t="s">
        <v>4359</v>
      </c>
      <c r="AA4965" s="609" t="s">
        <v>5718</v>
      </c>
    </row>
    <row r="4966" spans="1:27" ht="0.75" customHeight="1" thickBot="1">
      <c r="A4966" s="2714"/>
      <c r="B4966" s="371"/>
      <c r="C4966" s="371"/>
      <c r="D4966" s="371"/>
      <c r="E4966" s="586"/>
      <c r="F4966" s="363"/>
      <c r="G4966" s="363" t="s">
        <v>4363</v>
      </c>
      <c r="H4966" s="294" t="s">
        <v>4223</v>
      </c>
      <c r="I4966" s="294" t="s">
        <v>4224</v>
      </c>
      <c r="J4966" s="291"/>
      <c r="K4966" s="291"/>
      <c r="L4966" s="291"/>
      <c r="M4966" s="291"/>
      <c r="S4966" s="364"/>
      <c r="Z4966" s="609" t="s">
        <v>4359</v>
      </c>
      <c r="AA4966" s="609" t="s">
        <v>5718</v>
      </c>
    </row>
    <row r="4967" spans="1:27" ht="18">
      <c r="A4967" s="2714"/>
      <c r="B4967" s="371"/>
      <c r="C4967" s="371"/>
      <c r="D4967" s="371"/>
      <c r="E4967" s="586" t="s">
        <v>2749</v>
      </c>
      <c r="F4967" s="363"/>
      <c r="G4967" s="2556" t="s">
        <v>47</v>
      </c>
      <c r="H4967" s="2555" t="str">
        <f>$V$4</f>
        <v>2019年度</v>
      </c>
      <c r="I4967" s="2611" t="str">
        <f>$V$5</f>
        <v>2018年度</v>
      </c>
      <c r="J4967" s="355" t="s">
        <v>5341</v>
      </c>
      <c r="K4967" s="291"/>
      <c r="L4967" s="291"/>
      <c r="M4967" s="291"/>
      <c r="S4967" s="364"/>
      <c r="Z4967" s="609" t="s">
        <v>4359</v>
      </c>
      <c r="AA4967" s="609" t="s">
        <v>5718</v>
      </c>
    </row>
    <row r="4968" spans="1:27" ht="18">
      <c r="A4968" s="2714"/>
      <c r="B4968" s="371">
        <v>101</v>
      </c>
      <c r="C4968" s="371"/>
      <c r="D4968" s="2716">
        <f t="shared" ref="D4968:D4981" si="539">IF(OR(G4968="*",G4968="",G4968=0),0,COUNTIF($G$4968:$G$4981,G4968))</f>
        <v>1</v>
      </c>
      <c r="E4968" s="2721">
        <v>0</v>
      </c>
      <c r="F4968" s="294"/>
      <c r="G4968" s="1474" t="s">
        <v>861</v>
      </c>
      <c r="H4968" s="2275">
        <f>IS!E28</f>
        <v>-31554480.039999999</v>
      </c>
      <c r="I4968" s="2296"/>
      <c r="J4968" s="291"/>
      <c r="K4968" s="291"/>
      <c r="L4968" s="291"/>
      <c r="M4968" s="291"/>
      <c r="S4968" s="364"/>
      <c r="Z4968" s="609" t="s">
        <v>4359</v>
      </c>
      <c r="AA4968" s="609" t="s">
        <v>5718</v>
      </c>
    </row>
    <row r="4969" spans="1:27" ht="24">
      <c r="A4969" s="2714"/>
      <c r="B4969" s="371">
        <v>102</v>
      </c>
      <c r="C4969" s="371"/>
      <c r="D4969" s="2716">
        <f t="shared" si="539"/>
        <v>1</v>
      </c>
      <c r="E4969" s="2721">
        <v>1</v>
      </c>
      <c r="F4969" s="294"/>
      <c r="G4969" s="1474" t="s">
        <v>6147</v>
      </c>
      <c r="H4969" s="2275">
        <f>H4968*0.25</f>
        <v>-7888620.0099999998</v>
      </c>
      <c r="I4969" s="2296"/>
      <c r="J4969" s="291"/>
      <c r="K4969" s="291"/>
      <c r="L4969" s="291"/>
      <c r="M4969" s="291"/>
      <c r="S4969" s="364"/>
      <c r="Z4969" s="609" t="s">
        <v>4359</v>
      </c>
      <c r="AA4969" s="609" t="s">
        <v>5718</v>
      </c>
    </row>
    <row r="4970" spans="1:27" ht="18">
      <c r="A4970" s="2714"/>
      <c r="B4970" s="371">
        <v>103</v>
      </c>
      <c r="C4970" s="371"/>
      <c r="D4970" s="2716">
        <f t="shared" si="539"/>
        <v>1</v>
      </c>
      <c r="E4970" s="2721">
        <v>1</v>
      </c>
      <c r="F4970" s="294"/>
      <c r="G4970" s="1474" t="s">
        <v>4364</v>
      </c>
      <c r="H4970" s="2275"/>
      <c r="I4970" s="2296"/>
      <c r="J4970" s="291"/>
      <c r="K4970" s="291"/>
      <c r="L4970" s="291"/>
      <c r="M4970" s="291"/>
      <c r="S4970" s="364"/>
      <c r="Z4970" s="609" t="s">
        <v>4359</v>
      </c>
      <c r="AA4970" s="609" t="s">
        <v>5718</v>
      </c>
    </row>
    <row r="4971" spans="1:27" ht="18">
      <c r="A4971" s="2714"/>
      <c r="B4971" s="371">
        <v>104</v>
      </c>
      <c r="C4971" s="371"/>
      <c r="D4971" s="2716">
        <f t="shared" si="539"/>
        <v>1</v>
      </c>
      <c r="E4971" s="2721">
        <v>1</v>
      </c>
      <c r="F4971" s="294"/>
      <c r="G4971" s="1474" t="s">
        <v>4365</v>
      </c>
      <c r="H4971" s="2275"/>
      <c r="I4971" s="2296"/>
      <c r="J4971" s="291"/>
      <c r="K4971" s="291"/>
      <c r="L4971" s="291"/>
      <c r="M4971" s="291"/>
      <c r="S4971" s="364"/>
      <c r="Z4971" s="609" t="s">
        <v>4359</v>
      </c>
      <c r="AA4971" s="609" t="s">
        <v>5718</v>
      </c>
    </row>
    <row r="4972" spans="1:27" ht="18">
      <c r="A4972" s="2714"/>
      <c r="B4972" s="371">
        <v>105</v>
      </c>
      <c r="C4972" s="371"/>
      <c r="D4972" s="2716">
        <f t="shared" si="539"/>
        <v>1</v>
      </c>
      <c r="E4972" s="2721">
        <v>1</v>
      </c>
      <c r="F4972" s="294"/>
      <c r="G4972" s="1474" t="s">
        <v>4366</v>
      </c>
      <c r="H4972" s="2275"/>
      <c r="I4972" s="2296"/>
      <c r="J4972" s="291"/>
      <c r="K4972" s="291"/>
      <c r="L4972" s="291"/>
      <c r="M4972" s="291"/>
      <c r="S4972" s="364"/>
      <c r="Z4972" s="609" t="s">
        <v>4359</v>
      </c>
      <c r="AA4972" s="609" t="s">
        <v>5718</v>
      </c>
    </row>
    <row r="4973" spans="1:27" ht="24">
      <c r="A4973" s="2714"/>
      <c r="B4973" s="371">
        <v>106</v>
      </c>
      <c r="C4973" s="371"/>
      <c r="D4973" s="2716">
        <f t="shared" si="539"/>
        <v>1</v>
      </c>
      <c r="E4973" s="2721">
        <v>1</v>
      </c>
      <c r="F4973" s="294"/>
      <c r="G4973" s="1474" t="s">
        <v>4367</v>
      </c>
      <c r="H4973" s="2275"/>
      <c r="I4973" s="2296"/>
      <c r="J4973" s="291"/>
      <c r="K4973" s="291"/>
      <c r="L4973" s="291"/>
      <c r="M4973" s="291"/>
      <c r="S4973" s="364"/>
      <c r="Z4973" s="609" t="s">
        <v>4359</v>
      </c>
      <c r="AA4973" s="609" t="s">
        <v>5718</v>
      </c>
    </row>
    <row r="4974" spans="1:27" ht="24">
      <c r="A4974" s="2714"/>
      <c r="B4974" s="371">
        <v>107</v>
      </c>
      <c r="C4974" s="371"/>
      <c r="D4974" s="2716">
        <f t="shared" si="539"/>
        <v>1</v>
      </c>
      <c r="E4974" s="2721">
        <v>1</v>
      </c>
      <c r="F4974" s="294"/>
      <c r="G4974" s="1474" t="s">
        <v>4368</v>
      </c>
      <c r="H4974" s="2275"/>
      <c r="I4974" s="2296"/>
      <c r="J4974" s="291"/>
      <c r="K4974" s="291"/>
      <c r="L4974" s="291"/>
      <c r="M4974" s="291"/>
      <c r="S4974" s="364"/>
      <c r="Z4974" s="609" t="s">
        <v>4359</v>
      </c>
      <c r="AA4974" s="609" t="s">
        <v>5718</v>
      </c>
    </row>
    <row r="4975" spans="1:27" ht="36">
      <c r="A4975" s="2714"/>
      <c r="B4975" s="371">
        <v>108</v>
      </c>
      <c r="C4975" s="371"/>
      <c r="D4975" s="2716">
        <f t="shared" si="539"/>
        <v>1</v>
      </c>
      <c r="E4975" s="2721">
        <v>1</v>
      </c>
      <c r="F4975" s="294"/>
      <c r="G4975" s="1474" t="s">
        <v>4369</v>
      </c>
      <c r="H4975" s="2275">
        <v>1631929.12</v>
      </c>
      <c r="I4975" s="2296"/>
      <c r="J4975" s="291"/>
      <c r="K4975" s="3105"/>
      <c r="L4975" s="291"/>
      <c r="M4975" s="291"/>
      <c r="S4975" s="364"/>
      <c r="Z4975" s="609" t="s">
        <v>4359</v>
      </c>
      <c r="AA4975" s="609" t="s">
        <v>5718</v>
      </c>
    </row>
    <row r="4976" spans="1:27" ht="18">
      <c r="A4976" s="2714"/>
      <c r="B4976" s="371">
        <v>109</v>
      </c>
      <c r="C4976" s="371"/>
      <c r="D4976" s="2716">
        <f t="shared" si="539"/>
        <v>1</v>
      </c>
      <c r="E4976" s="2721">
        <v>1</v>
      </c>
      <c r="F4976" s="294"/>
      <c r="G4976" s="1474" t="s">
        <v>4370</v>
      </c>
      <c r="H4976" s="2275"/>
      <c r="I4976" s="2296"/>
      <c r="J4976" s="291"/>
      <c r="K4976" s="291"/>
      <c r="L4976" s="291"/>
      <c r="M4976" s="291"/>
      <c r="S4976" s="364"/>
      <c r="Z4976" s="609" t="s">
        <v>4359</v>
      </c>
      <c r="AA4976" s="609" t="s">
        <v>5718</v>
      </c>
    </row>
    <row r="4977" spans="1:27" ht="18">
      <c r="A4977" s="2714"/>
      <c r="B4977" s="371">
        <v>110</v>
      </c>
      <c r="C4977" s="371" t="s">
        <v>2791</v>
      </c>
      <c r="D4977" s="2716">
        <f t="shared" si="539"/>
        <v>0</v>
      </c>
      <c r="E4977" s="2721">
        <v>1</v>
      </c>
      <c r="F4977" s="294"/>
      <c r="G4977" s="2568" t="s">
        <v>2792</v>
      </c>
      <c r="H4977" s="2275"/>
      <c r="I4977" s="2296"/>
      <c r="J4977" s="291"/>
      <c r="K4977" s="291"/>
      <c r="L4977" s="291"/>
      <c r="M4977" s="291"/>
      <c r="S4977" s="364"/>
      <c r="Z4977" s="609" t="s">
        <v>4359</v>
      </c>
      <c r="AA4977" s="609" t="s">
        <v>5718</v>
      </c>
    </row>
    <row r="4978" spans="1:27" ht="18">
      <c r="A4978" s="2714"/>
      <c r="B4978" s="371">
        <v>111</v>
      </c>
      <c r="C4978" s="371" t="s">
        <v>2791</v>
      </c>
      <c r="D4978" s="2716">
        <f t="shared" si="539"/>
        <v>0</v>
      </c>
      <c r="E4978" s="2721">
        <v>1</v>
      </c>
      <c r="F4978" s="294"/>
      <c r="G4978" s="2568" t="s">
        <v>2792</v>
      </c>
      <c r="H4978" s="2275"/>
      <c r="I4978" s="2296"/>
      <c r="J4978" s="291"/>
      <c r="K4978" s="291"/>
      <c r="L4978" s="291"/>
      <c r="M4978" s="291"/>
      <c r="S4978" s="364"/>
      <c r="Z4978" s="609" t="s">
        <v>4359</v>
      </c>
      <c r="AA4978" s="609" t="s">
        <v>5718</v>
      </c>
    </row>
    <row r="4979" spans="1:27" ht="18">
      <c r="A4979" s="2714"/>
      <c r="B4979" s="371">
        <v>112</v>
      </c>
      <c r="C4979" s="371" t="s">
        <v>2791</v>
      </c>
      <c r="D4979" s="2716">
        <f t="shared" si="539"/>
        <v>0</v>
      </c>
      <c r="E4979" s="2721">
        <v>1</v>
      </c>
      <c r="F4979" s="294"/>
      <c r="G4979" s="2568" t="s">
        <v>2792</v>
      </c>
      <c r="H4979" s="2275"/>
      <c r="I4979" s="2296"/>
      <c r="J4979" s="291"/>
      <c r="K4979" s="291"/>
      <c r="L4979" s="291"/>
      <c r="M4979" s="291"/>
      <c r="S4979" s="364"/>
      <c r="Z4979" s="609" t="s">
        <v>4359</v>
      </c>
      <c r="AA4979" s="609" t="s">
        <v>5718</v>
      </c>
    </row>
    <row r="4980" spans="1:27" ht="18">
      <c r="A4980" s="2714"/>
      <c r="B4980" s="371">
        <v>113</v>
      </c>
      <c r="C4980" s="371" t="s">
        <v>2791</v>
      </c>
      <c r="D4980" s="2716">
        <f t="shared" si="539"/>
        <v>0</v>
      </c>
      <c r="E4980" s="2721">
        <v>1</v>
      </c>
      <c r="F4980" s="294"/>
      <c r="G4980" s="2568" t="s">
        <v>2792</v>
      </c>
      <c r="H4980" s="2275"/>
      <c r="I4980" s="2296"/>
      <c r="J4980" s="291"/>
      <c r="K4980" s="291"/>
      <c r="L4980" s="291"/>
      <c r="M4980" s="291"/>
      <c r="S4980" s="364"/>
      <c r="Z4980" s="609" t="s">
        <v>4359</v>
      </c>
      <c r="AA4980" s="609" t="s">
        <v>5718</v>
      </c>
    </row>
    <row r="4981" spans="1:27" ht="18.75" thickBot="1">
      <c r="A4981" s="2714"/>
      <c r="B4981" s="371"/>
      <c r="C4981" s="371"/>
      <c r="D4981" s="2716">
        <f t="shared" si="539"/>
        <v>1</v>
      </c>
      <c r="E4981" s="2721" t="s">
        <v>2751</v>
      </c>
      <c r="F4981" s="294"/>
      <c r="G4981" s="2234" t="s">
        <v>717</v>
      </c>
      <c r="H4981" s="2430">
        <f>SUMPRODUCT($E4967:$E4980,H4967:H4980)</f>
        <v>-6256690.8899999997</v>
      </c>
      <c r="I4981" s="2431">
        <f>SUMPRODUCT($E4967:$E4980,I4967:I4980)</f>
        <v>0</v>
      </c>
      <c r="J4981" s="355"/>
      <c r="K4981" s="291"/>
      <c r="L4981" s="291"/>
      <c r="M4981" s="291"/>
      <c r="S4981" s="364"/>
      <c r="Z4981" s="609" t="s">
        <v>4359</v>
      </c>
      <c r="AA4981" s="609" t="s">
        <v>5718</v>
      </c>
    </row>
    <row r="4982" spans="1:27" ht="18">
      <c r="A4982" s="2714"/>
      <c r="B4982" s="371"/>
      <c r="C4982" s="371" t="s">
        <v>2755</v>
      </c>
      <c r="D4982" s="371"/>
      <c r="F4982" s="294"/>
      <c r="G4982" s="301"/>
      <c r="H4982" s="315"/>
      <c r="I4982" s="315"/>
      <c r="J4982" s="291"/>
      <c r="K4982" s="291"/>
      <c r="L4982" s="291"/>
      <c r="M4982" s="291"/>
      <c r="S4982" s="364"/>
      <c r="Z4982" s="609" t="s">
        <v>4359</v>
      </c>
      <c r="AA4982" s="609" t="s">
        <v>5718</v>
      </c>
    </row>
    <row r="4983" spans="1:27" ht="18">
      <c r="A4983" s="2714">
        <v>9690</v>
      </c>
      <c r="B4983" s="371">
        <v>9000</v>
      </c>
      <c r="C4983" s="2716" t="str">
        <f>VLOOKUP($A4983,Sheet_Items,2,0)</f>
        <v>补充资料</v>
      </c>
      <c r="D4983" s="371"/>
      <c r="E4983" s="2716" t="s">
        <v>2739</v>
      </c>
      <c r="F4983" s="294"/>
      <c r="G4983" s="305" t="str">
        <f>B4983&amp;" "&amp;C4983</f>
        <v>9000 补充资料</v>
      </c>
      <c r="H4983" s="306"/>
      <c r="I4983" s="306"/>
      <c r="J4983" s="306"/>
      <c r="K4983" s="539"/>
      <c r="L4983" s="342"/>
      <c r="M4983" s="306"/>
      <c r="N4983" s="539"/>
      <c r="O4983" s="306"/>
      <c r="P4983" s="301"/>
      <c r="S4983" s="364"/>
      <c r="Z4983" s="609" t="s">
        <v>2195</v>
      </c>
      <c r="AA4983" s="371"/>
    </row>
    <row r="4984" spans="1:27" ht="24">
      <c r="A4984" s="2714" t="s">
        <v>2193</v>
      </c>
      <c r="B4984" s="371">
        <v>1</v>
      </c>
      <c r="C4984" s="371"/>
      <c r="D4984" s="2716" t="str">
        <f>VLOOKUP($A4984,Sheet_NoteList,2,0)</f>
        <v>费用按性质分类的补充资料</v>
      </c>
      <c r="E4984" s="2716" t="s">
        <v>6531</v>
      </c>
      <c r="F4984" s="294"/>
      <c r="G4984" s="372" t="str">
        <f>"("&amp;B4984&amp;")"&amp;D4984</f>
        <v>(1)费用按性质分类的补充资料</v>
      </c>
      <c r="H4984" s="1517" t="str">
        <f>$A4984</f>
        <v>9690a</v>
      </c>
      <c r="I4984" s="343" t="s">
        <v>5124</v>
      </c>
      <c r="J4984" s="301" t="s">
        <v>5491</v>
      </c>
      <c r="K4984" s="2210">
        <f>H4996</f>
        <v>0</v>
      </c>
      <c r="L4984" s="345"/>
      <c r="M4984" s="301" t="s">
        <v>5492</v>
      </c>
      <c r="N4984" s="2210">
        <f>I4996</f>
        <v>0</v>
      </c>
      <c r="O4984" s="345"/>
      <c r="P4984" s="301"/>
      <c r="S4984" s="364"/>
      <c r="Z4984" s="609" t="s">
        <v>2195</v>
      </c>
      <c r="AA4984" s="609"/>
    </row>
    <row r="4985" spans="1:27" ht="0.75" customHeight="1" thickBot="1">
      <c r="A4985" s="2714"/>
      <c r="B4985" s="371"/>
      <c r="C4985" s="371"/>
      <c r="D4985" s="371"/>
      <c r="F4985" s="371"/>
      <c r="G4985" s="371" t="s">
        <v>4371</v>
      </c>
      <c r="H4985" s="371" t="s">
        <v>4223</v>
      </c>
      <c r="I4985" s="371" t="s">
        <v>4224</v>
      </c>
      <c r="J4985" s="291"/>
      <c r="K4985" s="291"/>
      <c r="L4985" s="291"/>
      <c r="M4985" s="291"/>
      <c r="S4985" s="364"/>
      <c r="Z4985" s="609" t="s">
        <v>2195</v>
      </c>
      <c r="AA4985" s="609"/>
    </row>
    <row r="4986" spans="1:27" ht="18">
      <c r="A4986" s="2714"/>
      <c r="B4986" s="371"/>
      <c r="C4986" s="371"/>
      <c r="D4986" s="371"/>
      <c r="E4986" s="2716" t="s">
        <v>2749</v>
      </c>
      <c r="F4986" s="294"/>
      <c r="G4986" s="1582" t="s">
        <v>47</v>
      </c>
      <c r="H4986" s="1580" t="str">
        <f>$V$4</f>
        <v>2019年度</v>
      </c>
      <c r="I4986" s="1581" t="str">
        <f>$V$5</f>
        <v>2018年度</v>
      </c>
      <c r="J4986" s="424" t="s">
        <v>4372</v>
      </c>
      <c r="K4986" s="291"/>
      <c r="L4986" s="291"/>
      <c r="M4986" s="291"/>
      <c r="S4986" s="364"/>
      <c r="Z4986" s="609" t="s">
        <v>2195</v>
      </c>
      <c r="AA4986" s="609"/>
    </row>
    <row r="4987" spans="1:27" ht="18">
      <c r="A4987" s="2714"/>
      <c r="B4987" s="371">
        <v>101</v>
      </c>
      <c r="C4987" s="371"/>
      <c r="D4987" s="2716">
        <f t="shared" ref="D4987:D4996" si="540">IF(OR(G4987="*",G4987="",G4987=0),0,COUNTIF($G$4987:$G$4996,G4987))</f>
        <v>1</v>
      </c>
      <c r="E4987" s="2721">
        <v>1</v>
      </c>
      <c r="F4987" s="294"/>
      <c r="G4987" s="308" t="s">
        <v>4373</v>
      </c>
      <c r="H4987" s="309"/>
      <c r="I4987" s="346"/>
      <c r="J4987" s="579"/>
      <c r="K4987" s="291"/>
      <c r="L4987" s="291"/>
      <c r="M4987" s="291"/>
      <c r="S4987" s="364"/>
      <c r="Z4987" s="609" t="s">
        <v>2195</v>
      </c>
      <c r="AA4987" s="609"/>
    </row>
    <row r="4988" spans="1:27" ht="18">
      <c r="A4988" s="2714"/>
      <c r="B4988" s="371">
        <v>102</v>
      </c>
      <c r="C4988" s="371"/>
      <c r="D4988" s="2716">
        <f t="shared" si="540"/>
        <v>1</v>
      </c>
      <c r="E4988" s="2721">
        <v>1</v>
      </c>
      <c r="F4988" s="294"/>
      <c r="G4988" s="308" t="s">
        <v>4374</v>
      </c>
      <c r="H4988" s="309"/>
      <c r="I4988" s="346"/>
      <c r="J4988" s="291"/>
      <c r="K4988" s="291"/>
      <c r="L4988" s="291"/>
      <c r="M4988" s="291"/>
      <c r="S4988" s="364"/>
      <c r="Z4988" s="609" t="s">
        <v>2195</v>
      </c>
      <c r="AA4988" s="609"/>
    </row>
    <row r="4989" spans="1:27" ht="18">
      <c r="A4989" s="2714"/>
      <c r="B4989" s="371">
        <v>103</v>
      </c>
      <c r="C4989" s="371"/>
      <c r="D4989" s="2716">
        <f t="shared" si="540"/>
        <v>1</v>
      </c>
      <c r="E4989" s="2721">
        <v>1</v>
      </c>
      <c r="F4989" s="294"/>
      <c r="G4989" s="308" t="s">
        <v>4375</v>
      </c>
      <c r="H4989" s="309"/>
      <c r="I4989" s="346"/>
      <c r="J4989" s="291"/>
      <c r="K4989" s="291"/>
      <c r="L4989" s="291"/>
      <c r="M4989" s="291"/>
      <c r="S4989" s="364"/>
      <c r="Z4989" s="609" t="s">
        <v>2195</v>
      </c>
      <c r="AA4989" s="609"/>
    </row>
    <row r="4990" spans="1:27" ht="18">
      <c r="A4990" s="2714"/>
      <c r="B4990" s="371">
        <v>104</v>
      </c>
      <c r="C4990" s="371"/>
      <c r="D4990" s="2716">
        <f t="shared" si="540"/>
        <v>1</v>
      </c>
      <c r="E4990" s="2721">
        <v>1</v>
      </c>
      <c r="F4990" s="294"/>
      <c r="G4990" s="308" t="s">
        <v>4376</v>
      </c>
      <c r="H4990" s="309"/>
      <c r="I4990" s="346"/>
      <c r="J4990" s="291"/>
      <c r="K4990" s="291"/>
      <c r="L4990" s="291"/>
      <c r="M4990" s="291"/>
      <c r="S4990" s="364"/>
      <c r="Z4990" s="609" t="s">
        <v>2195</v>
      </c>
      <c r="AA4990" s="609"/>
    </row>
    <row r="4991" spans="1:27" ht="18">
      <c r="A4991" s="2714"/>
      <c r="B4991" s="371">
        <v>105</v>
      </c>
      <c r="C4991" s="371"/>
      <c r="D4991" s="2716">
        <f t="shared" si="540"/>
        <v>1</v>
      </c>
      <c r="E4991" s="2721">
        <v>1</v>
      </c>
      <c r="F4991" s="294"/>
      <c r="G4991" s="308" t="s">
        <v>4377</v>
      </c>
      <c r="H4991" s="309"/>
      <c r="I4991" s="346"/>
      <c r="J4991" s="291"/>
      <c r="K4991" s="291"/>
      <c r="L4991" s="291"/>
      <c r="M4991" s="291"/>
      <c r="S4991" s="364"/>
      <c r="Z4991" s="609" t="s">
        <v>2195</v>
      </c>
      <c r="AA4991" s="609"/>
    </row>
    <row r="4992" spans="1:27" ht="18">
      <c r="A4992" s="2714"/>
      <c r="B4992" s="371">
        <v>106</v>
      </c>
      <c r="C4992" s="371"/>
      <c r="D4992" s="2716">
        <f t="shared" si="540"/>
        <v>1</v>
      </c>
      <c r="E4992" s="2721">
        <v>1</v>
      </c>
      <c r="F4992" s="294"/>
      <c r="G4992" s="308" t="s">
        <v>4378</v>
      </c>
      <c r="H4992" s="309"/>
      <c r="I4992" s="346"/>
      <c r="J4992" s="291"/>
      <c r="K4992" s="291"/>
      <c r="L4992" s="291"/>
      <c r="M4992" s="291"/>
      <c r="S4992" s="364"/>
      <c r="Z4992" s="609" t="s">
        <v>2195</v>
      </c>
      <c r="AA4992" s="609"/>
    </row>
    <row r="4993" spans="1:27" ht="18">
      <c r="A4993" s="2714"/>
      <c r="B4993" s="371">
        <v>107</v>
      </c>
      <c r="C4993" s="371"/>
      <c r="D4993" s="2716">
        <f t="shared" si="540"/>
        <v>1</v>
      </c>
      <c r="E4993" s="2721">
        <v>1</v>
      </c>
      <c r="F4993" s="294"/>
      <c r="G4993" s="308" t="s">
        <v>689</v>
      </c>
      <c r="H4993" s="309"/>
      <c r="I4993" s="346"/>
      <c r="J4993" s="291"/>
      <c r="K4993" s="291"/>
      <c r="L4993" s="291"/>
      <c r="M4993" s="291"/>
      <c r="S4993" s="364"/>
      <c r="Z4993" s="609" t="s">
        <v>2195</v>
      </c>
      <c r="AA4993" s="609"/>
    </row>
    <row r="4994" spans="1:27" ht="18">
      <c r="A4994" s="2714"/>
      <c r="B4994" s="371">
        <v>108</v>
      </c>
      <c r="C4994" s="371"/>
      <c r="D4994" s="2716">
        <f t="shared" si="540"/>
        <v>1</v>
      </c>
      <c r="E4994" s="2721">
        <v>1</v>
      </c>
      <c r="F4994" s="294"/>
      <c r="G4994" s="308" t="s">
        <v>4379</v>
      </c>
      <c r="H4994" s="309"/>
      <c r="I4994" s="346"/>
      <c r="J4994" s="291"/>
      <c r="K4994" s="291"/>
      <c r="L4994" s="291"/>
      <c r="M4994" s="291"/>
      <c r="S4994" s="364"/>
      <c r="Z4994" s="609" t="s">
        <v>2195</v>
      </c>
      <c r="AA4994" s="609"/>
    </row>
    <row r="4995" spans="1:27" ht="18">
      <c r="A4995" s="2714"/>
      <c r="B4995" s="371">
        <v>109</v>
      </c>
      <c r="C4995" s="371" t="s">
        <v>2791</v>
      </c>
      <c r="D4995" s="2716">
        <f t="shared" si="540"/>
        <v>0</v>
      </c>
      <c r="E4995" s="2721">
        <v>1</v>
      </c>
      <c r="F4995" s="294"/>
      <c r="G4995" s="1583" t="s">
        <v>2792</v>
      </c>
      <c r="H4995" s="309"/>
      <c r="I4995" s="346"/>
      <c r="J4995" s="291"/>
      <c r="K4995" s="291"/>
      <c r="L4995" s="291"/>
      <c r="M4995" s="291"/>
      <c r="S4995" s="364"/>
      <c r="Z4995" s="609" t="s">
        <v>2195</v>
      </c>
      <c r="AA4995" s="609"/>
    </row>
    <row r="4996" spans="1:27" ht="18.75" thickBot="1">
      <c r="A4996" s="2714"/>
      <c r="B4996" s="371"/>
      <c r="C4996" s="371"/>
      <c r="D4996" s="2716">
        <f t="shared" si="540"/>
        <v>1</v>
      </c>
      <c r="E4996" s="2721" t="s">
        <v>2751</v>
      </c>
      <c r="F4996" s="294"/>
      <c r="G4996" s="1529" t="s">
        <v>2752</v>
      </c>
      <c r="H4996" s="1527">
        <f>SUMPRODUCT($E4986:$E4995,H4986:H4995)</f>
        <v>0</v>
      </c>
      <c r="I4996" s="1528">
        <f>SUMPRODUCT($E4986:$E4995,I4986:I4995)</f>
        <v>0</v>
      </c>
      <c r="J4996" s="291"/>
      <c r="K4996" s="291"/>
      <c r="L4996" s="291"/>
      <c r="M4996" s="291"/>
      <c r="S4996" s="364"/>
      <c r="Z4996" s="609" t="s">
        <v>2195</v>
      </c>
      <c r="AA4996" s="609"/>
    </row>
    <row r="4997" spans="1:27" ht="18">
      <c r="A4997" s="2714"/>
      <c r="B4997" s="371"/>
      <c r="C4997" s="371" t="s">
        <v>2755</v>
      </c>
      <c r="D4997" s="371"/>
      <c r="F4997" s="294"/>
      <c r="G4997" s="301"/>
      <c r="H4997" s="315"/>
      <c r="I4997" s="315"/>
      <c r="J4997" s="291"/>
      <c r="K4997" s="291"/>
      <c r="L4997" s="291"/>
      <c r="M4997" s="291"/>
      <c r="S4997" s="364"/>
      <c r="Z4997" s="609" t="s">
        <v>2195</v>
      </c>
      <c r="AA4997" s="609"/>
    </row>
    <row r="4998" spans="1:27" ht="18">
      <c r="A4998" s="2714" t="s">
        <v>2197</v>
      </c>
      <c r="B4998" s="371">
        <v>2</v>
      </c>
      <c r="C4998" s="371"/>
      <c r="D4998" s="2716" t="str">
        <f>VLOOKUP($A4998,Sheet_NoteList,2,0)</f>
        <v>补充资料（一）</v>
      </c>
      <c r="E4998" s="2716" t="s">
        <v>6532</v>
      </c>
      <c r="F4998" s="294"/>
      <c r="G4998" s="307" t="str">
        <f>"("&amp;B4998&amp;")"&amp;D4998</f>
        <v>(2)补充资料（一）</v>
      </c>
      <c r="H4998" s="1517" t="str">
        <f>$A4998</f>
        <v>9690b</v>
      </c>
      <c r="I4998" s="343" t="s">
        <v>5969</v>
      </c>
      <c r="J4998" s="301"/>
      <c r="K4998" s="391"/>
      <c r="L4998" s="345"/>
      <c r="M4998" s="301"/>
      <c r="N4998" s="391"/>
      <c r="O4998" s="345"/>
      <c r="P4998" s="301"/>
      <c r="S4998" s="364"/>
      <c r="Z4998" s="609" t="s">
        <v>2195</v>
      </c>
      <c r="AA4998" s="609"/>
    </row>
    <row r="4999" spans="1:27" ht="0.75" customHeight="1" thickBot="1">
      <c r="A4999" s="2714"/>
      <c r="B4999" s="371"/>
      <c r="C4999" s="371"/>
      <c r="D4999" s="371"/>
      <c r="E4999" s="586"/>
      <c r="F4999" s="586"/>
      <c r="G4999" s="586" t="s">
        <v>4380</v>
      </c>
      <c r="H4999" s="371" t="s">
        <v>2904</v>
      </c>
      <c r="I4999" s="371" t="s">
        <v>3255</v>
      </c>
      <c r="J4999" s="371" t="s">
        <v>3256</v>
      </c>
      <c r="K4999" s="371" t="s">
        <v>3241</v>
      </c>
      <c r="L4999" s="371" t="s">
        <v>3267</v>
      </c>
      <c r="M4999" s="371" t="s">
        <v>3268</v>
      </c>
      <c r="N4999" s="371" t="s">
        <v>3269</v>
      </c>
      <c r="O4999" s="371" t="s">
        <v>3270</v>
      </c>
      <c r="P4999" s="371" t="s">
        <v>3271</v>
      </c>
      <c r="Q4999" s="543" t="s">
        <v>3272</v>
      </c>
      <c r="S4999" s="364"/>
      <c r="Z4999" s="609" t="s">
        <v>2195</v>
      </c>
      <c r="AA4999" s="609"/>
    </row>
    <row r="5000" spans="1:27" ht="18">
      <c r="A5000" s="2714"/>
      <c r="B5000" s="371"/>
      <c r="C5000" s="371"/>
      <c r="D5000" s="371"/>
      <c r="E5000" s="586" t="s">
        <v>2749</v>
      </c>
      <c r="F5000" s="363"/>
      <c r="G5000" s="2458" t="s">
        <v>47</v>
      </c>
      <c r="H5000" s="2459" t="s">
        <v>3273</v>
      </c>
      <c r="I5000" s="2459" t="s">
        <v>3274</v>
      </c>
      <c r="J5000" s="2459" t="s">
        <v>3275</v>
      </c>
      <c r="K5000" s="2459" t="s">
        <v>3276</v>
      </c>
      <c r="L5000" s="2459" t="s">
        <v>2544</v>
      </c>
      <c r="M5000" s="2459" t="s">
        <v>2549</v>
      </c>
      <c r="N5000" s="2459" t="s">
        <v>3277</v>
      </c>
      <c r="O5000" s="2459" t="s">
        <v>3278</v>
      </c>
      <c r="P5000" s="2459" t="s">
        <v>3279</v>
      </c>
      <c r="Q5000" s="2460" t="s">
        <v>3280</v>
      </c>
      <c r="R5000" s="544" t="s">
        <v>4381</v>
      </c>
      <c r="S5000" s="364"/>
      <c r="Z5000" s="609" t="s">
        <v>2195</v>
      </c>
      <c r="AA5000" s="609"/>
    </row>
    <row r="5001" spans="1:27" ht="18">
      <c r="A5001" s="2714"/>
      <c r="B5001" s="371">
        <v>101</v>
      </c>
      <c r="C5001" s="371" t="s">
        <v>2791</v>
      </c>
      <c r="D5001" s="2716">
        <f t="shared" ref="D5001:D5006" si="541">IF(OR(G5001="*",G5001="",G5001=0),0,COUNTIF($G$5001:$G$5006,G5001))</f>
        <v>0</v>
      </c>
      <c r="E5001" s="2721">
        <v>1</v>
      </c>
      <c r="F5001" s="294"/>
      <c r="G5001" s="2467" t="s">
        <v>2792</v>
      </c>
      <c r="H5001" s="2275"/>
      <c r="I5001" s="2275"/>
      <c r="J5001" s="2275"/>
      <c r="K5001" s="1476">
        <f>H5001+I5001-J5001</f>
        <v>0</v>
      </c>
      <c r="L5001" s="2275"/>
      <c r="M5001" s="2275"/>
      <c r="N5001" s="2275"/>
      <c r="O5001" s="2298"/>
      <c r="P5001" s="2298"/>
      <c r="Q5001" s="2276"/>
      <c r="R5001" s="544" t="s">
        <v>3282</v>
      </c>
      <c r="S5001" s="364"/>
      <c r="Z5001" s="609" t="s">
        <v>2195</v>
      </c>
      <c r="AA5001" s="609"/>
    </row>
    <row r="5002" spans="1:27" ht="18">
      <c r="A5002" s="2714"/>
      <c r="B5002" s="371">
        <v>102</v>
      </c>
      <c r="C5002" s="371" t="s">
        <v>2791</v>
      </c>
      <c r="D5002" s="2716">
        <f t="shared" si="541"/>
        <v>0</v>
      </c>
      <c r="E5002" s="2721">
        <v>1</v>
      </c>
      <c r="F5002" s="294"/>
      <c r="G5002" s="2467" t="s">
        <v>2792</v>
      </c>
      <c r="H5002" s="2275"/>
      <c r="I5002" s="2275"/>
      <c r="J5002" s="2275"/>
      <c r="K5002" s="1476">
        <f>H5002+I5002-J5002</f>
        <v>0</v>
      </c>
      <c r="L5002" s="2275"/>
      <c r="M5002" s="2275"/>
      <c r="N5002" s="2275"/>
      <c r="O5002" s="2298"/>
      <c r="P5002" s="2298"/>
      <c r="Q5002" s="2276"/>
      <c r="S5002" s="364"/>
      <c r="Z5002" s="609" t="s">
        <v>2195</v>
      </c>
      <c r="AA5002" s="609"/>
    </row>
    <row r="5003" spans="1:27" ht="18">
      <c r="A5003" s="2714"/>
      <c r="B5003" s="371">
        <v>103</v>
      </c>
      <c r="C5003" s="371" t="s">
        <v>2791</v>
      </c>
      <c r="D5003" s="2716">
        <f t="shared" si="541"/>
        <v>0</v>
      </c>
      <c r="E5003" s="2721">
        <v>1</v>
      </c>
      <c r="F5003" s="294"/>
      <c r="G5003" s="2467" t="s">
        <v>2792</v>
      </c>
      <c r="H5003" s="2275"/>
      <c r="I5003" s="2275"/>
      <c r="J5003" s="2275"/>
      <c r="K5003" s="1476">
        <f>H5003+I5003-J5003</f>
        <v>0</v>
      </c>
      <c r="L5003" s="2275"/>
      <c r="M5003" s="2275"/>
      <c r="N5003" s="2275"/>
      <c r="O5003" s="2298"/>
      <c r="P5003" s="2298"/>
      <c r="Q5003" s="2276"/>
      <c r="S5003" s="364"/>
      <c r="Z5003" s="609" t="s">
        <v>2195</v>
      </c>
      <c r="AA5003" s="609"/>
    </row>
    <row r="5004" spans="1:27" ht="18">
      <c r="A5004" s="2714"/>
      <c r="B5004" s="371">
        <v>104</v>
      </c>
      <c r="C5004" s="371" t="s">
        <v>2791</v>
      </c>
      <c r="D5004" s="2716">
        <f t="shared" si="541"/>
        <v>0</v>
      </c>
      <c r="E5004" s="2721">
        <v>1</v>
      </c>
      <c r="F5004" s="294"/>
      <c r="G5004" s="2467" t="s">
        <v>2792</v>
      </c>
      <c r="H5004" s="2275"/>
      <c r="I5004" s="2275"/>
      <c r="J5004" s="2275"/>
      <c r="K5004" s="1476">
        <f>H5004+I5004-J5004</f>
        <v>0</v>
      </c>
      <c r="L5004" s="2275"/>
      <c r="M5004" s="2275"/>
      <c r="N5004" s="2275"/>
      <c r="O5004" s="2298"/>
      <c r="P5004" s="2298"/>
      <c r="Q5004" s="2276"/>
      <c r="S5004" s="364"/>
      <c r="Z5004" s="609" t="s">
        <v>2195</v>
      </c>
      <c r="AA5004" s="609"/>
    </row>
    <row r="5005" spans="1:27" ht="18">
      <c r="A5005" s="2714"/>
      <c r="B5005" s="371">
        <v>105</v>
      </c>
      <c r="C5005" s="371" t="s">
        <v>2791</v>
      </c>
      <c r="D5005" s="2716">
        <f t="shared" si="541"/>
        <v>0</v>
      </c>
      <c r="E5005" s="2721">
        <v>1</v>
      </c>
      <c r="F5005" s="294"/>
      <c r="G5005" s="2467" t="s">
        <v>2792</v>
      </c>
      <c r="H5005" s="2275"/>
      <c r="I5005" s="2275"/>
      <c r="J5005" s="2275"/>
      <c r="K5005" s="1476">
        <f>H5005+I5005-J5005</f>
        <v>0</v>
      </c>
      <c r="L5005" s="2275"/>
      <c r="M5005" s="2275"/>
      <c r="N5005" s="2275"/>
      <c r="O5005" s="2298"/>
      <c r="P5005" s="2298"/>
      <c r="Q5005" s="2276"/>
      <c r="S5005" s="364"/>
      <c r="Z5005" s="609" t="s">
        <v>2195</v>
      </c>
      <c r="AA5005" s="609"/>
    </row>
    <row r="5006" spans="1:27" ht="18.75" thickBot="1">
      <c r="A5006" s="2714"/>
      <c r="B5006" s="371"/>
      <c r="C5006" s="371"/>
      <c r="D5006" s="2716">
        <f t="shared" si="541"/>
        <v>1</v>
      </c>
      <c r="E5006" s="2721" t="s">
        <v>2751</v>
      </c>
      <c r="F5006" s="294"/>
      <c r="G5006" s="1529" t="s">
        <v>2752</v>
      </c>
      <c r="H5006" s="1527">
        <f t="shared" ref="H5006:N5006" si="542">SUMPRODUCT($E5000:$E5005,H5000:H5005)</f>
        <v>0</v>
      </c>
      <c r="I5006" s="1527">
        <f t="shared" si="542"/>
        <v>0</v>
      </c>
      <c r="J5006" s="1527">
        <f t="shared" si="542"/>
        <v>0</v>
      </c>
      <c r="K5006" s="1527">
        <f t="shared" si="542"/>
        <v>0</v>
      </c>
      <c r="L5006" s="1527">
        <f t="shared" si="542"/>
        <v>0</v>
      </c>
      <c r="M5006" s="1527">
        <f t="shared" si="542"/>
        <v>0</v>
      </c>
      <c r="N5006" s="1527">
        <f t="shared" si="542"/>
        <v>0</v>
      </c>
      <c r="O5006" s="2316"/>
      <c r="P5006" s="2316"/>
      <c r="Q5006" s="2266"/>
      <c r="S5006" s="364"/>
      <c r="Z5006" s="609" t="s">
        <v>2195</v>
      </c>
      <c r="AA5006" s="609"/>
    </row>
    <row r="5007" spans="1:27" ht="18">
      <c r="A5007" s="2714"/>
      <c r="B5007" s="371"/>
      <c r="C5007" s="371" t="s">
        <v>2755</v>
      </c>
      <c r="D5007" s="371"/>
      <c r="F5007" s="294"/>
      <c r="G5007" s="301"/>
      <c r="H5007" s="315"/>
      <c r="I5007" s="315"/>
      <c r="J5007" s="315"/>
      <c r="K5007" s="315"/>
      <c r="L5007" s="315"/>
      <c r="M5007" s="315"/>
      <c r="N5007" s="315"/>
      <c r="O5007" s="393"/>
      <c r="P5007" s="393"/>
      <c r="Q5007" s="545"/>
      <c r="S5007" s="364"/>
      <c r="Z5007" s="609" t="s">
        <v>2195</v>
      </c>
      <c r="AA5007" s="609"/>
    </row>
    <row r="5008" spans="1:27" ht="18">
      <c r="A5008" s="2714" t="s">
        <v>2200</v>
      </c>
      <c r="B5008" s="371">
        <v>3</v>
      </c>
      <c r="C5008" s="371"/>
      <c r="D5008" s="2716" t="str">
        <f>VLOOKUP($A5008,Sheet_NoteList,2,0)</f>
        <v>补充资料（二）</v>
      </c>
      <c r="E5008" s="2716" t="s">
        <v>6532</v>
      </c>
      <c r="F5008" s="294"/>
      <c r="G5008" s="307" t="str">
        <f>"("&amp;B5008&amp;")"&amp;D5008</f>
        <v>(3)补充资料（二）</v>
      </c>
      <c r="H5008" s="1517" t="str">
        <f>$A5008</f>
        <v>9690c</v>
      </c>
      <c r="I5008" s="343" t="s">
        <v>5974</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4382</v>
      </c>
      <c r="H5009" s="371" t="s">
        <v>4223</v>
      </c>
      <c r="I5009" s="371" t="s">
        <v>4224</v>
      </c>
      <c r="J5009" s="371" t="s">
        <v>3267</v>
      </c>
      <c r="K5009" s="371" t="s">
        <v>3268</v>
      </c>
      <c r="L5009" s="371" t="s">
        <v>3269</v>
      </c>
      <c r="M5009" s="371" t="s">
        <v>3270</v>
      </c>
      <c r="N5009" s="371" t="s">
        <v>3271</v>
      </c>
      <c r="O5009" s="543" t="s">
        <v>3272</v>
      </c>
      <c r="S5009" s="364"/>
      <c r="Z5009" s="609" t="s">
        <v>2195</v>
      </c>
      <c r="AA5009" s="609"/>
    </row>
    <row r="5010" spans="1:27" ht="18">
      <c r="A5010" s="2714"/>
      <c r="B5010" s="371"/>
      <c r="C5010" s="371"/>
      <c r="D5010" s="371"/>
      <c r="E5010" s="586" t="s">
        <v>2749</v>
      </c>
      <c r="F5010" s="363"/>
      <c r="G5010" s="2458" t="s">
        <v>47</v>
      </c>
      <c r="H5010" s="2459" t="s">
        <v>4242</v>
      </c>
      <c r="I5010" s="2459" t="s">
        <v>4245</v>
      </c>
      <c r="J5010" s="2459" t="s">
        <v>2544</v>
      </c>
      <c r="K5010" s="2459" t="s">
        <v>2549</v>
      </c>
      <c r="L5010" s="2459" t="s">
        <v>3277</v>
      </c>
      <c r="M5010" s="2459" t="s">
        <v>3278</v>
      </c>
      <c r="N5010" s="2459" t="s">
        <v>3279</v>
      </c>
      <c r="O5010" s="2460" t="s">
        <v>3280</v>
      </c>
      <c r="P5010" s="544" t="s">
        <v>4381</v>
      </c>
      <c r="S5010" s="364"/>
      <c r="Z5010" s="609" t="s">
        <v>2195</v>
      </c>
      <c r="AA5010" s="609"/>
    </row>
    <row r="5011" spans="1:27" ht="18">
      <c r="A5011" s="2714"/>
      <c r="B5011" s="371">
        <v>101</v>
      </c>
      <c r="C5011" s="371" t="s">
        <v>2791</v>
      </c>
      <c r="D5011" s="2716">
        <f t="shared" ref="D5011:D5016" si="543">IF(OR(G5011="*",G5011="",G5011=0),0,COUNTIF($G$5011:$G$5016,G5011))</f>
        <v>0</v>
      </c>
      <c r="E5011" s="2721">
        <v>1</v>
      </c>
      <c r="F5011" s="294"/>
      <c r="G5011" s="2467" t="s">
        <v>2792</v>
      </c>
      <c r="H5011" s="2275"/>
      <c r="I5011" s="2275"/>
      <c r="J5011" s="2275"/>
      <c r="K5011" s="2275"/>
      <c r="L5011" s="2275"/>
      <c r="M5011" s="2298"/>
      <c r="N5011" s="2298"/>
      <c r="O5011" s="2276"/>
      <c r="P5011" s="544" t="s">
        <v>3282</v>
      </c>
      <c r="S5011" s="364"/>
      <c r="Z5011" s="609" t="s">
        <v>2195</v>
      </c>
      <c r="AA5011" s="609"/>
    </row>
    <row r="5012" spans="1:27" ht="18">
      <c r="A5012" s="2714"/>
      <c r="B5012" s="371">
        <v>102</v>
      </c>
      <c r="C5012" s="371" t="s">
        <v>2791</v>
      </c>
      <c r="D5012" s="2716">
        <f t="shared" si="543"/>
        <v>0</v>
      </c>
      <c r="E5012" s="2721">
        <v>1</v>
      </c>
      <c r="F5012" s="294"/>
      <c r="G5012" s="2467" t="s">
        <v>2792</v>
      </c>
      <c r="H5012" s="2275"/>
      <c r="I5012" s="2275"/>
      <c r="J5012" s="2275"/>
      <c r="K5012" s="2275"/>
      <c r="L5012" s="2275"/>
      <c r="M5012" s="2298"/>
      <c r="N5012" s="2298"/>
      <c r="O5012" s="2276"/>
      <c r="S5012" s="364"/>
      <c r="Z5012" s="609" t="s">
        <v>2195</v>
      </c>
      <c r="AA5012" s="609"/>
    </row>
    <row r="5013" spans="1:27" ht="18">
      <c r="A5013" s="2714"/>
      <c r="B5013" s="371">
        <v>103</v>
      </c>
      <c r="C5013" s="371" t="s">
        <v>2791</v>
      </c>
      <c r="D5013" s="2716">
        <f t="shared" si="543"/>
        <v>0</v>
      </c>
      <c r="E5013" s="2721">
        <v>1</v>
      </c>
      <c r="F5013" s="294"/>
      <c r="G5013" s="2467" t="s">
        <v>2792</v>
      </c>
      <c r="H5013" s="2275"/>
      <c r="I5013" s="2275"/>
      <c r="J5013" s="2275"/>
      <c r="K5013" s="2275"/>
      <c r="L5013" s="2275"/>
      <c r="M5013" s="2298"/>
      <c r="N5013" s="2298"/>
      <c r="O5013" s="2276"/>
      <c r="S5013" s="364"/>
      <c r="Z5013" s="609" t="s">
        <v>2195</v>
      </c>
      <c r="AA5013" s="609"/>
    </row>
    <row r="5014" spans="1:27" ht="18">
      <c r="A5014" s="2714"/>
      <c r="B5014" s="371">
        <v>104</v>
      </c>
      <c r="C5014" s="371" t="s">
        <v>2791</v>
      </c>
      <c r="D5014" s="2716">
        <f t="shared" si="543"/>
        <v>0</v>
      </c>
      <c r="E5014" s="2721">
        <v>1</v>
      </c>
      <c r="F5014" s="294"/>
      <c r="G5014" s="2467" t="s">
        <v>2792</v>
      </c>
      <c r="H5014" s="2275"/>
      <c r="I5014" s="2275"/>
      <c r="J5014" s="2275"/>
      <c r="K5014" s="2275"/>
      <c r="L5014" s="2275"/>
      <c r="M5014" s="2298"/>
      <c r="N5014" s="2298"/>
      <c r="O5014" s="2276"/>
      <c r="S5014" s="364"/>
      <c r="Z5014" s="609" t="s">
        <v>2195</v>
      </c>
      <c r="AA5014" s="609"/>
    </row>
    <row r="5015" spans="1:27" ht="18">
      <c r="A5015" s="2714"/>
      <c r="B5015" s="371">
        <v>105</v>
      </c>
      <c r="C5015" s="371" t="s">
        <v>2791</v>
      </c>
      <c r="D5015" s="2716">
        <f t="shared" si="543"/>
        <v>0</v>
      </c>
      <c r="E5015" s="2721">
        <v>1</v>
      </c>
      <c r="F5015" s="294"/>
      <c r="G5015" s="2467" t="s">
        <v>2792</v>
      </c>
      <c r="H5015" s="2275"/>
      <c r="I5015" s="2275"/>
      <c r="J5015" s="2275"/>
      <c r="K5015" s="2275"/>
      <c r="L5015" s="2275"/>
      <c r="M5015" s="2298"/>
      <c r="N5015" s="2298"/>
      <c r="O5015" s="2276"/>
      <c r="S5015" s="364"/>
      <c r="Z5015" s="609" t="s">
        <v>2195</v>
      </c>
      <c r="AA5015" s="609"/>
    </row>
    <row r="5016" spans="1:27" ht="18.75" thickBot="1">
      <c r="A5016" s="2714"/>
      <c r="B5016" s="371"/>
      <c r="C5016" s="371"/>
      <c r="D5016" s="2716">
        <f t="shared" si="543"/>
        <v>1</v>
      </c>
      <c r="E5016" s="2721" t="s">
        <v>2751</v>
      </c>
      <c r="F5016" s="294"/>
      <c r="G5016" s="1529" t="s">
        <v>2752</v>
      </c>
      <c r="H5016" s="1527">
        <f>SUMPRODUCT($E5010:$E5015,H5010:H5015)</f>
        <v>0</v>
      </c>
      <c r="I5016" s="1527">
        <f>SUMPRODUCT($E5010:$E5015,I5010:I5015)</f>
        <v>0</v>
      </c>
      <c r="J5016" s="1527">
        <f>SUMPRODUCT($E5010:$E5015,J5010:J5015)</f>
        <v>0</v>
      </c>
      <c r="K5016" s="1527">
        <f>SUMPRODUCT($E5010:$E5015,K5010:K5015)</f>
        <v>0</v>
      </c>
      <c r="L5016" s="1527">
        <f>SUMPRODUCT($E5010:$E5015,L5010:L5015)</f>
        <v>0</v>
      </c>
      <c r="M5016" s="2316"/>
      <c r="N5016" s="2316"/>
      <c r="O5016" s="2266"/>
      <c r="S5016" s="364"/>
      <c r="Z5016" s="609" t="s">
        <v>2195</v>
      </c>
      <c r="AA5016" s="609"/>
    </row>
    <row r="5017" spans="1:27" ht="18">
      <c r="A5017" s="2714"/>
      <c r="B5017" s="371"/>
      <c r="C5017" s="371" t="s">
        <v>2755</v>
      </c>
      <c r="D5017" s="371"/>
      <c r="F5017" s="294"/>
      <c r="G5017" s="301"/>
      <c r="H5017" s="315"/>
      <c r="I5017" s="315"/>
      <c r="J5017" s="315"/>
      <c r="K5017" s="315"/>
      <c r="L5017" s="315"/>
      <c r="M5017" s="393"/>
      <c r="N5017" s="393"/>
      <c r="O5017" s="393"/>
      <c r="S5017" s="364"/>
      <c r="Z5017" s="609" t="s">
        <v>2195</v>
      </c>
      <c r="AA5017" s="609"/>
    </row>
    <row r="5018" spans="1:27" ht="18">
      <c r="A5018" s="2714">
        <v>7400</v>
      </c>
      <c r="B5018" s="371">
        <v>78</v>
      </c>
      <c r="C5018" s="2716" t="str">
        <f>VLOOKUP($A5018,Sheet_Items,2,0)</f>
        <v>现金流量表项目注释</v>
      </c>
      <c r="D5018" s="371"/>
      <c r="E5018" s="2716" t="s">
        <v>2739</v>
      </c>
      <c r="F5018" s="294"/>
      <c r="G5018" s="305" t="str">
        <f>B5018&amp;" "&amp;C5018</f>
        <v>78 现金流量表项目注释</v>
      </c>
      <c r="H5018" s="306"/>
      <c r="I5018" s="306"/>
      <c r="J5018" s="306"/>
      <c r="K5018" s="539"/>
      <c r="L5018" s="342"/>
      <c r="M5018" s="306"/>
      <c r="N5018" s="539"/>
      <c r="O5018" s="306"/>
      <c r="P5018" s="301"/>
      <c r="S5018" s="364"/>
      <c r="Z5018" s="609" t="s">
        <v>4383</v>
      </c>
      <c r="AA5018" s="371"/>
    </row>
    <row r="5019" spans="1:27" ht="18">
      <c r="A5019" s="2714">
        <v>7046</v>
      </c>
      <c r="B5019" s="371">
        <v>78.099999999999994</v>
      </c>
      <c r="C5019" s="2716" t="str">
        <f>VLOOKUP($A5019,Sheet_Items,2,0)</f>
        <v>收到其他与经营活动有关的现金</v>
      </c>
      <c r="D5019" s="371"/>
      <c r="E5019" s="2716" t="s">
        <v>2739</v>
      </c>
      <c r="F5019" s="294"/>
      <c r="G5019" s="536" t="str">
        <f>B5019&amp;" "&amp;C5019</f>
        <v>78.1 收到其他与经营活动有关的现金</v>
      </c>
      <c r="H5019" s="322"/>
      <c r="I5019" s="322"/>
      <c r="J5019" s="306" t="s">
        <v>4206</v>
      </c>
      <c r="K5019" s="341">
        <f>VLOOKUP($A5019,Sheet_Trialbal,6,0)</f>
        <v>233275.97</v>
      </c>
      <c r="L5019" s="342"/>
      <c r="M5019" s="306" t="s">
        <v>4207</v>
      </c>
      <c r="N5019" s="341">
        <f>VLOOKUP($A5019,Sheet_Trialbal,10,0)</f>
        <v>111511418.34999999</v>
      </c>
      <c r="O5019" s="325"/>
      <c r="P5019" s="301"/>
      <c r="S5019" s="364"/>
      <c r="Z5019" s="609" t="s">
        <v>4384</v>
      </c>
      <c r="AA5019" s="609"/>
    </row>
    <row r="5020" spans="1:27" ht="24">
      <c r="A5020" s="2714" t="s">
        <v>1946</v>
      </c>
      <c r="B5020" s="371">
        <v>1</v>
      </c>
      <c r="C5020" s="371"/>
      <c r="D5020" s="2716" t="str">
        <f>VLOOKUP($A5020,Sheet_NoteList,2,0)</f>
        <v>收到的其他与经营活动有关的现金</v>
      </c>
      <c r="E5020" s="2716" t="s">
        <v>2742</v>
      </c>
      <c r="F5020" s="294"/>
      <c r="G5020" s="372" t="str">
        <f>"("&amp;B5020&amp;")"&amp;D5020</f>
        <v>(1)收到的其他与经营活动有关的现金</v>
      </c>
      <c r="H5020" s="1517" t="str">
        <f>$A5020</f>
        <v>7046a</v>
      </c>
      <c r="I5020" s="343" t="s">
        <v>2743</v>
      </c>
      <c r="J5020" s="301" t="s">
        <v>4256</v>
      </c>
      <c r="K5020" s="2210">
        <f>H5033</f>
        <v>233275.97</v>
      </c>
      <c r="L5020" s="1535">
        <f>IF($I5020="适用",IF(ROUND(K5019-K5020,2)&gt;=0,IF(K5019&lt;&gt;0,K5020/K5019,""),"#Logical!"),"#N/A")</f>
        <v>1</v>
      </c>
      <c r="M5020" s="301" t="s">
        <v>4257</v>
      </c>
      <c r="N5020" s="2210">
        <f>I5033</f>
        <v>0</v>
      </c>
      <c r="O5020" s="1535">
        <f>IF($I5020="适用",IF(ROUND(N5019-N5020,2)&gt;=0,IF(N5019&lt;&gt;0,N5020/N5019,""),"#Logical!"),"#N/A")</f>
        <v>0</v>
      </c>
      <c r="P5020" s="301"/>
      <c r="Q5020" s="290" t="str">
        <f>IF($I5020="不适用","",IF(ROUND(SUM($H$5023:$I$5033),2)=0,"请输入",""))</f>
        <v/>
      </c>
      <c r="S5020" s="364"/>
      <c r="Z5020" s="609" t="s">
        <v>4384</v>
      </c>
      <c r="AA5020" s="609"/>
    </row>
    <row r="5021" spans="1:27" ht="0.75" customHeight="1" thickBot="1">
      <c r="A5021" s="2714"/>
      <c r="B5021" s="371"/>
      <c r="C5021" s="371"/>
      <c r="D5021" s="371"/>
      <c r="E5021" s="586"/>
      <c r="F5021" s="363"/>
      <c r="G5021" s="363" t="s">
        <v>4385</v>
      </c>
      <c r="H5021" s="294" t="s">
        <v>4223</v>
      </c>
      <c r="I5021" s="294" t="s">
        <v>4224</v>
      </c>
      <c r="J5021" s="291"/>
      <c r="K5021" s="291"/>
      <c r="L5021" s="291"/>
      <c r="M5021" s="291"/>
      <c r="S5021" s="364"/>
      <c r="Z5021" s="609" t="s">
        <v>4384</v>
      </c>
      <c r="AA5021" s="609"/>
    </row>
    <row r="5022" spans="1:27" ht="18">
      <c r="A5022" s="2714"/>
      <c r="B5022" s="371"/>
      <c r="C5022" s="371"/>
      <c r="D5022" s="371"/>
      <c r="E5022" s="586" t="s">
        <v>2749</v>
      </c>
      <c r="F5022" s="363"/>
      <c r="G5022" s="2453" t="s">
        <v>47</v>
      </c>
      <c r="H5022" s="2461" t="str">
        <f>$V$4</f>
        <v>2019年度</v>
      </c>
      <c r="I5022" s="2462" t="str">
        <f>$V$5</f>
        <v>2018年度</v>
      </c>
      <c r="J5022" s="355" t="s">
        <v>5342</v>
      </c>
      <c r="K5022" s="291"/>
      <c r="L5022" s="291"/>
      <c r="M5022" s="291"/>
      <c r="S5022" s="364"/>
      <c r="Z5022" s="609" t="s">
        <v>4384</v>
      </c>
      <c r="AA5022" s="609"/>
    </row>
    <row r="5023" spans="1:27" ht="18">
      <c r="A5023" s="2714"/>
      <c r="B5023" s="371">
        <v>101</v>
      </c>
      <c r="C5023" s="371" t="s">
        <v>2791</v>
      </c>
      <c r="D5023" s="2716">
        <f t="shared" ref="D5023:D5033" si="544">IF(OR(G5023="*",G5023="",G5023=0),0,COUNTIF($G$5023:$G$5033,G5023))</f>
        <v>1</v>
      </c>
      <c r="E5023" s="2721">
        <v>1</v>
      </c>
      <c r="F5023" s="294"/>
      <c r="G5023" s="2467" t="s">
        <v>905</v>
      </c>
      <c r="H5023" s="2275">
        <v>10113.33</v>
      </c>
      <c r="I5023" s="2296"/>
      <c r="J5023" s="291"/>
      <c r="K5023" s="291"/>
      <c r="L5023" s="291"/>
      <c r="M5023" s="291"/>
      <c r="S5023" s="364"/>
      <c r="Z5023" s="609" t="s">
        <v>4384</v>
      </c>
      <c r="AA5023" s="609"/>
    </row>
    <row r="5024" spans="1:27" ht="18">
      <c r="A5024" s="2714"/>
      <c r="B5024" s="371">
        <v>102</v>
      </c>
      <c r="C5024" s="371" t="s">
        <v>2791</v>
      </c>
      <c r="D5024" s="2716">
        <f t="shared" si="544"/>
        <v>1</v>
      </c>
      <c r="E5024" s="2721">
        <v>1</v>
      </c>
      <c r="F5024" s="294"/>
      <c r="G5024" s="2467" t="s">
        <v>6835</v>
      </c>
      <c r="H5024" s="2275">
        <v>111398</v>
      </c>
      <c r="I5024" s="2296"/>
      <c r="J5024" s="291"/>
      <c r="K5024" s="291"/>
      <c r="L5024" s="291"/>
      <c r="M5024" s="291"/>
      <c r="S5024" s="364"/>
      <c r="Z5024" s="609" t="s">
        <v>4384</v>
      </c>
      <c r="AA5024" s="609"/>
    </row>
    <row r="5025" spans="1:27" ht="18">
      <c r="A5025" s="2714"/>
      <c r="B5025" s="371">
        <v>103</v>
      </c>
      <c r="C5025" s="371" t="s">
        <v>2791</v>
      </c>
      <c r="D5025" s="2716">
        <f t="shared" si="544"/>
        <v>1</v>
      </c>
      <c r="E5025" s="2721">
        <v>1</v>
      </c>
      <c r="F5025" s="294"/>
      <c r="G5025" s="2467" t="s">
        <v>6836</v>
      </c>
      <c r="H5025" s="2275">
        <v>111764.64</v>
      </c>
      <c r="I5025" s="2296"/>
      <c r="J5025" s="291"/>
      <c r="K5025" s="291"/>
      <c r="L5025" s="291"/>
      <c r="M5025" s="291"/>
      <c r="S5025" s="364"/>
      <c r="Z5025" s="609" t="s">
        <v>4384</v>
      </c>
      <c r="AA5025" s="609"/>
    </row>
    <row r="5026" spans="1:27" ht="18">
      <c r="A5026" s="2714"/>
      <c r="B5026" s="371">
        <v>104</v>
      </c>
      <c r="C5026" s="371" t="s">
        <v>2791</v>
      </c>
      <c r="D5026" s="2716">
        <f t="shared" si="544"/>
        <v>0</v>
      </c>
      <c r="E5026" s="2721">
        <v>1</v>
      </c>
      <c r="F5026" s="294"/>
      <c r="G5026" s="2467" t="s">
        <v>2792</v>
      </c>
      <c r="H5026" s="2275"/>
      <c r="I5026" s="2296"/>
      <c r="J5026" s="291"/>
      <c r="K5026" s="291"/>
      <c r="L5026" s="291"/>
      <c r="M5026" s="291"/>
      <c r="S5026" s="364"/>
      <c r="Z5026" s="609" t="s">
        <v>4384</v>
      </c>
      <c r="AA5026" s="609"/>
    </row>
    <row r="5027" spans="1:27" ht="18">
      <c r="A5027" s="2714"/>
      <c r="B5027" s="371">
        <v>105</v>
      </c>
      <c r="C5027" s="371" t="s">
        <v>2791</v>
      </c>
      <c r="D5027" s="2716">
        <f t="shared" si="544"/>
        <v>0</v>
      </c>
      <c r="E5027" s="2721">
        <v>1</v>
      </c>
      <c r="F5027" s="294"/>
      <c r="G5027" s="2467" t="s">
        <v>2792</v>
      </c>
      <c r="H5027" s="2275"/>
      <c r="I5027" s="2296"/>
      <c r="J5027" s="291"/>
      <c r="K5027" s="291"/>
      <c r="L5027" s="291"/>
      <c r="M5027" s="291"/>
      <c r="S5027" s="364"/>
      <c r="Z5027" s="609" t="s">
        <v>4384</v>
      </c>
      <c r="AA5027" s="609"/>
    </row>
    <row r="5028" spans="1:27" ht="18">
      <c r="A5028" s="2714"/>
      <c r="B5028" s="371">
        <v>106</v>
      </c>
      <c r="C5028" s="371" t="s">
        <v>2791</v>
      </c>
      <c r="D5028" s="2716">
        <f t="shared" si="544"/>
        <v>0</v>
      </c>
      <c r="E5028" s="2721">
        <v>1</v>
      </c>
      <c r="F5028" s="294"/>
      <c r="G5028" s="2467" t="s">
        <v>2792</v>
      </c>
      <c r="H5028" s="2275"/>
      <c r="I5028" s="2296"/>
      <c r="J5028" s="291"/>
      <c r="K5028" s="291"/>
      <c r="L5028" s="291"/>
      <c r="M5028" s="291"/>
      <c r="S5028" s="364"/>
      <c r="Z5028" s="609" t="s">
        <v>4384</v>
      </c>
      <c r="AA5028" s="609"/>
    </row>
    <row r="5029" spans="1:27" ht="18">
      <c r="A5029" s="2714"/>
      <c r="B5029" s="371">
        <v>107</v>
      </c>
      <c r="C5029" s="371" t="s">
        <v>2791</v>
      </c>
      <c r="D5029" s="2716">
        <f t="shared" si="544"/>
        <v>0</v>
      </c>
      <c r="E5029" s="2721">
        <v>1</v>
      </c>
      <c r="F5029" s="294"/>
      <c r="G5029" s="2467" t="s">
        <v>2792</v>
      </c>
      <c r="H5029" s="2275"/>
      <c r="I5029" s="2296"/>
      <c r="J5029" s="291"/>
      <c r="K5029" s="291"/>
      <c r="L5029" s="291"/>
      <c r="M5029" s="291"/>
      <c r="S5029" s="364"/>
      <c r="Z5029" s="609" t="s">
        <v>4384</v>
      </c>
      <c r="AA5029" s="609"/>
    </row>
    <row r="5030" spans="1:27" ht="18">
      <c r="A5030" s="2714"/>
      <c r="B5030" s="371">
        <v>108</v>
      </c>
      <c r="C5030" s="371" t="s">
        <v>2791</v>
      </c>
      <c r="D5030" s="2716">
        <f t="shared" si="544"/>
        <v>0</v>
      </c>
      <c r="E5030" s="2721">
        <v>1</v>
      </c>
      <c r="F5030" s="294"/>
      <c r="G5030" s="2467" t="s">
        <v>2792</v>
      </c>
      <c r="H5030" s="2275"/>
      <c r="I5030" s="2296"/>
      <c r="J5030" s="291"/>
      <c r="K5030" s="291"/>
      <c r="L5030" s="291"/>
      <c r="M5030" s="291"/>
      <c r="S5030" s="364"/>
      <c r="Z5030" s="609" t="s">
        <v>4384</v>
      </c>
      <c r="AA5030" s="609"/>
    </row>
    <row r="5031" spans="1:27" ht="18">
      <c r="A5031" s="2714"/>
      <c r="B5031" s="371">
        <v>109</v>
      </c>
      <c r="C5031" s="371" t="s">
        <v>2791</v>
      </c>
      <c r="D5031" s="2716">
        <f t="shared" si="544"/>
        <v>0</v>
      </c>
      <c r="E5031" s="2721">
        <v>1</v>
      </c>
      <c r="F5031" s="294"/>
      <c r="G5031" s="2467" t="s">
        <v>2792</v>
      </c>
      <c r="H5031" s="2275"/>
      <c r="I5031" s="2296"/>
      <c r="J5031" s="291"/>
      <c r="K5031" s="291"/>
      <c r="L5031" s="291"/>
      <c r="M5031" s="291"/>
      <c r="S5031" s="364"/>
      <c r="Z5031" s="609" t="s">
        <v>4384</v>
      </c>
      <c r="AA5031" s="609"/>
    </row>
    <row r="5032" spans="1:27" ht="18">
      <c r="A5032" s="2714"/>
      <c r="B5032" s="371">
        <v>110</v>
      </c>
      <c r="C5032" s="371" t="s">
        <v>2791</v>
      </c>
      <c r="D5032" s="2716">
        <f t="shared" si="544"/>
        <v>0</v>
      </c>
      <c r="E5032" s="2721">
        <v>1</v>
      </c>
      <c r="F5032" s="294"/>
      <c r="G5032" s="2467" t="s">
        <v>2792</v>
      </c>
      <c r="H5032" s="2275"/>
      <c r="I5032" s="2296"/>
      <c r="J5032" s="291"/>
      <c r="K5032" s="291"/>
      <c r="L5032" s="291"/>
      <c r="M5032" s="291"/>
      <c r="S5032" s="364"/>
      <c r="Z5032" s="609" t="s">
        <v>4384</v>
      </c>
      <c r="AA5032" s="609"/>
    </row>
    <row r="5033" spans="1:27" ht="18.75" thickBot="1">
      <c r="A5033" s="2714"/>
      <c r="B5033" s="371"/>
      <c r="C5033" s="371"/>
      <c r="D5033" s="2716">
        <f t="shared" si="544"/>
        <v>1</v>
      </c>
      <c r="E5033" s="2721" t="s">
        <v>2751</v>
      </c>
      <c r="F5033" s="294"/>
      <c r="G5033" s="2234" t="s">
        <v>2752</v>
      </c>
      <c r="H5033" s="2235">
        <f>SUMPRODUCT($E5022:$E5032,H5022:H5032)</f>
        <v>233275.97</v>
      </c>
      <c r="I5033" s="2236">
        <f>SUMPRODUCT($E5022:$E5032,I5022:I5032)</f>
        <v>0</v>
      </c>
      <c r="J5033" s="291"/>
      <c r="K5033" s="291"/>
      <c r="L5033" s="291"/>
      <c r="M5033" s="291"/>
      <c r="S5033" s="364"/>
      <c r="Z5033" s="609" t="s">
        <v>4384</v>
      </c>
      <c r="AA5033" s="609"/>
    </row>
    <row r="5034" spans="1:27" ht="18">
      <c r="A5034" s="2714"/>
      <c r="B5034" s="371"/>
      <c r="C5034" s="371" t="s">
        <v>2755</v>
      </c>
      <c r="D5034" s="371"/>
      <c r="F5034" s="294"/>
      <c r="G5034" s="301"/>
      <c r="H5034" s="315"/>
      <c r="I5034" s="315"/>
      <c r="J5034" s="291"/>
      <c r="K5034" s="291"/>
      <c r="L5034" s="291"/>
      <c r="M5034" s="291"/>
      <c r="O5034" s="290"/>
      <c r="S5034" s="364"/>
      <c r="Z5034" s="609" t="s">
        <v>4384</v>
      </c>
      <c r="AA5034" s="609"/>
    </row>
    <row r="5035" spans="1:27" ht="18">
      <c r="A5035" s="2714">
        <v>7096</v>
      </c>
      <c r="B5035" s="371">
        <v>78.2</v>
      </c>
      <c r="C5035" s="2716" t="str">
        <f>VLOOKUP($A5035,Sheet_Items,2,0)</f>
        <v>支付其他与经营活动有关的现金</v>
      </c>
      <c r="D5035" s="371"/>
      <c r="E5035" s="2716" t="s">
        <v>2739</v>
      </c>
      <c r="F5035" s="294"/>
      <c r="G5035" s="536" t="str">
        <f>B5035&amp;" "&amp;C5035</f>
        <v>78.2 支付其他与经营活动有关的现金</v>
      </c>
      <c r="H5035" s="322"/>
      <c r="I5035" s="322"/>
      <c r="J5035" s="306" t="s">
        <v>4206</v>
      </c>
      <c r="K5035" s="341">
        <f>VLOOKUP($A5035,Sheet_Trialbal,6,0)</f>
        <v>9655236.5600000005</v>
      </c>
      <c r="L5035" s="342"/>
      <c r="M5035" s="306" t="s">
        <v>4207</v>
      </c>
      <c r="N5035" s="341">
        <f>VLOOKUP($A5035,Sheet_Trialbal,10,0)</f>
        <v>47546373.82</v>
      </c>
      <c r="O5035" s="306"/>
      <c r="P5035" s="301"/>
      <c r="S5035" s="364"/>
      <c r="Z5035" s="609" t="s">
        <v>4386</v>
      </c>
      <c r="AA5035" s="609"/>
    </row>
    <row r="5036" spans="1:27" ht="24">
      <c r="A5036" s="2714" t="s">
        <v>1957</v>
      </c>
      <c r="B5036" s="371">
        <v>1</v>
      </c>
      <c r="C5036" s="371"/>
      <c r="D5036" s="2716" t="str">
        <f>VLOOKUP($A5036,Sheet_NoteList,2,0)</f>
        <v>支付的其他与经营活动有关的现金</v>
      </c>
      <c r="E5036" s="2716" t="s">
        <v>2742</v>
      </c>
      <c r="F5036" s="294"/>
      <c r="G5036" s="372" t="str">
        <f>"("&amp;B5036&amp;")"&amp;D5036</f>
        <v>(1)支付的其他与经营活动有关的现金</v>
      </c>
      <c r="H5036" s="1517" t="str">
        <f>$A5036</f>
        <v>7096a</v>
      </c>
      <c r="I5036" s="343" t="s">
        <v>2743</v>
      </c>
      <c r="J5036" s="301" t="s">
        <v>4256</v>
      </c>
      <c r="K5036" s="2210">
        <f>H5049</f>
        <v>9655236.5600000005</v>
      </c>
      <c r="L5036" s="1535">
        <f>IF($I5036="适用",IF(ROUND(K5035-K5036,2)&gt;=0,IF(K5035&lt;&gt;0,K5036/K5035,""),"#Logical!"),"#N/A")</f>
        <v>1</v>
      </c>
      <c r="M5036" s="301" t="s">
        <v>4257</v>
      </c>
      <c r="N5036" s="2210">
        <f>I5049</f>
        <v>0</v>
      </c>
      <c r="O5036" s="1535">
        <f>IF($I5036="适用",IF(ROUND(N5035-N5036,2)&gt;=0,IF(N5035&lt;&gt;0,N5036/N5035,""),"#Logical!"),"#N/A")</f>
        <v>0</v>
      </c>
      <c r="P5036" s="301"/>
      <c r="Q5036" s="290" t="str">
        <f>IF($I5036="不适用","",IF(ROUND(SUM($H$5039:$I$5049),2)=0,"请输入",""))</f>
        <v/>
      </c>
      <c r="S5036" s="364"/>
      <c r="Z5036" s="609" t="s">
        <v>4386</v>
      </c>
      <c r="AA5036" s="609"/>
    </row>
    <row r="5037" spans="1:27" ht="0.75" customHeight="1" thickBot="1">
      <c r="A5037" s="2714"/>
      <c r="B5037" s="371"/>
      <c r="C5037" s="371"/>
      <c r="D5037" s="371"/>
      <c r="E5037" s="586"/>
      <c r="F5037" s="363"/>
      <c r="G5037" s="363" t="s">
        <v>4387</v>
      </c>
      <c r="H5037" s="294" t="s">
        <v>4223</v>
      </c>
      <c r="I5037" s="294" t="s">
        <v>4224</v>
      </c>
      <c r="J5037" s="291"/>
      <c r="K5037" s="291"/>
      <c r="L5037" s="291"/>
      <c r="M5037" s="291"/>
      <c r="S5037" s="364"/>
      <c r="Z5037" s="609" t="s">
        <v>4386</v>
      </c>
      <c r="AA5037" s="609"/>
    </row>
    <row r="5038" spans="1:27" ht="18">
      <c r="A5038" s="2714"/>
      <c r="B5038" s="371"/>
      <c r="C5038" s="371"/>
      <c r="D5038" s="371"/>
      <c r="E5038" s="586" t="s">
        <v>2749</v>
      </c>
      <c r="F5038" s="363"/>
      <c r="G5038" s="2453" t="s">
        <v>47</v>
      </c>
      <c r="H5038" s="2461" t="str">
        <f>$V$4</f>
        <v>2019年度</v>
      </c>
      <c r="I5038" s="2462" t="str">
        <f>$V$5</f>
        <v>2018年度</v>
      </c>
      <c r="J5038" s="355" t="s">
        <v>5342</v>
      </c>
      <c r="K5038" s="291"/>
      <c r="L5038" s="291"/>
      <c r="M5038" s="291"/>
      <c r="S5038" s="364"/>
      <c r="Z5038" s="609" t="s">
        <v>4386</v>
      </c>
      <c r="AA5038" s="609"/>
    </row>
    <row r="5039" spans="1:27" ht="18">
      <c r="A5039" s="2714"/>
      <c r="B5039" s="371">
        <v>101</v>
      </c>
      <c r="C5039" s="371" t="s">
        <v>2791</v>
      </c>
      <c r="D5039" s="2716">
        <f t="shared" ref="D5039:D5049" si="545">IF(OR(G5039="*",G5039="",G5039=0),0,COUNTIF($G$5039:$G$5049,G5039))</f>
        <v>1</v>
      </c>
      <c r="E5039" s="2721">
        <v>1</v>
      </c>
      <c r="F5039" s="294"/>
      <c r="G5039" s="2467" t="s">
        <v>6837</v>
      </c>
      <c r="H5039" s="2275">
        <v>9655236.5600000005</v>
      </c>
      <c r="I5039" s="2296"/>
      <c r="J5039" s="291"/>
      <c r="K5039" s="291"/>
      <c r="L5039" s="291"/>
      <c r="M5039" s="291"/>
      <c r="S5039" s="364"/>
      <c r="Z5039" s="609" t="s">
        <v>4386</v>
      </c>
      <c r="AA5039" s="609"/>
    </row>
    <row r="5040" spans="1:27" ht="18">
      <c r="A5040" s="2714"/>
      <c r="B5040" s="371">
        <v>102</v>
      </c>
      <c r="C5040" s="371" t="s">
        <v>2791</v>
      </c>
      <c r="D5040" s="2716">
        <f t="shared" si="545"/>
        <v>0</v>
      </c>
      <c r="E5040" s="2721">
        <v>1</v>
      </c>
      <c r="F5040" s="294"/>
      <c r="G5040" s="2467" t="s">
        <v>2792</v>
      </c>
      <c r="H5040" s="2275"/>
      <c r="I5040" s="2296"/>
      <c r="J5040" s="291"/>
      <c r="K5040" s="291"/>
      <c r="L5040" s="291"/>
      <c r="M5040" s="291"/>
      <c r="S5040" s="364"/>
      <c r="Z5040" s="609" t="s">
        <v>4386</v>
      </c>
      <c r="AA5040" s="609"/>
    </row>
    <row r="5041" spans="1:27" ht="18">
      <c r="A5041" s="2714"/>
      <c r="B5041" s="371">
        <v>103</v>
      </c>
      <c r="C5041" s="371" t="s">
        <v>2791</v>
      </c>
      <c r="D5041" s="2716">
        <f t="shared" si="545"/>
        <v>0</v>
      </c>
      <c r="E5041" s="2721">
        <v>1</v>
      </c>
      <c r="F5041" s="294"/>
      <c r="G5041" s="2467" t="s">
        <v>2792</v>
      </c>
      <c r="H5041" s="2275"/>
      <c r="I5041" s="2296"/>
      <c r="J5041" s="291"/>
      <c r="K5041" s="291"/>
      <c r="L5041" s="291"/>
      <c r="M5041" s="291"/>
      <c r="S5041" s="364"/>
      <c r="Z5041" s="609" t="s">
        <v>4386</v>
      </c>
      <c r="AA5041" s="609"/>
    </row>
    <row r="5042" spans="1:27" ht="18">
      <c r="A5042" s="2714"/>
      <c r="B5042" s="371">
        <v>104</v>
      </c>
      <c r="C5042" s="371" t="s">
        <v>2791</v>
      </c>
      <c r="D5042" s="2716">
        <f t="shared" si="545"/>
        <v>0</v>
      </c>
      <c r="E5042" s="2721">
        <v>1</v>
      </c>
      <c r="F5042" s="294"/>
      <c r="G5042" s="2467" t="s">
        <v>2792</v>
      </c>
      <c r="H5042" s="2275"/>
      <c r="I5042" s="2296"/>
      <c r="J5042" s="291"/>
      <c r="K5042" s="291"/>
      <c r="L5042" s="291"/>
      <c r="M5042" s="291"/>
      <c r="S5042" s="364"/>
      <c r="Z5042" s="609" t="s">
        <v>4386</v>
      </c>
      <c r="AA5042" s="609"/>
    </row>
    <row r="5043" spans="1:27" ht="18">
      <c r="A5043" s="2714"/>
      <c r="B5043" s="371">
        <v>105</v>
      </c>
      <c r="C5043" s="371" t="s">
        <v>2791</v>
      </c>
      <c r="D5043" s="2716">
        <f t="shared" si="545"/>
        <v>0</v>
      </c>
      <c r="E5043" s="2721">
        <v>1</v>
      </c>
      <c r="F5043" s="294"/>
      <c r="G5043" s="2467" t="s">
        <v>2792</v>
      </c>
      <c r="H5043" s="2275"/>
      <c r="I5043" s="2296"/>
      <c r="J5043" s="291"/>
      <c r="K5043" s="291"/>
      <c r="L5043" s="291"/>
      <c r="M5043" s="291"/>
      <c r="S5043" s="364"/>
      <c r="Z5043" s="609" t="s">
        <v>4386</v>
      </c>
      <c r="AA5043" s="609"/>
    </row>
    <row r="5044" spans="1:27" ht="18">
      <c r="A5044" s="2714"/>
      <c r="B5044" s="371">
        <v>106</v>
      </c>
      <c r="C5044" s="371" t="s">
        <v>2791</v>
      </c>
      <c r="D5044" s="2716">
        <f t="shared" si="545"/>
        <v>0</v>
      </c>
      <c r="E5044" s="2721">
        <v>1</v>
      </c>
      <c r="F5044" s="294"/>
      <c r="G5044" s="2467" t="s">
        <v>2792</v>
      </c>
      <c r="H5044" s="2275"/>
      <c r="I5044" s="2296"/>
      <c r="J5044" s="291"/>
      <c r="K5044" s="291"/>
      <c r="L5044" s="291"/>
      <c r="M5044" s="291"/>
      <c r="S5044" s="364"/>
      <c r="Z5044" s="609" t="s">
        <v>4386</v>
      </c>
      <c r="AA5044" s="609"/>
    </row>
    <row r="5045" spans="1:27" ht="18">
      <c r="A5045" s="2714"/>
      <c r="B5045" s="371">
        <v>107</v>
      </c>
      <c r="C5045" s="371" t="s">
        <v>2791</v>
      </c>
      <c r="D5045" s="2716">
        <f t="shared" si="545"/>
        <v>0</v>
      </c>
      <c r="E5045" s="2721">
        <v>1</v>
      </c>
      <c r="F5045" s="294"/>
      <c r="G5045" s="2467" t="s">
        <v>2792</v>
      </c>
      <c r="H5045" s="2275"/>
      <c r="I5045" s="2296"/>
      <c r="J5045" s="291"/>
      <c r="K5045" s="291"/>
      <c r="L5045" s="291"/>
      <c r="M5045" s="291"/>
      <c r="S5045" s="364"/>
      <c r="Z5045" s="609" t="s">
        <v>4386</v>
      </c>
      <c r="AA5045" s="609"/>
    </row>
    <row r="5046" spans="1:27" ht="18">
      <c r="A5046" s="2714"/>
      <c r="B5046" s="371">
        <v>108</v>
      </c>
      <c r="C5046" s="371" t="s">
        <v>2791</v>
      </c>
      <c r="D5046" s="2716">
        <f t="shared" si="545"/>
        <v>0</v>
      </c>
      <c r="E5046" s="2721">
        <v>1</v>
      </c>
      <c r="F5046" s="294"/>
      <c r="G5046" s="2467" t="s">
        <v>2792</v>
      </c>
      <c r="H5046" s="2275"/>
      <c r="I5046" s="2296"/>
      <c r="J5046" s="291"/>
      <c r="K5046" s="291"/>
      <c r="L5046" s="291"/>
      <c r="M5046" s="291"/>
      <c r="S5046" s="364"/>
      <c r="Z5046" s="609" t="s">
        <v>4386</v>
      </c>
      <c r="AA5046" s="609"/>
    </row>
    <row r="5047" spans="1:27" ht="18">
      <c r="A5047" s="2714"/>
      <c r="B5047" s="371">
        <v>109</v>
      </c>
      <c r="C5047" s="371" t="s">
        <v>2791</v>
      </c>
      <c r="D5047" s="2716">
        <f t="shared" si="545"/>
        <v>0</v>
      </c>
      <c r="E5047" s="2721">
        <v>1</v>
      </c>
      <c r="F5047" s="294"/>
      <c r="G5047" s="2467" t="s">
        <v>2792</v>
      </c>
      <c r="H5047" s="2275"/>
      <c r="I5047" s="2296"/>
      <c r="J5047" s="291"/>
      <c r="K5047" s="291"/>
      <c r="L5047" s="291"/>
      <c r="M5047" s="291"/>
      <c r="S5047" s="364"/>
      <c r="Z5047" s="609" t="s">
        <v>4386</v>
      </c>
      <c r="AA5047" s="609"/>
    </row>
    <row r="5048" spans="1:27" ht="18">
      <c r="A5048" s="2714"/>
      <c r="B5048" s="371">
        <v>110</v>
      </c>
      <c r="C5048" s="371" t="s">
        <v>2791</v>
      </c>
      <c r="D5048" s="2716">
        <f t="shared" si="545"/>
        <v>0</v>
      </c>
      <c r="E5048" s="2721">
        <v>1</v>
      </c>
      <c r="F5048" s="294"/>
      <c r="G5048" s="2467" t="s">
        <v>2792</v>
      </c>
      <c r="H5048" s="2275"/>
      <c r="I5048" s="2296"/>
      <c r="J5048" s="291"/>
      <c r="K5048" s="291"/>
      <c r="L5048" s="291"/>
      <c r="M5048" s="291"/>
      <c r="S5048" s="364"/>
      <c r="Z5048" s="609" t="s">
        <v>4386</v>
      </c>
      <c r="AA5048" s="609"/>
    </row>
    <row r="5049" spans="1:27" ht="18.75" thickBot="1">
      <c r="A5049" s="2714"/>
      <c r="B5049" s="371"/>
      <c r="C5049" s="371"/>
      <c r="D5049" s="2716">
        <f t="shared" si="545"/>
        <v>1</v>
      </c>
      <c r="E5049" s="2721" t="s">
        <v>2751</v>
      </c>
      <c r="F5049" s="294"/>
      <c r="G5049" s="2234" t="s">
        <v>2752</v>
      </c>
      <c r="H5049" s="2235">
        <f>SUMPRODUCT($E5038:$E5048,H5038:H5048)</f>
        <v>9655236.5600000005</v>
      </c>
      <c r="I5049" s="2236">
        <f>SUMPRODUCT($E5038:$E5048,I5038:I5048)</f>
        <v>0</v>
      </c>
      <c r="J5049" s="291"/>
      <c r="K5049" s="291"/>
      <c r="L5049" s="291"/>
      <c r="M5049" s="291"/>
      <c r="S5049" s="364"/>
      <c r="Z5049" s="609" t="s">
        <v>4386</v>
      </c>
      <c r="AA5049" s="609"/>
    </row>
    <row r="5050" spans="1:27" ht="18">
      <c r="A5050" s="2714"/>
      <c r="B5050" s="371"/>
      <c r="C5050" s="371" t="s">
        <v>2755</v>
      </c>
      <c r="D5050" s="371"/>
      <c r="F5050" s="294"/>
      <c r="G5050" s="301"/>
      <c r="H5050" s="315"/>
      <c r="I5050" s="315"/>
      <c r="J5050" s="291"/>
      <c r="K5050" s="291"/>
      <c r="L5050" s="291"/>
      <c r="M5050" s="291"/>
      <c r="S5050" s="364"/>
      <c r="Z5050" s="609" t="s">
        <v>4386</v>
      </c>
      <c r="AA5050" s="609"/>
    </row>
    <row r="5051" spans="1:27" ht="18">
      <c r="A5051" s="2714">
        <v>7146</v>
      </c>
      <c r="B5051" s="371">
        <v>78.3</v>
      </c>
      <c r="C5051" s="2716" t="str">
        <f>VLOOKUP($A5051,Sheet_Items,2,0)</f>
        <v>收到其他与投资活动有关的现金</v>
      </c>
      <c r="D5051" s="371"/>
      <c r="E5051" s="2716" t="s">
        <v>2739</v>
      </c>
      <c r="F5051" s="294"/>
      <c r="G5051" s="536" t="str">
        <f>B5051&amp;" "&amp;C5051</f>
        <v>78.3 收到其他与投资活动有关的现金</v>
      </c>
      <c r="H5051" s="322"/>
      <c r="I5051" s="322"/>
      <c r="J5051" s="306" t="s">
        <v>4206</v>
      </c>
      <c r="K5051" s="341">
        <f>VLOOKUP($A5051,Sheet_Trialbal,6,0)</f>
        <v>0</v>
      </c>
      <c r="L5051" s="342"/>
      <c r="M5051" s="306" t="s">
        <v>4207</v>
      </c>
      <c r="N5051" s="341">
        <f>VLOOKUP($A5051,Sheet_Trialbal,10,0)</f>
        <v>0</v>
      </c>
      <c r="O5051" s="306"/>
      <c r="P5051" s="301"/>
      <c r="S5051" s="364"/>
      <c r="Z5051" s="609" t="s">
        <v>4388</v>
      </c>
      <c r="AA5051" s="609"/>
    </row>
    <row r="5052" spans="1:27" ht="24">
      <c r="A5052" s="2714" t="s">
        <v>1971</v>
      </c>
      <c r="B5052" s="371">
        <v>1</v>
      </c>
      <c r="C5052" s="371"/>
      <c r="D5052" s="2716" t="str">
        <f>VLOOKUP($A5052,Sheet_NoteList,2,0)</f>
        <v>收到的其他与投资活动有关的现金</v>
      </c>
      <c r="E5052" s="2716" t="s">
        <v>2742</v>
      </c>
      <c r="F5052" s="294"/>
      <c r="G5052" s="372" t="str">
        <f>"("&amp;B5052&amp;")"&amp;D5052</f>
        <v>(1)收到的其他与投资活动有关的现金</v>
      </c>
      <c r="H5052" s="1517" t="str">
        <f>$A5052</f>
        <v>7146a</v>
      </c>
      <c r="I5052" s="343" t="s">
        <v>2743</v>
      </c>
      <c r="J5052" s="301" t="s">
        <v>4256</v>
      </c>
      <c r="K5052" s="2210">
        <f>H5060</f>
        <v>0</v>
      </c>
      <c r="L5052" s="1535" t="str">
        <f>IF($I5052="适用",IF(ROUND(K5051-K5052,2)&gt;=0,IF(K5051&lt;&gt;0,K5052/K5051,""),"#Logical!"),"#N/A")</f>
        <v/>
      </c>
      <c r="M5052" s="301" t="s">
        <v>4257</v>
      </c>
      <c r="N5052" s="2210">
        <f>I5060</f>
        <v>0</v>
      </c>
      <c r="O5052" s="1535" t="str">
        <f>IF($I5052="适用",IF(ROUND(N5051-N5052,2)&gt;=0,IF(N5051&lt;&gt;0,N5052/N5051,""),"#Logical!"),"#N/A")</f>
        <v/>
      </c>
      <c r="P5052" s="301"/>
      <c r="Q5052" s="290" t="str">
        <f>IF($I5052="不适用","",IF(ROUND(SUM($H$5055:$I$5060),2)=0,"请输入",""))</f>
        <v>请输入</v>
      </c>
      <c r="S5052" s="364"/>
      <c r="Z5052" s="609" t="s">
        <v>4388</v>
      </c>
      <c r="AA5052" s="609"/>
    </row>
    <row r="5053" spans="1:27" ht="0.75" customHeight="1" thickBot="1">
      <c r="A5053" s="2714"/>
      <c r="B5053" s="371"/>
      <c r="C5053" s="371"/>
      <c r="D5053" s="371"/>
      <c r="E5053" s="586"/>
      <c r="F5053" s="363"/>
      <c r="G5053" s="363" t="s">
        <v>4389</v>
      </c>
      <c r="H5053" s="294" t="s">
        <v>4223</v>
      </c>
      <c r="I5053" s="294" t="s">
        <v>4224</v>
      </c>
      <c r="J5053" s="291"/>
      <c r="K5053" s="291"/>
      <c r="L5053" s="291"/>
      <c r="M5053" s="291"/>
      <c r="S5053" s="364"/>
      <c r="Z5053" s="609" t="s">
        <v>4388</v>
      </c>
      <c r="AA5053" s="609"/>
    </row>
    <row r="5054" spans="1:27" ht="18">
      <c r="A5054" s="2714"/>
      <c r="B5054" s="371"/>
      <c r="C5054" s="371"/>
      <c r="D5054" s="371"/>
      <c r="E5054" s="586" t="s">
        <v>2749</v>
      </c>
      <c r="F5054" s="363"/>
      <c r="G5054" s="2453" t="s">
        <v>47</v>
      </c>
      <c r="H5054" s="2461" t="str">
        <f>$V$4</f>
        <v>2019年度</v>
      </c>
      <c r="I5054" s="2462" t="str">
        <f>$V$5</f>
        <v>2018年度</v>
      </c>
      <c r="J5054" s="355" t="s">
        <v>5342</v>
      </c>
      <c r="K5054" s="291"/>
      <c r="L5054" s="291"/>
      <c r="M5054" s="291"/>
      <c r="S5054" s="364"/>
      <c r="Z5054" s="609" t="s">
        <v>4388</v>
      </c>
      <c r="AA5054" s="609"/>
    </row>
    <row r="5055" spans="1:27" ht="18">
      <c r="A5055" s="2714"/>
      <c r="B5055" s="371">
        <v>101</v>
      </c>
      <c r="C5055" s="371" t="s">
        <v>2791</v>
      </c>
      <c r="D5055" s="2716">
        <f t="shared" ref="D5055:D5060" si="546">IF(OR(G5055="*",G5055="",G5055=0),0,COUNTIF($G$5055:$G$5060,G5055))</f>
        <v>0</v>
      </c>
      <c r="E5055" s="2721">
        <v>1</v>
      </c>
      <c r="F5055" s="294"/>
      <c r="G5055" s="2467" t="s">
        <v>2792</v>
      </c>
      <c r="H5055" s="2275"/>
      <c r="I5055" s="2296"/>
      <c r="J5055" s="291"/>
      <c r="K5055" s="291"/>
      <c r="L5055" s="291"/>
      <c r="M5055" s="291"/>
      <c r="S5055" s="364"/>
      <c r="Z5055" s="609" t="s">
        <v>4388</v>
      </c>
      <c r="AA5055" s="609"/>
    </row>
    <row r="5056" spans="1:27" ht="18">
      <c r="A5056" s="2714"/>
      <c r="B5056" s="371">
        <v>102</v>
      </c>
      <c r="C5056" s="371" t="s">
        <v>2791</v>
      </c>
      <c r="D5056" s="2716">
        <f t="shared" si="546"/>
        <v>0</v>
      </c>
      <c r="E5056" s="2721">
        <v>1</v>
      </c>
      <c r="F5056" s="294"/>
      <c r="G5056" s="2467" t="s">
        <v>2792</v>
      </c>
      <c r="H5056" s="2275"/>
      <c r="I5056" s="2296"/>
      <c r="J5056" s="291"/>
      <c r="K5056" s="291"/>
      <c r="L5056" s="291"/>
      <c r="M5056" s="291"/>
      <c r="S5056" s="364"/>
      <c r="Z5056" s="609" t="s">
        <v>4388</v>
      </c>
      <c r="AA5056" s="609"/>
    </row>
    <row r="5057" spans="1:27" ht="18">
      <c r="A5057" s="2714"/>
      <c r="B5057" s="371">
        <v>103</v>
      </c>
      <c r="C5057" s="371" t="s">
        <v>2791</v>
      </c>
      <c r="D5057" s="2716">
        <f t="shared" si="546"/>
        <v>0</v>
      </c>
      <c r="E5057" s="2721">
        <v>1</v>
      </c>
      <c r="F5057" s="294"/>
      <c r="G5057" s="2467" t="s">
        <v>2792</v>
      </c>
      <c r="H5057" s="2275"/>
      <c r="I5057" s="2296"/>
      <c r="J5057" s="291"/>
      <c r="K5057" s="291"/>
      <c r="L5057" s="291"/>
      <c r="M5057" s="291"/>
      <c r="S5057" s="364"/>
      <c r="Z5057" s="609" t="s">
        <v>4388</v>
      </c>
      <c r="AA5057" s="609"/>
    </row>
    <row r="5058" spans="1:27" ht="18">
      <c r="A5058" s="2714"/>
      <c r="B5058" s="371">
        <v>104</v>
      </c>
      <c r="C5058" s="371" t="s">
        <v>2791</v>
      </c>
      <c r="D5058" s="2716">
        <f t="shared" si="546"/>
        <v>0</v>
      </c>
      <c r="E5058" s="2721">
        <v>1</v>
      </c>
      <c r="F5058" s="294"/>
      <c r="G5058" s="2467" t="s">
        <v>2792</v>
      </c>
      <c r="H5058" s="2275"/>
      <c r="I5058" s="2296"/>
      <c r="J5058" s="291"/>
      <c r="K5058" s="291"/>
      <c r="L5058" s="291"/>
      <c r="M5058" s="291"/>
      <c r="S5058" s="364"/>
      <c r="Z5058" s="609" t="s">
        <v>4388</v>
      </c>
      <c r="AA5058" s="609"/>
    </row>
    <row r="5059" spans="1:27" ht="18">
      <c r="A5059" s="2714"/>
      <c r="B5059" s="371">
        <v>105</v>
      </c>
      <c r="C5059" s="371" t="s">
        <v>2791</v>
      </c>
      <c r="D5059" s="2716">
        <f t="shared" si="546"/>
        <v>0</v>
      </c>
      <c r="E5059" s="2721">
        <v>1</v>
      </c>
      <c r="F5059" s="294"/>
      <c r="G5059" s="2467" t="s">
        <v>2792</v>
      </c>
      <c r="H5059" s="2275"/>
      <c r="I5059" s="2296"/>
      <c r="J5059" s="291"/>
      <c r="K5059" s="291"/>
      <c r="L5059" s="291"/>
      <c r="M5059" s="291"/>
      <c r="S5059" s="364"/>
      <c r="Z5059" s="609" t="s">
        <v>4388</v>
      </c>
      <c r="AA5059" s="609"/>
    </row>
    <row r="5060" spans="1:27" ht="18.75" thickBot="1">
      <c r="A5060" s="2714"/>
      <c r="B5060" s="371"/>
      <c r="C5060" s="371"/>
      <c r="D5060" s="2716">
        <f t="shared" si="546"/>
        <v>1</v>
      </c>
      <c r="E5060" s="2721" t="s">
        <v>2751</v>
      </c>
      <c r="F5060" s="294"/>
      <c r="G5060" s="2234" t="s">
        <v>2752</v>
      </c>
      <c r="H5060" s="2235">
        <f>SUMPRODUCT($E5054:$E5059,H5054:H5059)</f>
        <v>0</v>
      </c>
      <c r="I5060" s="2236">
        <f>SUMPRODUCT($E5054:$E5059,I5054:I5059)</f>
        <v>0</v>
      </c>
      <c r="J5060" s="291"/>
      <c r="K5060" s="291"/>
      <c r="L5060" s="291"/>
      <c r="M5060" s="291"/>
      <c r="S5060" s="364"/>
      <c r="Z5060" s="609" t="s">
        <v>4388</v>
      </c>
      <c r="AA5060" s="609"/>
    </row>
    <row r="5061" spans="1:27" ht="18">
      <c r="A5061" s="2714"/>
      <c r="B5061" s="371"/>
      <c r="C5061" s="371" t="s">
        <v>2755</v>
      </c>
      <c r="D5061" s="371"/>
      <c r="F5061" s="294"/>
      <c r="G5061" s="301"/>
      <c r="H5061" s="315"/>
      <c r="I5061" s="315"/>
      <c r="J5061" s="291"/>
      <c r="K5061" s="291"/>
      <c r="L5061" s="291"/>
      <c r="M5061" s="291"/>
      <c r="S5061" s="364"/>
      <c r="Z5061" s="609" t="s">
        <v>4388</v>
      </c>
      <c r="AA5061" s="609"/>
    </row>
    <row r="5062" spans="1:27" ht="18">
      <c r="A5062" s="2714">
        <v>7196</v>
      </c>
      <c r="B5062" s="371">
        <v>78.400000000000006</v>
      </c>
      <c r="C5062" s="2716" t="str">
        <f>VLOOKUP($A5062,Sheet_Items,2,0)</f>
        <v>支付其他与投资活动有关的现金</v>
      </c>
      <c r="D5062" s="371"/>
      <c r="E5062" s="2716" t="s">
        <v>2739</v>
      </c>
      <c r="F5062" s="294"/>
      <c r="G5062" s="536" t="str">
        <f>B5062&amp;" "&amp;C5062</f>
        <v>78.4 支付其他与投资活动有关的现金</v>
      </c>
      <c r="H5062" s="322"/>
      <c r="I5062" s="322"/>
      <c r="J5062" s="306" t="s">
        <v>4206</v>
      </c>
      <c r="K5062" s="341">
        <f>VLOOKUP($A5062,Sheet_Trialbal,6,0)</f>
        <v>10000000</v>
      </c>
      <c r="L5062" s="342"/>
      <c r="M5062" s="306" t="s">
        <v>4207</v>
      </c>
      <c r="N5062" s="341">
        <f>VLOOKUP($A5062,Sheet_Trialbal,10,0)</f>
        <v>0</v>
      </c>
      <c r="O5062" s="306"/>
      <c r="P5062" s="301"/>
      <c r="S5062" s="364"/>
      <c r="Z5062" s="609" t="s">
        <v>4390</v>
      </c>
      <c r="AA5062" s="609"/>
    </row>
    <row r="5063" spans="1:27" ht="24">
      <c r="A5063" s="2714" t="s">
        <v>1978</v>
      </c>
      <c r="B5063" s="371">
        <v>1</v>
      </c>
      <c r="C5063" s="371"/>
      <c r="D5063" s="2716" t="str">
        <f>VLOOKUP($A5063,Sheet_NoteList,2,0)</f>
        <v>支付的其他与投资活动有关的现金</v>
      </c>
      <c r="E5063" s="2716" t="s">
        <v>2742</v>
      </c>
      <c r="F5063" s="294"/>
      <c r="G5063" s="372" t="str">
        <f>"("&amp;B5063&amp;")"&amp;D5063</f>
        <v>(1)支付的其他与投资活动有关的现金</v>
      </c>
      <c r="H5063" s="1517" t="str">
        <f>$A5063</f>
        <v>7196a</v>
      </c>
      <c r="I5063" s="343" t="s">
        <v>2743</v>
      </c>
      <c r="J5063" s="301" t="s">
        <v>4256</v>
      </c>
      <c r="K5063" s="2210">
        <f>H5071</f>
        <v>10000000</v>
      </c>
      <c r="L5063" s="1535">
        <f>IF($I5063="适用",IF(ROUND(K5062-K5063,2)&gt;=0,IF(K5062&lt;&gt;0,K5063/K5062,""),"#Logical!"),"#N/A")</f>
        <v>1</v>
      </c>
      <c r="M5063" s="301" t="s">
        <v>4257</v>
      </c>
      <c r="N5063" s="2210">
        <f>I5071</f>
        <v>0</v>
      </c>
      <c r="O5063" s="1535" t="str">
        <f>IF($I5063="适用",IF(ROUND(N5062-N5063,2)&gt;=0,IF(N5062&lt;&gt;0,N5063/N5062,""),"#Logical!"),"#N/A")</f>
        <v/>
      </c>
      <c r="P5063" s="301"/>
      <c r="Q5063" s="290" t="str">
        <f>IF($I5063="不适用","",IF(ROUND(SUM($H$5066:$I$5071),2)=0,"请输入",""))</f>
        <v/>
      </c>
      <c r="S5063" s="364"/>
      <c r="Z5063" s="609" t="s">
        <v>4390</v>
      </c>
      <c r="AA5063" s="609"/>
    </row>
    <row r="5064" spans="1:27" ht="0.75" customHeight="1" thickBot="1">
      <c r="A5064" s="2714"/>
      <c r="B5064" s="371"/>
      <c r="C5064" s="371"/>
      <c r="D5064" s="371"/>
      <c r="E5064" s="586"/>
      <c r="F5064" s="363"/>
      <c r="G5064" s="363" t="s">
        <v>4391</v>
      </c>
      <c r="H5064" s="294" t="s">
        <v>4223</v>
      </c>
      <c r="I5064" s="294" t="s">
        <v>4224</v>
      </c>
      <c r="J5064" s="291"/>
      <c r="K5064" s="291"/>
      <c r="L5064" s="291"/>
      <c r="M5064" s="291"/>
      <c r="S5064" s="364"/>
      <c r="Z5064" s="609" t="s">
        <v>4390</v>
      </c>
      <c r="AA5064" s="609"/>
    </row>
    <row r="5065" spans="1:27" ht="18">
      <c r="A5065" s="2714"/>
      <c r="B5065" s="371"/>
      <c r="C5065" s="371"/>
      <c r="D5065" s="371"/>
      <c r="E5065" s="586" t="s">
        <v>2749</v>
      </c>
      <c r="F5065" s="363"/>
      <c r="G5065" s="2453" t="s">
        <v>47</v>
      </c>
      <c r="H5065" s="2461" t="str">
        <f>$V$4</f>
        <v>2019年度</v>
      </c>
      <c r="I5065" s="2462" t="str">
        <f>$V$5</f>
        <v>2018年度</v>
      </c>
      <c r="J5065" s="355" t="s">
        <v>5342</v>
      </c>
      <c r="K5065" s="291"/>
      <c r="L5065" s="291"/>
      <c r="M5065" s="291"/>
      <c r="S5065" s="364"/>
      <c r="Z5065" s="609" t="s">
        <v>4390</v>
      </c>
      <c r="AA5065" s="609"/>
    </row>
    <row r="5066" spans="1:27" ht="24">
      <c r="A5066" s="2714"/>
      <c r="B5066" s="371">
        <v>101</v>
      </c>
      <c r="C5066" s="371" t="s">
        <v>2791</v>
      </c>
      <c r="D5066" s="2716">
        <f t="shared" ref="D5066:D5071" si="547">IF(OR(G5066="*",G5066="",G5066=0),0,COUNTIF($G$5066:$G$5071,G5066))</f>
        <v>1</v>
      </c>
      <c r="E5066" s="2721">
        <v>1</v>
      </c>
      <c r="F5066" s="294"/>
      <c r="G5066" s="2467" t="s">
        <v>6838</v>
      </c>
      <c r="H5066" s="2275">
        <v>10000000</v>
      </c>
      <c r="I5066" s="2296"/>
      <c r="J5066" s="291"/>
      <c r="K5066" s="291"/>
      <c r="L5066" s="291"/>
      <c r="M5066" s="291"/>
      <c r="S5066" s="364"/>
      <c r="Z5066" s="609" t="s">
        <v>4390</v>
      </c>
      <c r="AA5066" s="609"/>
    </row>
    <row r="5067" spans="1:27" ht="18">
      <c r="A5067" s="2714"/>
      <c r="B5067" s="371">
        <v>102</v>
      </c>
      <c r="C5067" s="371" t="s">
        <v>2791</v>
      </c>
      <c r="D5067" s="2716">
        <f t="shared" si="547"/>
        <v>0</v>
      </c>
      <c r="E5067" s="2721">
        <v>1</v>
      </c>
      <c r="F5067" s="294"/>
      <c r="G5067" s="2467" t="s">
        <v>2792</v>
      </c>
      <c r="H5067" s="2275"/>
      <c r="I5067" s="2296"/>
      <c r="J5067" s="291"/>
      <c r="K5067" s="291"/>
      <c r="L5067" s="291"/>
      <c r="M5067" s="291"/>
      <c r="S5067" s="364"/>
      <c r="Z5067" s="609" t="s">
        <v>4390</v>
      </c>
      <c r="AA5067" s="609"/>
    </row>
    <row r="5068" spans="1:27" ht="18">
      <c r="A5068" s="2714"/>
      <c r="B5068" s="371">
        <v>103</v>
      </c>
      <c r="C5068" s="371" t="s">
        <v>2791</v>
      </c>
      <c r="D5068" s="2716">
        <f t="shared" si="547"/>
        <v>0</v>
      </c>
      <c r="E5068" s="2721">
        <v>1</v>
      </c>
      <c r="F5068" s="294"/>
      <c r="G5068" s="2467" t="s">
        <v>2792</v>
      </c>
      <c r="H5068" s="2275"/>
      <c r="I5068" s="2296"/>
      <c r="J5068" s="291"/>
      <c r="K5068" s="291"/>
      <c r="L5068" s="291"/>
      <c r="M5068" s="291"/>
      <c r="S5068" s="364"/>
      <c r="Z5068" s="609" t="s">
        <v>4390</v>
      </c>
      <c r="AA5068" s="609"/>
    </row>
    <row r="5069" spans="1:27" ht="18">
      <c r="A5069" s="2714"/>
      <c r="B5069" s="371">
        <v>104</v>
      </c>
      <c r="C5069" s="371" t="s">
        <v>2791</v>
      </c>
      <c r="D5069" s="2716">
        <f t="shared" si="547"/>
        <v>0</v>
      </c>
      <c r="E5069" s="2721">
        <v>1</v>
      </c>
      <c r="F5069" s="294"/>
      <c r="G5069" s="2467" t="s">
        <v>2792</v>
      </c>
      <c r="H5069" s="2275"/>
      <c r="I5069" s="2296"/>
      <c r="J5069" s="291"/>
      <c r="K5069" s="291"/>
      <c r="L5069" s="291"/>
      <c r="M5069" s="291"/>
      <c r="S5069" s="364"/>
      <c r="Z5069" s="609" t="s">
        <v>4390</v>
      </c>
      <c r="AA5069" s="609"/>
    </row>
    <row r="5070" spans="1:27" ht="18">
      <c r="A5070" s="2714"/>
      <c r="B5070" s="371">
        <v>105</v>
      </c>
      <c r="C5070" s="371" t="s">
        <v>2791</v>
      </c>
      <c r="D5070" s="2716">
        <f t="shared" si="547"/>
        <v>0</v>
      </c>
      <c r="E5070" s="2721">
        <v>1</v>
      </c>
      <c r="F5070" s="294"/>
      <c r="G5070" s="2467" t="s">
        <v>2792</v>
      </c>
      <c r="H5070" s="2275"/>
      <c r="I5070" s="2296"/>
      <c r="J5070" s="291"/>
      <c r="K5070" s="291"/>
      <c r="L5070" s="291"/>
      <c r="M5070" s="291"/>
      <c r="S5070" s="364"/>
      <c r="Z5070" s="609" t="s">
        <v>4390</v>
      </c>
      <c r="AA5070" s="609"/>
    </row>
    <row r="5071" spans="1:27" ht="18.75" thickBot="1">
      <c r="A5071" s="2714"/>
      <c r="B5071" s="371"/>
      <c r="C5071" s="371"/>
      <c r="D5071" s="2716">
        <f t="shared" si="547"/>
        <v>1</v>
      </c>
      <c r="E5071" s="2721" t="s">
        <v>2751</v>
      </c>
      <c r="F5071" s="294"/>
      <c r="G5071" s="2234" t="s">
        <v>2752</v>
      </c>
      <c r="H5071" s="2235">
        <f>SUMPRODUCT($E5065:$E5070,H5065:H5070)</f>
        <v>10000000</v>
      </c>
      <c r="I5071" s="2236">
        <f>SUMPRODUCT($E5065:$E5070,I5065:I5070)</f>
        <v>0</v>
      </c>
      <c r="J5071" s="291"/>
      <c r="K5071" s="291"/>
      <c r="L5071" s="291"/>
      <c r="M5071" s="291"/>
      <c r="S5071" s="364"/>
      <c r="Z5071" s="609" t="s">
        <v>4390</v>
      </c>
      <c r="AA5071" s="609"/>
    </row>
    <row r="5072" spans="1:27" ht="18">
      <c r="A5072" s="2714"/>
      <c r="B5072" s="371"/>
      <c r="C5072" s="371" t="s">
        <v>2755</v>
      </c>
      <c r="D5072" s="371"/>
      <c r="F5072" s="294"/>
      <c r="G5072" s="301"/>
      <c r="H5072" s="315"/>
      <c r="I5072" s="315"/>
      <c r="J5072" s="291"/>
      <c r="K5072" s="291"/>
      <c r="L5072" s="291"/>
      <c r="M5072" s="291"/>
      <c r="S5072" s="364"/>
      <c r="Z5072" s="609" t="s">
        <v>4390</v>
      </c>
      <c r="AA5072" s="609"/>
    </row>
    <row r="5073" spans="1:27" ht="18">
      <c r="A5073" s="2714">
        <v>7246</v>
      </c>
      <c r="B5073" s="371">
        <v>78.5</v>
      </c>
      <c r="C5073" s="2716" t="str">
        <f>VLOOKUP($A5073,Sheet_Items,2,0)</f>
        <v>收到其他与筹资活动有关的现金</v>
      </c>
      <c r="D5073" s="371"/>
      <c r="E5073" s="2716" t="s">
        <v>2739</v>
      </c>
      <c r="F5073" s="294"/>
      <c r="G5073" s="536" t="str">
        <f>B5073&amp;" "&amp;C5073</f>
        <v>78.5 收到其他与筹资活动有关的现金</v>
      </c>
      <c r="H5073" s="322"/>
      <c r="I5073" s="322"/>
      <c r="J5073" s="306" t="s">
        <v>4206</v>
      </c>
      <c r="K5073" s="341">
        <f>VLOOKUP($A5073,Sheet_Trialbal,6,0)</f>
        <v>81923075.409999996</v>
      </c>
      <c r="L5073" s="342"/>
      <c r="M5073" s="306" t="s">
        <v>4207</v>
      </c>
      <c r="N5073" s="341">
        <f>VLOOKUP($A5073,Sheet_Trialbal,10,0)</f>
        <v>0</v>
      </c>
      <c r="O5073" s="306"/>
      <c r="P5073" s="301"/>
      <c r="S5073" s="364"/>
      <c r="Z5073" s="609" t="s">
        <v>4392</v>
      </c>
      <c r="AA5073" s="609"/>
    </row>
    <row r="5074" spans="1:27" ht="24">
      <c r="A5074" s="2714" t="s">
        <v>1983</v>
      </c>
      <c r="B5074" s="371">
        <v>1</v>
      </c>
      <c r="C5074" s="371"/>
      <c r="D5074" s="2716" t="str">
        <f>VLOOKUP($A5074,Sheet_NoteList,2,0)</f>
        <v>收到的其他与筹资活动有关的现金</v>
      </c>
      <c r="E5074" s="2716" t="s">
        <v>2742</v>
      </c>
      <c r="F5074" s="294"/>
      <c r="G5074" s="372" t="str">
        <f>"("&amp;B5074&amp;")"&amp;D5074</f>
        <v>(1)收到的其他与筹资活动有关的现金</v>
      </c>
      <c r="H5074" s="1517" t="str">
        <f>$A5074</f>
        <v>7246a</v>
      </c>
      <c r="I5074" s="343" t="s">
        <v>2743</v>
      </c>
      <c r="J5074" s="301" t="s">
        <v>4256</v>
      </c>
      <c r="K5074" s="2210">
        <f>H5082</f>
        <v>81923075.409999996</v>
      </c>
      <c r="L5074" s="1535">
        <f>IF($I5074="适用",IF(ROUND(K5073-K5074,2)&gt;=0,IF(K5073&lt;&gt;0,K5074/K5073,""),"#Logical!"),"#N/A")</f>
        <v>1</v>
      </c>
      <c r="M5074" s="301" t="s">
        <v>4257</v>
      </c>
      <c r="N5074" s="2210">
        <f>I5082</f>
        <v>0</v>
      </c>
      <c r="O5074" s="1535" t="str">
        <f>IF($I5074="适用",IF(ROUND(N5073-N5074,2)&gt;=0,IF(N5073&lt;&gt;0,N5074/N5073,""),"#Logical!"),"#N/A")</f>
        <v/>
      </c>
      <c r="P5074" s="301"/>
      <c r="Q5074" s="290" t="str">
        <f>IF($I5074="不适用","",IF(ROUND(SUM($H$5077:$I$5082),2)=0,"请输入",""))</f>
        <v/>
      </c>
      <c r="S5074" s="364"/>
      <c r="Z5074" s="609" t="s">
        <v>4392</v>
      </c>
      <c r="AA5074" s="609"/>
    </row>
    <row r="5075" spans="1:27" ht="0.75" customHeight="1" thickBot="1">
      <c r="A5075" s="2714"/>
      <c r="B5075" s="371"/>
      <c r="C5075" s="371"/>
      <c r="D5075" s="371"/>
      <c r="E5075" s="586"/>
      <c r="F5075" s="363"/>
      <c r="G5075" s="363" t="s">
        <v>4393</v>
      </c>
      <c r="H5075" s="294" t="s">
        <v>4223</v>
      </c>
      <c r="I5075" s="294" t="s">
        <v>4224</v>
      </c>
      <c r="J5075" s="291"/>
      <c r="K5075" s="291"/>
      <c r="L5075" s="291"/>
      <c r="M5075" s="291"/>
      <c r="S5075" s="364"/>
      <c r="Z5075" s="609" t="s">
        <v>4392</v>
      </c>
      <c r="AA5075" s="609"/>
    </row>
    <row r="5076" spans="1:27" ht="18">
      <c r="A5076" s="2714"/>
      <c r="B5076" s="371"/>
      <c r="C5076" s="371"/>
      <c r="D5076" s="371"/>
      <c r="E5076" s="586" t="s">
        <v>2749</v>
      </c>
      <c r="F5076" s="363"/>
      <c r="G5076" s="2453" t="s">
        <v>47</v>
      </c>
      <c r="H5076" s="2461" t="str">
        <f>$V$4</f>
        <v>2019年度</v>
      </c>
      <c r="I5076" s="2462" t="str">
        <f>$V$5</f>
        <v>2018年度</v>
      </c>
      <c r="J5076" s="355" t="s">
        <v>5342</v>
      </c>
      <c r="K5076" s="291"/>
      <c r="L5076" s="291"/>
      <c r="M5076" s="291"/>
      <c r="S5076" s="364"/>
      <c r="Z5076" s="609" t="s">
        <v>4392</v>
      </c>
      <c r="AA5076" s="609"/>
    </row>
    <row r="5077" spans="1:27" ht="18">
      <c r="A5077" s="2714"/>
      <c r="B5077" s="371">
        <v>101</v>
      </c>
      <c r="C5077" s="371" t="s">
        <v>2791</v>
      </c>
      <c r="D5077" s="2716">
        <f t="shared" ref="D5077:D5082" si="548">IF(OR(G5077="*",G5077="",G5077=0),0,COUNTIF($G$5077:$G$5082,G5077))</f>
        <v>1</v>
      </c>
      <c r="E5077" s="2721">
        <v>1</v>
      </c>
      <c r="F5077" s="294"/>
      <c r="G5077" s="2467" t="s">
        <v>6813</v>
      </c>
      <c r="H5077" s="2275">
        <v>76140608.200000003</v>
      </c>
      <c r="I5077" s="2296"/>
      <c r="J5077" s="291"/>
      <c r="K5077" s="291"/>
      <c r="L5077" s="291"/>
      <c r="M5077" s="291"/>
      <c r="S5077" s="364"/>
      <c r="Z5077" s="609" t="s">
        <v>4392</v>
      </c>
      <c r="AA5077" s="609"/>
    </row>
    <row r="5078" spans="1:27" ht="18">
      <c r="A5078" s="2714"/>
      <c r="B5078" s="371">
        <v>102</v>
      </c>
      <c r="C5078" s="371" t="s">
        <v>2791</v>
      </c>
      <c r="D5078" s="2716">
        <f t="shared" si="548"/>
        <v>1</v>
      </c>
      <c r="E5078" s="2721">
        <v>1</v>
      </c>
      <c r="F5078" s="294"/>
      <c r="G5078" s="2467" t="s">
        <v>6839</v>
      </c>
      <c r="H5078" s="2275">
        <v>5782467.21</v>
      </c>
      <c r="I5078" s="2296"/>
      <c r="J5078" s="291"/>
      <c r="K5078" s="291"/>
      <c r="L5078" s="291"/>
      <c r="M5078" s="291"/>
      <c r="S5078" s="364"/>
      <c r="Z5078" s="609" t="s">
        <v>4392</v>
      </c>
      <c r="AA5078" s="609"/>
    </row>
    <row r="5079" spans="1:27" ht="18">
      <c r="A5079" s="2714"/>
      <c r="B5079" s="371">
        <v>103</v>
      </c>
      <c r="C5079" s="371" t="s">
        <v>2791</v>
      </c>
      <c r="D5079" s="2716">
        <f t="shared" si="548"/>
        <v>0</v>
      </c>
      <c r="E5079" s="2721">
        <v>1</v>
      </c>
      <c r="F5079" s="294"/>
      <c r="G5079" s="2467" t="s">
        <v>2792</v>
      </c>
      <c r="H5079" s="2275"/>
      <c r="I5079" s="2296"/>
      <c r="J5079" s="291"/>
      <c r="K5079" s="291"/>
      <c r="L5079" s="291"/>
      <c r="M5079" s="291"/>
      <c r="S5079" s="364"/>
      <c r="Z5079" s="609" t="s">
        <v>4392</v>
      </c>
      <c r="AA5079" s="609"/>
    </row>
    <row r="5080" spans="1:27" ht="18">
      <c r="A5080" s="2714"/>
      <c r="B5080" s="371">
        <v>104</v>
      </c>
      <c r="C5080" s="371" t="s">
        <v>2791</v>
      </c>
      <c r="D5080" s="2716">
        <f t="shared" si="548"/>
        <v>0</v>
      </c>
      <c r="E5080" s="2721">
        <v>1</v>
      </c>
      <c r="F5080" s="294"/>
      <c r="G5080" s="2467" t="s">
        <v>2792</v>
      </c>
      <c r="H5080" s="2275"/>
      <c r="I5080" s="2296"/>
      <c r="J5080" s="291"/>
      <c r="K5080" s="291"/>
      <c r="L5080" s="291"/>
      <c r="M5080" s="291"/>
      <c r="S5080" s="364"/>
      <c r="Z5080" s="609" t="s">
        <v>4392</v>
      </c>
      <c r="AA5080" s="609"/>
    </row>
    <row r="5081" spans="1:27" ht="18">
      <c r="A5081" s="2714"/>
      <c r="B5081" s="371">
        <v>105</v>
      </c>
      <c r="C5081" s="371" t="s">
        <v>2791</v>
      </c>
      <c r="D5081" s="2716">
        <f t="shared" si="548"/>
        <v>0</v>
      </c>
      <c r="E5081" s="2721">
        <v>1</v>
      </c>
      <c r="F5081" s="294"/>
      <c r="G5081" s="2467" t="s">
        <v>2792</v>
      </c>
      <c r="H5081" s="2275"/>
      <c r="I5081" s="2296"/>
      <c r="J5081" s="291"/>
      <c r="K5081" s="291"/>
      <c r="L5081" s="291"/>
      <c r="M5081" s="291"/>
      <c r="S5081" s="364"/>
      <c r="Z5081" s="609" t="s">
        <v>4392</v>
      </c>
      <c r="AA5081" s="609"/>
    </row>
    <row r="5082" spans="1:27" ht="18.75" thickBot="1">
      <c r="A5082" s="2714"/>
      <c r="B5082" s="371"/>
      <c r="C5082" s="371"/>
      <c r="D5082" s="2716">
        <f t="shared" si="548"/>
        <v>1</v>
      </c>
      <c r="E5082" s="2721" t="s">
        <v>2751</v>
      </c>
      <c r="F5082" s="294"/>
      <c r="G5082" s="2234" t="s">
        <v>2752</v>
      </c>
      <c r="H5082" s="2235">
        <f>SUMPRODUCT($E5076:$E5081,H5076:H5081)</f>
        <v>81923075.409999996</v>
      </c>
      <c r="I5082" s="2236">
        <f>SUMPRODUCT($E5076:$E5081,I5076:I5081)</f>
        <v>0</v>
      </c>
      <c r="J5082" s="291"/>
      <c r="K5082" s="291"/>
      <c r="L5082" s="291"/>
      <c r="M5082" s="291"/>
      <c r="S5082" s="364"/>
      <c r="Z5082" s="609" t="s">
        <v>4392</v>
      </c>
      <c r="AA5082" s="609"/>
    </row>
    <row r="5083" spans="1:27" ht="18">
      <c r="A5083" s="2714"/>
      <c r="B5083" s="371"/>
      <c r="C5083" s="371" t="s">
        <v>2755</v>
      </c>
      <c r="D5083" s="371"/>
      <c r="F5083" s="294"/>
      <c r="G5083" s="301"/>
      <c r="H5083" s="315"/>
      <c r="I5083" s="315"/>
      <c r="J5083" s="291"/>
      <c r="K5083" s="291"/>
      <c r="L5083" s="291"/>
      <c r="M5083" s="291"/>
      <c r="S5083" s="364"/>
      <c r="Z5083" s="609" t="s">
        <v>4392</v>
      </c>
      <c r="AA5083" s="609"/>
    </row>
    <row r="5084" spans="1:27" ht="18">
      <c r="A5084" s="2714">
        <v>7296</v>
      </c>
      <c r="B5084" s="371">
        <v>78.599999999999994</v>
      </c>
      <c r="C5084" s="2716" t="str">
        <f>VLOOKUP($A5084,Sheet_Items,2,0)</f>
        <v>支付其他与筹资活动有关的现金</v>
      </c>
      <c r="D5084" s="371"/>
      <c r="E5084" s="2716" t="s">
        <v>2739</v>
      </c>
      <c r="F5084" s="294"/>
      <c r="G5084" s="536" t="str">
        <f>B5084&amp;" "&amp;C5084</f>
        <v>78.6 支付其他与筹资活动有关的现金</v>
      </c>
      <c r="H5084" s="322"/>
      <c r="I5084" s="322"/>
      <c r="J5084" s="306" t="s">
        <v>4206</v>
      </c>
      <c r="K5084" s="341">
        <f>VLOOKUP($A5084,Sheet_Trialbal,6,0)</f>
        <v>5575000</v>
      </c>
      <c r="L5084" s="342"/>
      <c r="M5084" s="306" t="s">
        <v>4207</v>
      </c>
      <c r="N5084" s="341">
        <f>VLOOKUP($A5084,Sheet_Trialbal,10,0)</f>
        <v>0</v>
      </c>
      <c r="O5084" s="306"/>
      <c r="P5084" s="301"/>
      <c r="S5084" s="364"/>
      <c r="Z5084" s="609" t="s">
        <v>4394</v>
      </c>
      <c r="AA5084" s="609"/>
    </row>
    <row r="5085" spans="1:27" ht="24">
      <c r="A5085" s="2714" t="s">
        <v>1990</v>
      </c>
      <c r="B5085" s="371">
        <v>1</v>
      </c>
      <c r="C5085" s="371"/>
      <c r="D5085" s="2716" t="str">
        <f>VLOOKUP($A5085,Sheet_NoteList,2,0)</f>
        <v>支付的其他与筹资活动有关的现金</v>
      </c>
      <c r="E5085" s="2716" t="s">
        <v>2742</v>
      </c>
      <c r="F5085" s="294"/>
      <c r="G5085" s="372" t="str">
        <f>"("&amp;B5085&amp;")"&amp;D5085</f>
        <v>(1)支付的其他与筹资活动有关的现金</v>
      </c>
      <c r="H5085" s="1517" t="str">
        <f>$A5085</f>
        <v>7296a</v>
      </c>
      <c r="I5085" s="343" t="s">
        <v>2743</v>
      </c>
      <c r="J5085" s="301" t="s">
        <v>4256</v>
      </c>
      <c r="K5085" s="2210">
        <f>H5093</f>
        <v>5575000</v>
      </c>
      <c r="L5085" s="1535">
        <f>IF($I5085="适用",IF(ROUND(K5084-K5085,2)&gt;=0,IF(K5084&lt;&gt;0,K5085/K5084,""),"#Logical!"),"#N/A")</f>
        <v>1</v>
      </c>
      <c r="M5085" s="301" t="s">
        <v>4257</v>
      </c>
      <c r="N5085" s="2210">
        <f>I5093</f>
        <v>0</v>
      </c>
      <c r="O5085" s="1535" t="str">
        <f>IF($I5085="适用",IF(ROUND(N5084-N5085,2)&gt;=0,IF(N5084&lt;&gt;0,N5085/N5084,""),"#Logical!"),"#N/A")</f>
        <v/>
      </c>
      <c r="P5085" s="301"/>
      <c r="Q5085" s="290" t="str">
        <f>IF($I5085="不适用","",IF(ROUND(SUM($H$5088:$I$5093),2)=0,"请输入",""))</f>
        <v/>
      </c>
      <c r="S5085" s="364"/>
      <c r="Z5085" s="609" t="s">
        <v>4394</v>
      </c>
      <c r="AA5085" s="609"/>
    </row>
    <row r="5086" spans="1:27" ht="0.75" customHeight="1" thickBot="1">
      <c r="A5086" s="2714"/>
      <c r="B5086" s="371"/>
      <c r="C5086" s="371"/>
      <c r="D5086" s="371"/>
      <c r="E5086" s="586"/>
      <c r="F5086" s="363"/>
      <c r="G5086" s="363" t="s">
        <v>4395</v>
      </c>
      <c r="H5086" s="294" t="s">
        <v>4223</v>
      </c>
      <c r="I5086" s="294" t="s">
        <v>4224</v>
      </c>
      <c r="J5086" s="291"/>
      <c r="K5086" s="291"/>
      <c r="L5086" s="291"/>
      <c r="M5086" s="291"/>
      <c r="S5086" s="364"/>
      <c r="Z5086" s="609" t="s">
        <v>4394</v>
      </c>
      <c r="AA5086" s="609"/>
    </row>
    <row r="5087" spans="1:27" ht="18">
      <c r="A5087" s="2714"/>
      <c r="B5087" s="371"/>
      <c r="C5087" s="371"/>
      <c r="D5087" s="371"/>
      <c r="E5087" s="586" t="s">
        <v>2749</v>
      </c>
      <c r="F5087" s="363"/>
      <c r="G5087" s="2453" t="s">
        <v>47</v>
      </c>
      <c r="H5087" s="2461" t="str">
        <f>$V$4</f>
        <v>2019年度</v>
      </c>
      <c r="I5087" s="2462" t="str">
        <f>$V$5</f>
        <v>2018年度</v>
      </c>
      <c r="J5087" s="355" t="s">
        <v>5342</v>
      </c>
      <c r="K5087" s="291"/>
      <c r="L5087" s="291"/>
      <c r="M5087" s="291"/>
      <c r="S5087" s="364"/>
      <c r="Z5087" s="609" t="s">
        <v>4394</v>
      </c>
      <c r="AA5087" s="609"/>
    </row>
    <row r="5088" spans="1:27" ht="18">
      <c r="A5088" s="2714"/>
      <c r="B5088" s="371">
        <v>101</v>
      </c>
      <c r="C5088" s="371" t="s">
        <v>2791</v>
      </c>
      <c r="D5088" s="2716">
        <f t="shared" ref="D5088:D5093" si="549">IF(OR(G5088="*",G5088="",G5088=0),0,COUNTIF($G$5088:$G$5093,G5088))</f>
        <v>1</v>
      </c>
      <c r="E5088" s="2721">
        <v>1</v>
      </c>
      <c r="F5088" s="294"/>
      <c r="G5088" s="2467" t="s">
        <v>6840</v>
      </c>
      <c r="H5088" s="2275">
        <v>5575000</v>
      </c>
      <c r="I5088" s="2296"/>
      <c r="J5088" s="291"/>
      <c r="K5088" s="291"/>
      <c r="L5088" s="291"/>
      <c r="M5088" s="291"/>
      <c r="S5088" s="364"/>
      <c r="Z5088" s="609" t="s">
        <v>4394</v>
      </c>
      <c r="AA5088" s="609"/>
    </row>
    <row r="5089" spans="1:27" ht="18">
      <c r="A5089" s="2714"/>
      <c r="B5089" s="371">
        <v>102</v>
      </c>
      <c r="C5089" s="371" t="s">
        <v>2791</v>
      </c>
      <c r="D5089" s="2716">
        <f t="shared" si="549"/>
        <v>0</v>
      </c>
      <c r="E5089" s="2721">
        <v>1</v>
      </c>
      <c r="F5089" s="294"/>
      <c r="G5089" s="2467" t="s">
        <v>2792</v>
      </c>
      <c r="H5089" s="2275"/>
      <c r="I5089" s="2296"/>
      <c r="J5089" s="291"/>
      <c r="K5089" s="291"/>
      <c r="L5089" s="291"/>
      <c r="M5089" s="291"/>
      <c r="S5089" s="364"/>
      <c r="Z5089" s="609" t="s">
        <v>4394</v>
      </c>
      <c r="AA5089" s="609"/>
    </row>
    <row r="5090" spans="1:27" ht="18">
      <c r="A5090" s="2714"/>
      <c r="B5090" s="371">
        <v>103</v>
      </c>
      <c r="C5090" s="371" t="s">
        <v>2791</v>
      </c>
      <c r="D5090" s="2716">
        <f t="shared" si="549"/>
        <v>0</v>
      </c>
      <c r="E5090" s="2721">
        <v>1</v>
      </c>
      <c r="F5090" s="294"/>
      <c r="G5090" s="2467" t="s">
        <v>2792</v>
      </c>
      <c r="H5090" s="2275"/>
      <c r="I5090" s="2296"/>
      <c r="J5090" s="291"/>
      <c r="K5090" s="291"/>
      <c r="L5090" s="291"/>
      <c r="M5090" s="291"/>
      <c r="S5090" s="364"/>
      <c r="Z5090" s="609" t="s">
        <v>4394</v>
      </c>
      <c r="AA5090" s="609"/>
    </row>
    <row r="5091" spans="1:27" ht="18">
      <c r="A5091" s="2714"/>
      <c r="B5091" s="371">
        <v>104</v>
      </c>
      <c r="C5091" s="371" t="s">
        <v>2791</v>
      </c>
      <c r="D5091" s="2716">
        <f t="shared" si="549"/>
        <v>0</v>
      </c>
      <c r="E5091" s="2721">
        <v>1</v>
      </c>
      <c r="F5091" s="294"/>
      <c r="G5091" s="2467" t="s">
        <v>2792</v>
      </c>
      <c r="H5091" s="2275"/>
      <c r="I5091" s="2296"/>
      <c r="J5091" s="291"/>
      <c r="K5091" s="291"/>
      <c r="L5091" s="291"/>
      <c r="M5091" s="291"/>
      <c r="S5091" s="364"/>
      <c r="Z5091" s="609" t="s">
        <v>4394</v>
      </c>
      <c r="AA5091" s="609"/>
    </row>
    <row r="5092" spans="1:27" ht="18">
      <c r="A5092" s="2714"/>
      <c r="B5092" s="371">
        <v>105</v>
      </c>
      <c r="C5092" s="371" t="s">
        <v>2791</v>
      </c>
      <c r="D5092" s="2716">
        <f t="shared" si="549"/>
        <v>0</v>
      </c>
      <c r="E5092" s="2721">
        <v>1</v>
      </c>
      <c r="F5092" s="294"/>
      <c r="G5092" s="2467" t="s">
        <v>2792</v>
      </c>
      <c r="H5092" s="2275"/>
      <c r="I5092" s="2296"/>
      <c r="J5092" s="291"/>
      <c r="K5092" s="291"/>
      <c r="L5092" s="291"/>
      <c r="M5092" s="291"/>
      <c r="S5092" s="364"/>
      <c r="Z5092" s="609" t="s">
        <v>4394</v>
      </c>
      <c r="AA5092" s="609"/>
    </row>
    <row r="5093" spans="1:27" ht="18.75" thickBot="1">
      <c r="A5093" s="2714"/>
      <c r="B5093" s="371"/>
      <c r="C5093" s="371"/>
      <c r="D5093" s="2716">
        <f t="shared" si="549"/>
        <v>1</v>
      </c>
      <c r="E5093" s="2721" t="s">
        <v>2751</v>
      </c>
      <c r="F5093" s="294"/>
      <c r="G5093" s="2234" t="s">
        <v>2752</v>
      </c>
      <c r="H5093" s="2235">
        <f>SUMPRODUCT($E5087:$E5092,H5087:H5092)</f>
        <v>5575000</v>
      </c>
      <c r="I5093" s="2236">
        <f>SUMPRODUCT($E5087:$E5092,I5087:I5092)</f>
        <v>0</v>
      </c>
      <c r="J5093" s="291"/>
      <c r="K5093" s="291"/>
      <c r="L5093" s="291"/>
      <c r="M5093" s="291"/>
      <c r="S5093" s="364"/>
      <c r="Z5093" s="609" t="s">
        <v>4394</v>
      </c>
      <c r="AA5093" s="609"/>
    </row>
    <row r="5094" spans="1:27" ht="18">
      <c r="A5094" s="2714"/>
      <c r="B5094" s="371"/>
      <c r="C5094" s="371" t="s">
        <v>2755</v>
      </c>
      <c r="D5094" s="371"/>
      <c r="F5094" s="294"/>
      <c r="G5094" s="301"/>
      <c r="H5094" s="315"/>
      <c r="I5094" s="315"/>
      <c r="J5094" s="291"/>
      <c r="K5094" s="291"/>
      <c r="L5094" s="291"/>
      <c r="M5094" s="291"/>
      <c r="S5094" s="364"/>
      <c r="Z5094" s="609" t="s">
        <v>4394</v>
      </c>
      <c r="AA5094" s="609"/>
    </row>
    <row r="5095" spans="1:27" ht="18">
      <c r="A5095" s="2714">
        <v>7500</v>
      </c>
      <c r="B5095" s="371">
        <v>79</v>
      </c>
      <c r="C5095" s="2716" t="str">
        <f>VLOOKUP($A5095,Sheet_Items,2,0)</f>
        <v>现金流量表补充资料</v>
      </c>
      <c r="D5095" s="371"/>
      <c r="E5095" s="2716" t="s">
        <v>2739</v>
      </c>
      <c r="F5095" s="294"/>
      <c r="G5095" s="305" t="str">
        <f>B5095&amp;" "&amp;C5095</f>
        <v>79 现金流量表补充资料</v>
      </c>
      <c r="H5095" s="306"/>
      <c r="I5095" s="306"/>
      <c r="J5095" s="306"/>
      <c r="K5095" s="539"/>
      <c r="L5095" s="342"/>
      <c r="M5095" s="306"/>
      <c r="N5095" s="539"/>
      <c r="O5095" s="306"/>
      <c r="P5095" s="301"/>
      <c r="S5095" s="364"/>
      <c r="Z5095" s="609" t="s">
        <v>1995</v>
      </c>
      <c r="AA5095" s="609"/>
    </row>
    <row r="5096" spans="1:27" ht="24">
      <c r="A5096" s="2714" t="s">
        <v>1993</v>
      </c>
      <c r="B5096" s="371">
        <v>1</v>
      </c>
      <c r="C5096" s="371"/>
      <c r="D5096" s="2716" t="str">
        <f>VLOOKUP($A5096,Sheet_NoteList,2,0)</f>
        <v>将净利润调节为经营活动现金流量</v>
      </c>
      <c r="E5096" s="2716" t="s">
        <v>2742</v>
      </c>
      <c r="F5096" s="294"/>
      <c r="G5096" s="372" t="str">
        <f>"("&amp;B5096&amp;")"&amp;D5096</f>
        <v>(1)将净利润调节为经营活动现金流量</v>
      </c>
      <c r="H5096" s="1517" t="str">
        <f>$A5096</f>
        <v>7500a</v>
      </c>
      <c r="I5096" s="343" t="s">
        <v>2743</v>
      </c>
      <c r="J5096" s="301"/>
      <c r="K5096" s="3071"/>
      <c r="L5096" s="315"/>
      <c r="M5096" s="301"/>
      <c r="N5096" s="3071"/>
      <c r="O5096" s="315"/>
      <c r="P5096" s="301"/>
      <c r="Q5096" s="290" t="str">
        <f>IF($I5096="不适用","",IF(ROUND(SUM($H$5099:$I$5116),2)=0,"请输入",""))</f>
        <v/>
      </c>
      <c r="S5096" s="364"/>
      <c r="Z5096" s="609" t="s">
        <v>1995</v>
      </c>
      <c r="AA5096" s="609"/>
    </row>
    <row r="5097" spans="1:27" ht="0.75" customHeight="1" thickBot="1">
      <c r="A5097" s="2714"/>
      <c r="B5097" s="371"/>
      <c r="C5097" s="371"/>
      <c r="D5097" s="371"/>
      <c r="F5097" s="371" t="s">
        <v>5812</v>
      </c>
      <c r="G5097" s="371" t="s">
        <v>4396</v>
      </c>
      <c r="H5097" s="371" t="s">
        <v>3472</v>
      </c>
      <c r="I5097" s="371" t="s">
        <v>3473</v>
      </c>
      <c r="J5097" s="291"/>
      <c r="K5097" s="291"/>
      <c r="L5097" s="291"/>
      <c r="M5097" s="291"/>
      <c r="S5097" s="364"/>
      <c r="Z5097" s="609" t="s">
        <v>1995</v>
      </c>
      <c r="AA5097" s="609"/>
    </row>
    <row r="5098" spans="1:27" ht="18">
      <c r="A5098" s="2714"/>
      <c r="B5098" s="371"/>
      <c r="C5098" s="371"/>
      <c r="D5098" s="371"/>
      <c r="E5098" s="2716" t="s">
        <v>2749</v>
      </c>
      <c r="F5098" s="294"/>
      <c r="G5098" s="1503" t="s">
        <v>918</v>
      </c>
      <c r="H5098" s="1501" t="str">
        <f>$V$4</f>
        <v>2019年度</v>
      </c>
      <c r="I5098" s="593" t="str">
        <f>$V$5</f>
        <v>2018年度</v>
      </c>
      <c r="J5098" s="355" t="s">
        <v>5343</v>
      </c>
      <c r="K5098" s="291"/>
      <c r="L5098" s="291"/>
      <c r="M5098" s="291"/>
      <c r="S5098" s="364"/>
      <c r="Z5098" s="609" t="s">
        <v>1995</v>
      </c>
      <c r="AA5098" s="609"/>
    </row>
    <row r="5099" spans="1:27" ht="18">
      <c r="A5099" s="2714"/>
      <c r="B5099" s="371">
        <v>7502</v>
      </c>
      <c r="C5099" s="371"/>
      <c r="D5099" s="2716">
        <f t="shared" ref="D5099:D5116" si="550">IF(OR(G5099="*",G5099="",G5099=0),0,COUNTIF($G$5099:$G$5116,G5099))</f>
        <v>1</v>
      </c>
      <c r="E5099" s="2721">
        <v>1</v>
      </c>
      <c r="F5099" s="294"/>
      <c r="G5099" s="1502" t="str">
        <f t="shared" ref="G5099:G5115" si="551">VLOOKUP($B5099,Sheet_Items,6,0)</f>
        <v>净利润</v>
      </c>
      <c r="H5099" s="1476">
        <f t="shared" ref="H5099:H5115" si="552">VLOOKUP($B5099,Sheet_CF7,4,0)</f>
        <v>-25297789.149999999</v>
      </c>
      <c r="I5099" s="1477">
        <f t="shared" ref="I5099:I5115" si="553">VLOOKUP($B5099,Sheet_CF7,5,0)</f>
        <v>-22510882.850000001</v>
      </c>
      <c r="J5099" s="291"/>
      <c r="K5099" s="291"/>
      <c r="L5099" s="291"/>
      <c r="M5099" s="291"/>
      <c r="S5099" s="364"/>
      <c r="Z5099" s="609" t="s">
        <v>1995</v>
      </c>
      <c r="AA5099" s="609"/>
    </row>
    <row r="5100" spans="1:27" ht="18">
      <c r="A5100" s="2714"/>
      <c r="B5100" s="371">
        <v>7503</v>
      </c>
      <c r="C5100" s="371"/>
      <c r="D5100" s="2716">
        <f t="shared" si="550"/>
        <v>1</v>
      </c>
      <c r="E5100" s="2721">
        <v>1</v>
      </c>
      <c r="F5100" s="294"/>
      <c r="G5100" s="1502" t="str">
        <f>VLOOKUP($B5100,Sheet_Items,6,0)</f>
        <v>加：资产减值准备</v>
      </c>
      <c r="H5100" s="1476">
        <f t="shared" si="552"/>
        <v>0</v>
      </c>
      <c r="I5100" s="1477">
        <f t="shared" si="553"/>
        <v>29565.119999999999</v>
      </c>
      <c r="J5100" s="291"/>
      <c r="K5100" s="291"/>
      <c r="L5100" s="291"/>
      <c r="M5100" s="291"/>
      <c r="S5100" s="364"/>
      <c r="Z5100" s="609" t="s">
        <v>1995</v>
      </c>
      <c r="AA5100" s="609"/>
    </row>
    <row r="5101" spans="1:27" ht="18">
      <c r="A5101" s="2714"/>
      <c r="B5101" s="371">
        <v>7504</v>
      </c>
      <c r="C5101" s="371" t="s">
        <v>2791</v>
      </c>
      <c r="D5101" s="2716">
        <f t="shared" ref="D5101" si="554">IF(OR(G5101="*",G5101="",G5101=0),0,COUNTIF($G$5099:$G$5116,G5101))</f>
        <v>1</v>
      </c>
      <c r="E5101" s="2721">
        <v>1</v>
      </c>
      <c r="F5101" s="294"/>
      <c r="G5101" s="1502" t="str">
        <f t="shared" si="551"/>
        <v>信用减值损失</v>
      </c>
      <c r="H5101" s="1476">
        <f t="shared" si="552"/>
        <v>-3895.59</v>
      </c>
      <c r="I5101" s="1477">
        <f t="shared" si="553"/>
        <v>0</v>
      </c>
      <c r="J5101" s="291"/>
      <c r="K5101" s="291"/>
      <c r="L5101" s="291"/>
      <c r="M5101" s="291"/>
      <c r="S5101" s="364"/>
      <c r="Z5101" s="609" t="s">
        <v>1995</v>
      </c>
      <c r="AA5101" s="609"/>
    </row>
    <row r="5102" spans="1:27" ht="36">
      <c r="A5102" s="2714"/>
      <c r="B5102" s="371">
        <v>7505</v>
      </c>
      <c r="C5102" s="371"/>
      <c r="D5102" s="2716">
        <f t="shared" si="550"/>
        <v>1</v>
      </c>
      <c r="E5102" s="2721">
        <v>1</v>
      </c>
      <c r="F5102" s="294"/>
      <c r="G5102" s="1502" t="str">
        <f t="shared" si="551"/>
        <v>固定资产折旧、投资性房地产折旧、油气资产折耗、生产性生物资产折旧</v>
      </c>
      <c r="H5102" s="1476">
        <f t="shared" si="552"/>
        <v>63520.08</v>
      </c>
      <c r="I5102" s="1477">
        <f t="shared" si="553"/>
        <v>5709.33</v>
      </c>
      <c r="J5102" s="291"/>
      <c r="K5102" s="291"/>
      <c r="L5102" s="291"/>
      <c r="M5102" s="291"/>
      <c r="S5102" s="364"/>
      <c r="Z5102" s="609" t="s">
        <v>1995</v>
      </c>
      <c r="AA5102" s="609"/>
    </row>
    <row r="5103" spans="1:27" ht="18">
      <c r="A5103" s="2714"/>
      <c r="B5103" s="371">
        <v>7506</v>
      </c>
      <c r="C5103" s="371"/>
      <c r="D5103" s="2716">
        <f t="shared" si="550"/>
        <v>1</v>
      </c>
      <c r="E5103" s="2721">
        <v>1</v>
      </c>
      <c r="F5103" s="294"/>
      <c r="G5103" s="1502" t="str">
        <f t="shared" si="551"/>
        <v>无形资产摊销</v>
      </c>
      <c r="H5103" s="1476">
        <f t="shared" si="552"/>
        <v>77952.14</v>
      </c>
      <c r="I5103" s="1477">
        <f t="shared" si="553"/>
        <v>0</v>
      </c>
      <c r="J5103" s="291"/>
      <c r="K5103" s="291"/>
      <c r="L5103" s="291"/>
      <c r="M5103" s="291"/>
      <c r="S5103" s="364"/>
      <c r="Z5103" s="609" t="s">
        <v>1995</v>
      </c>
      <c r="AA5103" s="609"/>
    </row>
    <row r="5104" spans="1:27" ht="18">
      <c r="A5104" s="2714"/>
      <c r="B5104" s="371">
        <v>7507</v>
      </c>
      <c r="C5104" s="371"/>
      <c r="D5104" s="2716">
        <f t="shared" si="550"/>
        <v>1</v>
      </c>
      <c r="E5104" s="2721">
        <v>1</v>
      </c>
      <c r="F5104" s="294"/>
      <c r="G5104" s="1502" t="str">
        <f t="shared" si="551"/>
        <v>长期待摊费用摊销</v>
      </c>
      <c r="H5104" s="1476">
        <f t="shared" si="552"/>
        <v>380521.72</v>
      </c>
      <c r="I5104" s="1477">
        <f t="shared" si="553"/>
        <v>110985.51</v>
      </c>
      <c r="J5104" s="291"/>
      <c r="K5104" s="291"/>
      <c r="L5104" s="291"/>
      <c r="M5104" s="291"/>
      <c r="S5104" s="364"/>
      <c r="Z5104" s="609" t="s">
        <v>1995</v>
      </c>
      <c r="AA5104" s="609"/>
    </row>
    <row r="5105" spans="1:27" ht="36">
      <c r="A5105" s="2714"/>
      <c r="B5105" s="371">
        <v>7508</v>
      </c>
      <c r="C5105" s="371"/>
      <c r="D5105" s="2716">
        <f t="shared" si="550"/>
        <v>1</v>
      </c>
      <c r="E5105" s="2721">
        <v>1</v>
      </c>
      <c r="F5105" s="294"/>
      <c r="G5105" s="1502" t="str">
        <f t="shared" si="551"/>
        <v>处置固定资产、无形资产和其他长期资产的损失（收益以“－”号填列）</v>
      </c>
      <c r="H5105" s="1476">
        <f t="shared" si="552"/>
        <v>0</v>
      </c>
      <c r="I5105" s="1477">
        <f t="shared" si="553"/>
        <v>0</v>
      </c>
      <c r="J5105" s="291"/>
      <c r="K5105" s="291"/>
      <c r="L5105" s="291"/>
      <c r="M5105" s="291"/>
      <c r="S5105" s="364"/>
      <c r="Z5105" s="609" t="s">
        <v>1995</v>
      </c>
      <c r="AA5105" s="609"/>
    </row>
    <row r="5106" spans="1:27" ht="24">
      <c r="A5106" s="2714"/>
      <c r="B5106" s="371">
        <v>7509</v>
      </c>
      <c r="C5106" s="371"/>
      <c r="D5106" s="2716">
        <f t="shared" si="550"/>
        <v>1</v>
      </c>
      <c r="E5106" s="2721">
        <v>1</v>
      </c>
      <c r="F5106" s="294"/>
      <c r="G5106" s="1502" t="str">
        <f t="shared" si="551"/>
        <v>固定资产报废损失（收益以“－”号填列）</v>
      </c>
      <c r="H5106" s="1476">
        <f t="shared" si="552"/>
        <v>0</v>
      </c>
      <c r="I5106" s="1477">
        <f t="shared" si="553"/>
        <v>0</v>
      </c>
      <c r="J5106" s="291"/>
      <c r="K5106" s="291"/>
      <c r="L5106" s="291"/>
      <c r="M5106" s="291"/>
      <c r="S5106" s="364"/>
      <c r="Z5106" s="609" t="s">
        <v>1995</v>
      </c>
      <c r="AA5106" s="609"/>
    </row>
    <row r="5107" spans="1:27" ht="24">
      <c r="A5107" s="2714"/>
      <c r="B5107" s="371">
        <v>7510</v>
      </c>
      <c r="C5107" s="371"/>
      <c r="D5107" s="2716">
        <f t="shared" si="550"/>
        <v>1</v>
      </c>
      <c r="E5107" s="2721">
        <v>1</v>
      </c>
      <c r="F5107" s="294"/>
      <c r="G5107" s="1502" t="str">
        <f t="shared" si="551"/>
        <v>公允价值变动损失（收益以“－”号填列）</v>
      </c>
      <c r="H5107" s="1476">
        <f t="shared" si="552"/>
        <v>0</v>
      </c>
      <c r="I5107" s="1477">
        <f t="shared" si="553"/>
        <v>0</v>
      </c>
      <c r="J5107" s="291"/>
      <c r="K5107" s="291"/>
      <c r="L5107" s="291"/>
      <c r="M5107" s="291"/>
      <c r="S5107" s="364"/>
      <c r="Z5107" s="609" t="s">
        <v>1995</v>
      </c>
      <c r="AA5107" s="609"/>
    </row>
    <row r="5108" spans="1:27" ht="24">
      <c r="A5108" s="2714"/>
      <c r="B5108" s="371">
        <v>7511</v>
      </c>
      <c r="C5108" s="371"/>
      <c r="D5108" s="2716">
        <f t="shared" si="550"/>
        <v>1</v>
      </c>
      <c r="E5108" s="2721">
        <v>1</v>
      </c>
      <c r="F5108" s="294"/>
      <c r="G5108" s="1502" t="str">
        <f t="shared" si="551"/>
        <v>财务费用（收益以“－”号填列）</v>
      </c>
      <c r="H5108" s="1476">
        <f t="shared" si="552"/>
        <v>0</v>
      </c>
      <c r="I5108" s="1477">
        <f t="shared" si="553"/>
        <v>0</v>
      </c>
      <c r="J5108" s="291"/>
      <c r="K5108" s="291"/>
      <c r="L5108" s="291"/>
      <c r="M5108" s="291"/>
      <c r="S5108" s="364"/>
      <c r="Z5108" s="609" t="s">
        <v>1995</v>
      </c>
      <c r="AA5108" s="609"/>
    </row>
    <row r="5109" spans="1:27" ht="24">
      <c r="A5109" s="2714"/>
      <c r="B5109" s="371">
        <v>7512</v>
      </c>
      <c r="C5109" s="371"/>
      <c r="D5109" s="2716">
        <f t="shared" si="550"/>
        <v>1</v>
      </c>
      <c r="E5109" s="2721">
        <v>1</v>
      </c>
      <c r="F5109" s="294"/>
      <c r="G5109" s="1502" t="str">
        <f t="shared" si="551"/>
        <v>投资损失（收益以“－”号填列）</v>
      </c>
      <c r="H5109" s="1476">
        <f t="shared" si="552"/>
        <v>0</v>
      </c>
      <c r="I5109" s="1477">
        <f t="shared" si="553"/>
        <v>0</v>
      </c>
      <c r="J5109" s="291"/>
      <c r="K5109" s="291"/>
      <c r="L5109" s="291"/>
      <c r="M5109" s="291"/>
      <c r="S5109" s="364"/>
      <c r="Z5109" s="609" t="s">
        <v>1995</v>
      </c>
      <c r="AA5109" s="609"/>
    </row>
    <row r="5110" spans="1:27" ht="24">
      <c r="A5110" s="2714"/>
      <c r="B5110" s="371">
        <v>7515</v>
      </c>
      <c r="C5110" s="371"/>
      <c r="D5110" s="2716">
        <f t="shared" si="550"/>
        <v>1</v>
      </c>
      <c r="E5110" s="2721">
        <v>1</v>
      </c>
      <c r="F5110" s="294"/>
      <c r="G5110" s="1502" t="str">
        <f t="shared" si="551"/>
        <v>递延所得税资产减少（增加以“－”号填列）</v>
      </c>
      <c r="H5110" s="1476">
        <f t="shared" si="552"/>
        <v>-6256690.8899999997</v>
      </c>
      <c r="I5110" s="1477">
        <f t="shared" si="553"/>
        <v>0</v>
      </c>
      <c r="J5110" s="291"/>
      <c r="K5110" s="291"/>
      <c r="L5110" s="291"/>
      <c r="M5110" s="291"/>
      <c r="S5110" s="364"/>
      <c r="Z5110" s="609" t="s">
        <v>1995</v>
      </c>
      <c r="AA5110" s="609"/>
    </row>
    <row r="5111" spans="1:27" ht="24">
      <c r="A5111" s="2714"/>
      <c r="B5111" s="371">
        <v>7516</v>
      </c>
      <c r="C5111" s="371"/>
      <c r="D5111" s="2716">
        <f t="shared" si="550"/>
        <v>1</v>
      </c>
      <c r="E5111" s="2721">
        <v>1</v>
      </c>
      <c r="F5111" s="294"/>
      <c r="G5111" s="1502" t="str">
        <f t="shared" si="551"/>
        <v>递延所得税负债增加（减少以“－”号填列）</v>
      </c>
      <c r="H5111" s="1476">
        <f t="shared" si="552"/>
        <v>0</v>
      </c>
      <c r="I5111" s="1477">
        <f t="shared" si="553"/>
        <v>0</v>
      </c>
      <c r="J5111" s="291"/>
      <c r="K5111" s="291"/>
      <c r="L5111" s="291"/>
      <c r="M5111" s="291"/>
      <c r="S5111" s="364"/>
      <c r="Z5111" s="609" t="s">
        <v>1995</v>
      </c>
      <c r="AA5111" s="609"/>
    </row>
    <row r="5112" spans="1:27" ht="24">
      <c r="A5112" s="2714"/>
      <c r="B5112" s="371">
        <v>7517</v>
      </c>
      <c r="C5112" s="371"/>
      <c r="D5112" s="2716">
        <f t="shared" si="550"/>
        <v>1</v>
      </c>
      <c r="E5112" s="2721">
        <v>1</v>
      </c>
      <c r="F5112" s="294"/>
      <c r="G5112" s="1502" t="str">
        <f t="shared" si="551"/>
        <v>存货的减少（增加以“－”号填列）</v>
      </c>
      <c r="H5112" s="1476">
        <f t="shared" si="552"/>
        <v>0</v>
      </c>
      <c r="I5112" s="1477">
        <f t="shared" si="553"/>
        <v>0</v>
      </c>
      <c r="J5112" s="291"/>
      <c r="K5112" s="291"/>
      <c r="L5112" s="291"/>
      <c r="M5112" s="291"/>
      <c r="S5112" s="364"/>
      <c r="Z5112" s="609" t="s">
        <v>1995</v>
      </c>
      <c r="AA5112" s="609"/>
    </row>
    <row r="5113" spans="1:27" ht="24">
      <c r="A5113" s="2714"/>
      <c r="B5113" s="371">
        <v>7518</v>
      </c>
      <c r="C5113" s="371"/>
      <c r="D5113" s="2716">
        <f t="shared" si="550"/>
        <v>1</v>
      </c>
      <c r="E5113" s="2721">
        <v>1</v>
      </c>
      <c r="F5113" s="294"/>
      <c r="G5113" s="1502" t="str">
        <f t="shared" si="551"/>
        <v>经营性应收项目的减少（增加以“－”号填列）</v>
      </c>
      <c r="H5113" s="1476">
        <f t="shared" si="552"/>
        <v>-111864.86</v>
      </c>
      <c r="I5113" s="1477">
        <f t="shared" si="553"/>
        <v>-4716956.07</v>
      </c>
      <c r="J5113" s="291"/>
      <c r="K5113" s="291"/>
      <c r="L5113" s="291"/>
      <c r="M5113" s="291"/>
      <c r="S5113" s="364"/>
      <c r="Z5113" s="609" t="s">
        <v>1995</v>
      </c>
      <c r="AA5113" s="609"/>
    </row>
    <row r="5114" spans="1:27" ht="24">
      <c r="A5114" s="2714"/>
      <c r="B5114" s="371">
        <v>7519</v>
      </c>
      <c r="C5114" s="371"/>
      <c r="D5114" s="2716">
        <f t="shared" si="550"/>
        <v>1</v>
      </c>
      <c r="E5114" s="2721">
        <v>1</v>
      </c>
      <c r="F5114" s="294"/>
      <c r="G5114" s="1502" t="str">
        <f t="shared" si="551"/>
        <v>经营性应付项目的增加（减少以“－”号填列）</v>
      </c>
      <c r="H5114" s="1476">
        <f t="shared" si="552"/>
        <v>481891.08</v>
      </c>
      <c r="I5114" s="1477">
        <f t="shared" si="553"/>
        <v>81161227.739999995</v>
      </c>
      <c r="J5114" s="291"/>
      <c r="K5114" s="291"/>
      <c r="L5114" s="291"/>
      <c r="M5114" s="291"/>
      <c r="S5114" s="364"/>
      <c r="Z5114" s="609" t="s">
        <v>1995</v>
      </c>
      <c r="AA5114" s="609"/>
    </row>
    <row r="5115" spans="1:27" ht="18">
      <c r="A5115" s="2714"/>
      <c r="B5115" s="371">
        <v>7523</v>
      </c>
      <c r="C5115" s="371"/>
      <c r="D5115" s="2716">
        <f t="shared" si="550"/>
        <v>1</v>
      </c>
      <c r="E5115" s="2721">
        <v>1</v>
      </c>
      <c r="F5115" s="294"/>
      <c r="G5115" s="1502" t="str">
        <f t="shared" si="551"/>
        <v>其他</v>
      </c>
      <c r="H5115" s="1476">
        <f t="shared" si="552"/>
        <v>0</v>
      </c>
      <c r="I5115" s="1477">
        <f t="shared" si="553"/>
        <v>0</v>
      </c>
      <c r="J5115" s="343"/>
      <c r="K5115" s="291"/>
      <c r="L5115" s="291"/>
      <c r="M5115" s="291"/>
      <c r="S5115" s="364"/>
      <c r="Z5115" s="609" t="s">
        <v>1995</v>
      </c>
      <c r="AA5115" s="609"/>
    </row>
    <row r="5116" spans="1:27" ht="18.75" thickBot="1">
      <c r="A5116" s="2714"/>
      <c r="B5116" s="371"/>
      <c r="C5116" s="371"/>
      <c r="D5116" s="2716">
        <f t="shared" si="550"/>
        <v>1</v>
      </c>
      <c r="E5116" s="2721" t="s">
        <v>3032</v>
      </c>
      <c r="F5116" s="294"/>
      <c r="G5116" s="374" t="s">
        <v>2247</v>
      </c>
      <c r="H5116" s="1478">
        <f>SUMPRODUCT($E5098:$E5115,H5098:H5115)</f>
        <v>-30666355.469999999</v>
      </c>
      <c r="I5116" s="1479">
        <f>SUMPRODUCT($E5098:$E5115,I5098:I5115)</f>
        <v>54079648.780000001</v>
      </c>
      <c r="J5116" s="291"/>
      <c r="K5116" s="291"/>
      <c r="L5116" s="291"/>
      <c r="M5116" s="291"/>
      <c r="S5116" s="364"/>
      <c r="Z5116" s="609" t="s">
        <v>1995</v>
      </c>
      <c r="AA5116" s="609"/>
    </row>
    <row r="5117" spans="1:27" ht="24.75" thickBot="1">
      <c r="A5117" s="2714"/>
      <c r="B5117" s="371">
        <v>901</v>
      </c>
      <c r="C5117" s="371"/>
      <c r="D5117" s="371"/>
      <c r="E5117" s="2716" t="s">
        <v>2753</v>
      </c>
      <c r="F5117" s="294"/>
      <c r="G5117" s="1507" t="s">
        <v>4397</v>
      </c>
      <c r="H5117" s="313"/>
      <c r="I5117" s="348"/>
      <c r="J5117" s="343"/>
      <c r="K5117" s="349"/>
      <c r="L5117" s="349"/>
      <c r="M5117" s="291"/>
      <c r="N5117" s="291"/>
      <c r="O5117" s="291"/>
      <c r="P5117" s="291"/>
      <c r="S5117" s="364"/>
      <c r="Z5117" s="609" t="s">
        <v>1995</v>
      </c>
      <c r="AA5117" s="609"/>
    </row>
    <row r="5118" spans="1:27" ht="18">
      <c r="A5118" s="2714"/>
      <c r="B5118" s="371"/>
      <c r="C5118" s="371" t="s">
        <v>2755</v>
      </c>
      <c r="D5118" s="371"/>
      <c r="F5118" s="294"/>
      <c r="G5118" s="301"/>
      <c r="H5118" s="315"/>
      <c r="I5118" s="315"/>
      <c r="J5118" s="291"/>
      <c r="K5118" s="291"/>
      <c r="L5118" s="291"/>
      <c r="M5118" s="291"/>
      <c r="S5118" s="364"/>
      <c r="Z5118" s="609" t="s">
        <v>1995</v>
      </c>
      <c r="AA5118" s="609"/>
    </row>
    <row r="5119" spans="1:27" ht="24">
      <c r="A5119" s="2714" t="s">
        <v>1996</v>
      </c>
      <c r="B5119" s="371">
        <v>2</v>
      </c>
      <c r="C5119" s="371"/>
      <c r="D5119" s="2716" t="str">
        <f>VLOOKUP($A5119,Sheet_NoteList,2,0)</f>
        <v>不涉及现金收支的重大投资和筹资活动</v>
      </c>
      <c r="E5119" s="2716" t="s">
        <v>2742</v>
      </c>
      <c r="F5119" s="294"/>
      <c r="G5119" s="372" t="str">
        <f>"("&amp;B5119&amp;")"&amp;D5119</f>
        <v>(2)不涉及现金收支的重大投资和筹资活动</v>
      </c>
      <c r="H5119" s="1517" t="str">
        <f>$A5119</f>
        <v>7500b</v>
      </c>
      <c r="I5119" s="343" t="s">
        <v>2743</v>
      </c>
      <c r="J5119" s="301"/>
      <c r="K5119" s="3071"/>
      <c r="L5119" s="315"/>
      <c r="M5119" s="301"/>
      <c r="N5119" s="3071"/>
      <c r="O5119" s="315"/>
      <c r="P5119" s="301"/>
      <c r="S5119" s="364"/>
      <c r="Z5119" s="609" t="s">
        <v>1995</v>
      </c>
      <c r="AA5119" s="609"/>
    </row>
    <row r="5120" spans="1:27" ht="0.75" customHeight="1" thickBot="1">
      <c r="A5120" s="2714"/>
      <c r="B5120" s="371"/>
      <c r="C5120" s="371"/>
      <c r="D5120" s="371"/>
      <c r="F5120" s="294" t="s">
        <v>5812</v>
      </c>
      <c r="G5120" s="294" t="s">
        <v>4398</v>
      </c>
      <c r="H5120" s="294" t="s">
        <v>3472</v>
      </c>
      <c r="I5120" s="294" t="s">
        <v>3473</v>
      </c>
      <c r="J5120" s="291"/>
      <c r="K5120" s="291"/>
      <c r="L5120" s="291"/>
      <c r="M5120" s="291"/>
      <c r="S5120" s="364"/>
      <c r="Z5120" s="609" t="s">
        <v>1995</v>
      </c>
      <c r="AA5120" s="609"/>
    </row>
    <row r="5121" spans="1:27" ht="18">
      <c r="A5121" s="2714"/>
      <c r="B5121" s="371"/>
      <c r="C5121" s="371"/>
      <c r="D5121" s="371"/>
      <c r="E5121" s="2716" t="s">
        <v>2749</v>
      </c>
      <c r="F5121" s="294"/>
      <c r="G5121" s="1503" t="s">
        <v>918</v>
      </c>
      <c r="H5121" s="1501" t="str">
        <f>$V$4</f>
        <v>2019年度</v>
      </c>
      <c r="I5121" s="593" t="str">
        <f>$V$5</f>
        <v>2018年度</v>
      </c>
      <c r="J5121" s="355" t="s">
        <v>5343</v>
      </c>
      <c r="K5121" s="291"/>
      <c r="L5121" s="291"/>
      <c r="M5121" s="291"/>
      <c r="S5121" s="364"/>
      <c r="Z5121" s="609" t="s">
        <v>1995</v>
      </c>
      <c r="AA5121" s="609"/>
    </row>
    <row r="5122" spans="1:27" ht="18">
      <c r="A5122" s="2714"/>
      <c r="B5122" s="371">
        <v>7527</v>
      </c>
      <c r="C5122" s="371"/>
      <c r="D5122" s="2716">
        <f>IF(OR(G5122="*",G5122="",G5122=0),0,COUNTIF($G$5122:$G$5125,G5122))</f>
        <v>1</v>
      </c>
      <c r="E5122" s="2721">
        <v>1</v>
      </c>
      <c r="F5122" s="294"/>
      <c r="G5122" s="1502" t="str">
        <f>VLOOKUP($B5122,Sheet_Items,6,0)</f>
        <v>债务转为资本</v>
      </c>
      <c r="H5122" s="1476">
        <f>VLOOKUP($B5122,Sheet_CF7,4,0)</f>
        <v>0</v>
      </c>
      <c r="I5122" s="1477">
        <f>VLOOKUP($B5122,Sheet_CF7,5,0)</f>
        <v>0</v>
      </c>
      <c r="J5122" s="291"/>
      <c r="K5122" s="291"/>
      <c r="L5122" s="291"/>
      <c r="M5122" s="291"/>
      <c r="S5122" s="364"/>
      <c r="Z5122" s="609" t="s">
        <v>1995</v>
      </c>
      <c r="AA5122" s="609"/>
    </row>
    <row r="5123" spans="1:27" ht="18">
      <c r="A5123" s="2714"/>
      <c r="B5123" s="371">
        <v>7528</v>
      </c>
      <c r="C5123" s="371"/>
      <c r="D5123" s="2716">
        <f>IF(OR(G5123="*",G5123="",G5123=0),0,COUNTIF($G$5122:$G$5125,G5123))</f>
        <v>1</v>
      </c>
      <c r="E5123" s="2721">
        <v>1</v>
      </c>
      <c r="F5123" s="294"/>
      <c r="G5123" s="1502" t="str">
        <f>VLOOKUP($B5123,Sheet_Items,6,0)</f>
        <v>一年内到期的可转换公司债券</v>
      </c>
      <c r="H5123" s="1476">
        <f>VLOOKUP($B5123,Sheet_CF7,4,0)</f>
        <v>0</v>
      </c>
      <c r="I5123" s="1477">
        <f>VLOOKUP($B5123,Sheet_CF7,5,0)</f>
        <v>0</v>
      </c>
      <c r="J5123" s="291"/>
      <c r="K5123" s="291"/>
      <c r="L5123" s="291"/>
      <c r="M5123" s="291"/>
      <c r="S5123" s="364"/>
      <c r="Z5123" s="609" t="s">
        <v>1995</v>
      </c>
      <c r="AA5123" s="609"/>
    </row>
    <row r="5124" spans="1:27" ht="18">
      <c r="A5124" s="2714"/>
      <c r="B5124" s="371">
        <v>7529</v>
      </c>
      <c r="C5124" s="371"/>
      <c r="D5124" s="2716">
        <f>IF(OR(G5124="*",G5124="",G5124=0),0,COUNTIF($G$5122:$G$5125,G5124))</f>
        <v>1</v>
      </c>
      <c r="E5124" s="2721">
        <v>1</v>
      </c>
      <c r="F5124" s="294"/>
      <c r="G5124" s="1502" t="str">
        <f>VLOOKUP($B5124,Sheet_Items,6,0)</f>
        <v>融资租入固定资产</v>
      </c>
      <c r="H5124" s="1476">
        <f>VLOOKUP($B5124,Sheet_CF7,4,0)</f>
        <v>0</v>
      </c>
      <c r="I5124" s="1477">
        <f>VLOOKUP($B5124,Sheet_CF7,5,0)</f>
        <v>0</v>
      </c>
      <c r="J5124" s="291"/>
      <c r="K5124" s="291"/>
      <c r="L5124" s="291"/>
      <c r="M5124" s="291"/>
      <c r="S5124" s="364"/>
      <c r="Z5124" s="609" t="s">
        <v>1995</v>
      </c>
      <c r="AA5124" s="609"/>
    </row>
    <row r="5125" spans="1:27" ht="18.75" thickBot="1">
      <c r="A5125" s="2714"/>
      <c r="B5125" s="371"/>
      <c r="C5125" s="371"/>
      <c r="D5125" s="2716">
        <f>IF(OR(G5125="*",G5125="",G5125=0),0,COUNTIF($G$5122:$G$5125,G5125))</f>
        <v>0</v>
      </c>
      <c r="E5125" s="2721" t="s">
        <v>3595</v>
      </c>
      <c r="F5125" s="294"/>
      <c r="G5125" s="2381"/>
      <c r="H5125" s="2680"/>
      <c r="I5125" s="2681"/>
      <c r="J5125" s="291"/>
      <c r="K5125" s="291"/>
      <c r="L5125" s="291"/>
      <c r="M5125" s="291"/>
      <c r="S5125" s="364"/>
      <c r="Z5125" s="609" t="s">
        <v>1995</v>
      </c>
      <c r="AA5125" s="609"/>
    </row>
    <row r="5126" spans="1:27" ht="18">
      <c r="A5126" s="2714"/>
      <c r="B5126" s="371"/>
      <c r="C5126" s="371" t="s">
        <v>2755</v>
      </c>
      <c r="D5126" s="371"/>
      <c r="F5126" s="294"/>
      <c r="G5126" s="301"/>
      <c r="H5126" s="315"/>
      <c r="I5126" s="315"/>
      <c r="J5126" s="291"/>
      <c r="K5126" s="291"/>
      <c r="L5126" s="291"/>
      <c r="M5126" s="291"/>
      <c r="S5126" s="364"/>
      <c r="Z5126" s="609" t="s">
        <v>1995</v>
      </c>
      <c r="AA5126" s="609"/>
    </row>
    <row r="5127" spans="1:27" ht="24">
      <c r="A5127" s="2714" t="s">
        <v>1998</v>
      </c>
      <c r="B5127" s="371">
        <v>3</v>
      </c>
      <c r="C5127" s="371"/>
      <c r="D5127" s="2716" t="str">
        <f>VLOOKUP($A5127,Sheet_NoteList,2,0)</f>
        <v>现金及现金等价物净变动情况</v>
      </c>
      <c r="E5127" s="2716" t="s">
        <v>2742</v>
      </c>
      <c r="F5127" s="294"/>
      <c r="G5127" s="372" t="str">
        <f>"("&amp;B5127&amp;")"&amp;D5127</f>
        <v>(3)现金及现金等价物净变动情况</v>
      </c>
      <c r="H5127" s="1517" t="str">
        <f>$A5127</f>
        <v>7500c</v>
      </c>
      <c r="I5127" s="343" t="s">
        <v>2743</v>
      </c>
      <c r="J5127" s="301"/>
      <c r="K5127" s="3071"/>
      <c r="L5127" s="315"/>
      <c r="M5127" s="301"/>
      <c r="N5127" s="3071"/>
      <c r="O5127" s="315"/>
      <c r="P5127" s="301"/>
      <c r="Q5127" s="290" t="str">
        <f>IF($I5127="不适用","",IF(ROUND(SUM($H$5130:$I$5134),2)=0,"请输入",""))</f>
        <v/>
      </c>
      <c r="S5127" s="364"/>
      <c r="Z5127" s="609" t="s">
        <v>1995</v>
      </c>
      <c r="AA5127" s="609"/>
    </row>
    <row r="5128" spans="1:27" ht="0.75" customHeight="1" thickBot="1">
      <c r="A5128" s="2714"/>
      <c r="B5128" s="371"/>
      <c r="C5128" s="371"/>
      <c r="D5128" s="371"/>
      <c r="F5128" s="304" t="s">
        <v>5812</v>
      </c>
      <c r="G5128" s="304" t="s">
        <v>4399</v>
      </c>
      <c r="H5128" s="304" t="s">
        <v>3472</v>
      </c>
      <c r="I5128" s="304" t="s">
        <v>3473</v>
      </c>
      <c r="J5128" s="291"/>
      <c r="K5128" s="291"/>
      <c r="L5128" s="291"/>
      <c r="M5128" s="291"/>
      <c r="S5128" s="364"/>
      <c r="Z5128" s="609" t="s">
        <v>1995</v>
      </c>
      <c r="AA5128" s="609"/>
    </row>
    <row r="5129" spans="1:27" ht="18">
      <c r="A5129" s="2714"/>
      <c r="B5129" s="371"/>
      <c r="C5129" s="371"/>
      <c r="D5129" s="371"/>
      <c r="E5129" s="2716" t="s">
        <v>2749</v>
      </c>
      <c r="F5129" s="294"/>
      <c r="G5129" s="378" t="s">
        <v>918</v>
      </c>
      <c r="H5129" s="398" t="str">
        <f>$V$4</f>
        <v>2019年度</v>
      </c>
      <c r="I5129" s="511" t="str">
        <f>$V$5</f>
        <v>2018年度</v>
      </c>
      <c r="J5129" s="355" t="s">
        <v>5343</v>
      </c>
      <c r="K5129" s="291"/>
      <c r="L5129" s="291"/>
      <c r="M5129" s="291"/>
      <c r="S5129" s="364"/>
      <c r="Z5129" s="609" t="s">
        <v>1995</v>
      </c>
      <c r="AA5129" s="609"/>
    </row>
    <row r="5130" spans="1:27" ht="18">
      <c r="A5130" s="2714"/>
      <c r="B5130" s="371">
        <v>7535</v>
      </c>
      <c r="C5130" s="371"/>
      <c r="D5130" s="2716">
        <f>IF(OR(G5130="*",G5130="",G5130=0),0,COUNTIF($G$5130:$G$5134,G5130))</f>
        <v>1</v>
      </c>
      <c r="E5130" s="2721">
        <v>1</v>
      </c>
      <c r="F5130" s="294"/>
      <c r="G5130" s="380" t="str">
        <f>VLOOKUP($B5130,Sheet_Items,6,0)</f>
        <v>现金的期末余额</v>
      </c>
      <c r="H5130" s="383">
        <f>VLOOKUP($B5130,Sheet_CF7,4,0)</f>
        <v>58808.95</v>
      </c>
      <c r="I5130" s="401">
        <f>VLOOKUP($B5130,Sheet_CF7,5,0)</f>
        <v>340266.93</v>
      </c>
      <c r="J5130" s="291"/>
      <c r="K5130" s="291"/>
      <c r="L5130" s="291"/>
      <c r="M5130" s="291"/>
      <c r="S5130" s="364"/>
      <c r="Z5130" s="609" t="s">
        <v>1995</v>
      </c>
      <c r="AA5130" s="609"/>
    </row>
    <row r="5131" spans="1:27" ht="18">
      <c r="A5131" s="2714"/>
      <c r="B5131" s="371">
        <v>7536</v>
      </c>
      <c r="C5131" s="371"/>
      <c r="D5131" s="2716">
        <f>IF(OR(G5131="*",G5131="",G5131=0),0,COUNTIF($G$5130:$G$5134,G5131))</f>
        <v>1</v>
      </c>
      <c r="E5131" s="2721">
        <v>-1</v>
      </c>
      <c r="F5131" s="294"/>
      <c r="G5131" s="380" t="str">
        <f>VLOOKUP($B5131,Sheet_Items,6,0)</f>
        <v>减：现金的年初余额</v>
      </c>
      <c r="H5131" s="383">
        <f>VLOOKUP($B5131,Sheet_CF7,4,0)</f>
        <v>340266.93</v>
      </c>
      <c r="I5131" s="401">
        <f>VLOOKUP($B5131,Sheet_CF7,5,0)</f>
        <v>713944.14</v>
      </c>
      <c r="J5131" s="291"/>
      <c r="K5131" s="291"/>
      <c r="L5131" s="291"/>
      <c r="M5131" s="291"/>
      <c r="S5131" s="364"/>
      <c r="Z5131" s="609" t="s">
        <v>1995</v>
      </c>
      <c r="AA5131" s="609"/>
    </row>
    <row r="5132" spans="1:27" ht="18">
      <c r="A5132" s="2714"/>
      <c r="B5132" s="371">
        <v>7537</v>
      </c>
      <c r="C5132" s="371"/>
      <c r="D5132" s="2716">
        <f>IF(OR(G5132="*",G5132="",G5132=0),0,COUNTIF($G$5130:$G$5134,G5132))</f>
        <v>1</v>
      </c>
      <c r="E5132" s="2721">
        <v>1</v>
      </c>
      <c r="F5132" s="294"/>
      <c r="G5132" s="380" t="str">
        <f>VLOOKUP($B5132,Sheet_Items,6,0)</f>
        <v>加：现金等价物的期末余额</v>
      </c>
      <c r="H5132" s="383">
        <f>VLOOKUP($B5132,Sheet_CF7,4,0)</f>
        <v>0</v>
      </c>
      <c r="I5132" s="401">
        <f>VLOOKUP($B5132,Sheet_CF7,5,0)</f>
        <v>0</v>
      </c>
      <c r="J5132" s="291"/>
      <c r="K5132" s="291"/>
      <c r="L5132" s="291"/>
      <c r="M5132" s="291"/>
      <c r="S5132" s="364"/>
      <c r="Z5132" s="609" t="s">
        <v>1995</v>
      </c>
      <c r="AA5132" s="609"/>
    </row>
    <row r="5133" spans="1:27" ht="18">
      <c r="A5133" s="2714"/>
      <c r="B5133" s="371">
        <v>7538</v>
      </c>
      <c r="C5133" s="371"/>
      <c r="D5133" s="2716">
        <f>IF(OR(G5133="*",G5133="",G5133=0),0,COUNTIF($G$5130:$G$5134,G5133))</f>
        <v>1</v>
      </c>
      <c r="E5133" s="2721">
        <v>-1</v>
      </c>
      <c r="F5133" s="294"/>
      <c r="G5133" s="380" t="str">
        <f>VLOOKUP($B5133,Sheet_Items,6,0)</f>
        <v>减：现金等价物的年初余额</v>
      </c>
      <c r="H5133" s="383">
        <f>VLOOKUP($B5133,Sheet_CF7,4,0)</f>
        <v>0</v>
      </c>
      <c r="I5133" s="401">
        <f>VLOOKUP($B5133,Sheet_CF7,5,0)</f>
        <v>0</v>
      </c>
      <c r="J5133" s="291"/>
      <c r="K5133" s="291"/>
      <c r="L5133" s="291"/>
      <c r="M5133" s="291"/>
      <c r="S5133" s="364"/>
      <c r="Z5133" s="609" t="s">
        <v>1995</v>
      </c>
      <c r="AA5133" s="609"/>
    </row>
    <row r="5134" spans="1:27" ht="18.75" thickBot="1">
      <c r="A5134" s="2714"/>
      <c r="B5134" s="371"/>
      <c r="C5134" s="371"/>
      <c r="D5134" s="2716">
        <f>IF(OR(G5134="*",G5134="",G5134=0),0,COUNTIF($G$5130:$G$5134,G5134))</f>
        <v>1</v>
      </c>
      <c r="E5134" s="2721" t="s">
        <v>3032</v>
      </c>
      <c r="F5134" s="294"/>
      <c r="G5134" s="403" t="s">
        <v>2269</v>
      </c>
      <c r="H5134" s="503">
        <f>SUMPRODUCT($E5129:$E5133,H5129:H5133)</f>
        <v>-281457.98</v>
      </c>
      <c r="I5134" s="515">
        <f>SUMPRODUCT($E5129:$E5133,I5129:I5133)</f>
        <v>-373677.21</v>
      </c>
      <c r="J5134" s="291"/>
      <c r="K5134" s="291"/>
      <c r="L5134" s="291"/>
      <c r="M5134" s="291"/>
      <c r="S5134" s="364"/>
      <c r="Z5134" s="609" t="s">
        <v>1995</v>
      </c>
      <c r="AA5134" s="609"/>
    </row>
    <row r="5135" spans="1:27" ht="18">
      <c r="A5135" s="2714"/>
      <c r="B5135" s="371"/>
      <c r="C5135" s="371" t="s">
        <v>2755</v>
      </c>
      <c r="D5135" s="371"/>
      <c r="F5135" s="294"/>
      <c r="G5135" s="301"/>
      <c r="H5135" s="349"/>
      <c r="I5135" s="349"/>
      <c r="J5135" s="291"/>
      <c r="K5135" s="291"/>
      <c r="L5135" s="291"/>
      <c r="M5135" s="291"/>
      <c r="S5135" s="364"/>
      <c r="Z5135" s="609" t="s">
        <v>1995</v>
      </c>
      <c r="AA5135" s="609"/>
    </row>
    <row r="5136" spans="1:27" ht="24">
      <c r="A5136" s="2714" t="s">
        <v>2008</v>
      </c>
      <c r="B5136" s="371">
        <v>4</v>
      </c>
      <c r="C5136" s="371"/>
      <c r="D5136" s="2716" t="str">
        <f>VLOOKUP($A5136,Sheet_NoteList,2,0)</f>
        <v>本期支付的取得子公司的现金净额</v>
      </c>
      <c r="E5136" s="2716" t="s">
        <v>2742</v>
      </c>
      <c r="F5136" s="294"/>
      <c r="G5136" s="372" t="str">
        <f>"("&amp;B5136&amp;")"&amp;D5136</f>
        <v>(4)本期支付的取得子公司的现金净额</v>
      </c>
      <c r="H5136" s="1517" t="str">
        <f>$A5136</f>
        <v>7500g</v>
      </c>
      <c r="I5136" s="343" t="s">
        <v>2743</v>
      </c>
      <c r="J5136" s="301"/>
      <c r="K5136" s="3071"/>
      <c r="L5136" s="315"/>
      <c r="M5136" s="301"/>
      <c r="N5136" s="3071"/>
      <c r="O5136" s="315"/>
      <c r="P5136" s="301"/>
      <c r="S5136" s="364"/>
      <c r="Z5136" s="609" t="s">
        <v>1995</v>
      </c>
      <c r="AA5136" s="609"/>
    </row>
    <row r="5137" spans="1:27" ht="0.75" customHeight="1" thickBot="1">
      <c r="A5137" s="2714"/>
      <c r="B5137" s="371"/>
      <c r="C5137" s="371"/>
      <c r="D5137" s="371"/>
      <c r="F5137" s="304"/>
      <c r="G5137" s="304" t="s">
        <v>4400</v>
      </c>
      <c r="H5137" s="304" t="s">
        <v>3472</v>
      </c>
      <c r="I5137" s="291"/>
      <c r="J5137" s="291"/>
      <c r="K5137" s="291"/>
      <c r="L5137" s="291"/>
      <c r="M5137" s="291"/>
      <c r="S5137" s="364"/>
      <c r="Z5137" s="609" t="s">
        <v>1995</v>
      </c>
      <c r="AA5137" s="609"/>
    </row>
    <row r="5138" spans="1:27" ht="18">
      <c r="A5138" s="2714"/>
      <c r="B5138" s="371"/>
      <c r="C5138" s="371"/>
      <c r="D5138" s="371"/>
      <c r="E5138" s="2716" t="s">
        <v>2749</v>
      </c>
      <c r="F5138" s="294"/>
      <c r="G5138" s="2613" t="s">
        <v>47</v>
      </c>
      <c r="H5138" s="2614" t="s">
        <v>4242</v>
      </c>
      <c r="I5138" s="355" t="s">
        <v>5343</v>
      </c>
      <c r="J5138" s="291"/>
      <c r="K5138" s="291"/>
      <c r="L5138" s="291"/>
      <c r="M5138" s="291"/>
      <c r="S5138" s="364"/>
      <c r="Z5138" s="609" t="s">
        <v>1995</v>
      </c>
      <c r="AA5138" s="609"/>
    </row>
    <row r="5139" spans="1:27" ht="24">
      <c r="A5139" s="2714"/>
      <c r="B5139" s="371">
        <v>101</v>
      </c>
      <c r="C5139" s="371"/>
      <c r="D5139" s="2716">
        <f t="shared" ref="D5139:D5144" si="555">IF(OR(G5139="*",G5139="",G5139=0),0,COUNTIF($G$5139:$G$5144,G5139))</f>
        <v>1</v>
      </c>
      <c r="E5139" s="2721">
        <v>1</v>
      </c>
      <c r="F5139" s="294"/>
      <c r="G5139" s="380" t="s">
        <v>4401</v>
      </c>
      <c r="H5139" s="401"/>
      <c r="I5139" s="291"/>
      <c r="J5139" s="291"/>
      <c r="K5139" s="291"/>
      <c r="L5139" s="291"/>
      <c r="M5139" s="291"/>
      <c r="S5139" s="364"/>
      <c r="Z5139" s="609" t="s">
        <v>1995</v>
      </c>
      <c r="AA5139" s="609"/>
    </row>
    <row r="5140" spans="1:27" ht="24">
      <c r="A5140" s="2714"/>
      <c r="B5140" s="371">
        <v>102</v>
      </c>
      <c r="C5140" s="371"/>
      <c r="D5140" s="2716">
        <f t="shared" si="555"/>
        <v>1</v>
      </c>
      <c r="E5140" s="2721">
        <v>-1</v>
      </c>
      <c r="F5140" s="294"/>
      <c r="G5140" s="380" t="s">
        <v>4402</v>
      </c>
      <c r="H5140" s="401"/>
      <c r="I5140" s="291"/>
      <c r="J5140" s="291"/>
      <c r="K5140" s="291"/>
      <c r="L5140" s="291"/>
      <c r="M5140" s="291"/>
      <c r="S5140" s="364"/>
      <c r="Z5140" s="609" t="s">
        <v>1995</v>
      </c>
      <c r="AA5140" s="609"/>
    </row>
    <row r="5141" spans="1:27" ht="18">
      <c r="A5141" s="2714"/>
      <c r="B5141" s="371">
        <v>103</v>
      </c>
      <c r="C5141" s="371" t="s">
        <v>2791</v>
      </c>
      <c r="D5141" s="2716">
        <f t="shared" si="555"/>
        <v>0</v>
      </c>
      <c r="E5141" s="2721">
        <v>-1</v>
      </c>
      <c r="F5141" s="294"/>
      <c r="G5141" s="409" t="s">
        <v>2792</v>
      </c>
      <c r="H5141" s="401"/>
      <c r="I5141" s="291"/>
      <c r="J5141" s="291"/>
      <c r="K5141" s="291"/>
      <c r="L5141" s="291"/>
      <c r="M5141" s="291"/>
      <c r="S5141" s="364"/>
      <c r="Z5141" s="609" t="s">
        <v>1995</v>
      </c>
      <c r="AA5141" s="609"/>
    </row>
    <row r="5142" spans="1:27" ht="36">
      <c r="A5142" s="2714"/>
      <c r="B5142" s="371">
        <v>104</v>
      </c>
      <c r="C5142" s="371"/>
      <c r="D5142" s="2716">
        <f t="shared" si="555"/>
        <v>1</v>
      </c>
      <c r="E5142" s="2721">
        <v>1</v>
      </c>
      <c r="F5142" s="294"/>
      <c r="G5142" s="380" t="s">
        <v>4403</v>
      </c>
      <c r="H5142" s="401"/>
      <c r="I5142" s="291"/>
      <c r="J5142" s="291"/>
      <c r="K5142" s="291"/>
      <c r="L5142" s="291"/>
      <c r="M5142" s="291"/>
      <c r="S5142" s="364"/>
      <c r="Z5142" s="609" t="s">
        <v>1995</v>
      </c>
      <c r="AA5142" s="609"/>
    </row>
    <row r="5143" spans="1:27" ht="18">
      <c r="A5143" s="2714"/>
      <c r="B5143" s="371">
        <v>105</v>
      </c>
      <c r="C5143" s="371" t="s">
        <v>2791</v>
      </c>
      <c r="D5143" s="2716">
        <f t="shared" si="555"/>
        <v>0</v>
      </c>
      <c r="E5143" s="2721">
        <v>1</v>
      </c>
      <c r="F5143" s="294"/>
      <c r="G5143" s="409" t="s">
        <v>2792</v>
      </c>
      <c r="H5143" s="401"/>
      <c r="I5143" s="291"/>
      <c r="J5143" s="291"/>
      <c r="K5143" s="291"/>
      <c r="L5143" s="291"/>
      <c r="M5143" s="291"/>
      <c r="S5143" s="364"/>
      <c r="Z5143" s="609" t="s">
        <v>1995</v>
      </c>
      <c r="AA5143" s="609"/>
    </row>
    <row r="5144" spans="1:27" ht="18.75" thickBot="1">
      <c r="A5144" s="2714"/>
      <c r="B5144" s="371"/>
      <c r="C5144" s="371"/>
      <c r="D5144" s="2716">
        <f t="shared" si="555"/>
        <v>1</v>
      </c>
      <c r="E5144" s="2721" t="s">
        <v>3032</v>
      </c>
      <c r="F5144" s="294"/>
      <c r="G5144" s="2615" t="s">
        <v>4404</v>
      </c>
      <c r="H5144" s="2616">
        <f>SUMPRODUCT($E5138:$E5143,H5138:H5143)</f>
        <v>0</v>
      </c>
      <c r="I5144" s="291"/>
      <c r="J5144" s="291"/>
      <c r="K5144" s="291"/>
      <c r="L5144" s="291"/>
      <c r="M5144" s="291"/>
      <c r="S5144" s="364"/>
      <c r="Z5144" s="609" t="s">
        <v>1995</v>
      </c>
      <c r="AA5144" s="609"/>
    </row>
    <row r="5145" spans="1:27" ht="18">
      <c r="A5145" s="2714"/>
      <c r="B5145" s="371"/>
      <c r="C5145" s="371" t="s">
        <v>2755</v>
      </c>
      <c r="D5145" s="371"/>
      <c r="F5145" s="294"/>
      <c r="G5145" s="301"/>
      <c r="H5145" s="315"/>
      <c r="I5145" s="349"/>
      <c r="J5145" s="291"/>
      <c r="K5145" s="291"/>
      <c r="L5145" s="291"/>
      <c r="M5145" s="291"/>
      <c r="S5145" s="364"/>
      <c r="Z5145" s="609" t="s">
        <v>1995</v>
      </c>
      <c r="AA5145" s="609"/>
    </row>
    <row r="5146" spans="1:27" ht="24">
      <c r="A5146" s="2714" t="s">
        <v>2010</v>
      </c>
      <c r="B5146" s="371">
        <v>5</v>
      </c>
      <c r="C5146" s="371"/>
      <c r="D5146" s="2716" t="str">
        <f>VLOOKUP($A5146,Sheet_NoteList,2,0)</f>
        <v>本期收到的处置子公司的现金净额</v>
      </c>
      <c r="E5146" s="2716" t="s">
        <v>2742</v>
      </c>
      <c r="F5146" s="294"/>
      <c r="G5146" s="372" t="str">
        <f>"("&amp;B5146&amp;")"&amp;D5146</f>
        <v>(5)本期收到的处置子公司的现金净额</v>
      </c>
      <c r="H5146" s="1517" t="str">
        <f>$A5146</f>
        <v>7500h</v>
      </c>
      <c r="I5146" s="343" t="s">
        <v>2743</v>
      </c>
      <c r="J5146" s="301"/>
      <c r="K5146" s="3071"/>
      <c r="L5146" s="315"/>
      <c r="M5146" s="301"/>
      <c r="N5146" s="3071"/>
      <c r="O5146" s="315"/>
      <c r="P5146" s="301"/>
      <c r="S5146" s="364"/>
      <c r="Z5146" s="609" t="s">
        <v>1995</v>
      </c>
      <c r="AA5146" s="609"/>
    </row>
    <row r="5147" spans="1:27" ht="0.75" customHeight="1" thickBot="1">
      <c r="A5147" s="2714"/>
      <c r="B5147" s="371"/>
      <c r="C5147" s="371"/>
      <c r="D5147" s="371"/>
      <c r="F5147" s="304"/>
      <c r="G5147" s="304" t="s">
        <v>4405</v>
      </c>
      <c r="H5147" s="304" t="s">
        <v>3472</v>
      </c>
      <c r="I5147" s="291"/>
      <c r="J5147" s="291"/>
      <c r="K5147" s="291"/>
      <c r="L5147" s="291"/>
      <c r="M5147" s="291"/>
      <c r="S5147" s="364"/>
      <c r="Z5147" s="609" t="s">
        <v>1995</v>
      </c>
      <c r="AA5147" s="609"/>
    </row>
    <row r="5148" spans="1:27" ht="18">
      <c r="A5148" s="2714"/>
      <c r="B5148" s="371"/>
      <c r="C5148" s="371"/>
      <c r="D5148" s="371"/>
      <c r="E5148" s="2716" t="s">
        <v>2749</v>
      </c>
      <c r="F5148" s="294"/>
      <c r="G5148" s="2613" t="s">
        <v>47</v>
      </c>
      <c r="H5148" s="2614" t="s">
        <v>4242</v>
      </c>
      <c r="I5148" s="355" t="s">
        <v>5343</v>
      </c>
      <c r="J5148" s="291"/>
      <c r="K5148" s="291"/>
      <c r="L5148" s="291"/>
      <c r="M5148" s="291"/>
      <c r="S5148" s="364"/>
      <c r="Z5148" s="609" t="s">
        <v>1995</v>
      </c>
      <c r="AA5148" s="609"/>
    </row>
    <row r="5149" spans="1:27" ht="24">
      <c r="A5149" s="2714"/>
      <c r="B5149" s="371">
        <v>101</v>
      </c>
      <c r="C5149" s="371"/>
      <c r="D5149" s="2716">
        <f t="shared" ref="D5149:D5154" si="556">IF(OR(G5149="*",G5149="",G5149=0),0,COUNTIF($G$5149:$G$5154,G5149))</f>
        <v>1</v>
      </c>
      <c r="E5149" s="2721">
        <v>1</v>
      </c>
      <c r="F5149" s="294"/>
      <c r="G5149" s="380" t="s">
        <v>4406</v>
      </c>
      <c r="H5149" s="401"/>
      <c r="I5149" s="291"/>
      <c r="J5149" s="291"/>
      <c r="K5149" s="291"/>
      <c r="L5149" s="291"/>
      <c r="M5149" s="291"/>
      <c r="S5149" s="364"/>
      <c r="Z5149" s="609" t="s">
        <v>1995</v>
      </c>
      <c r="AA5149" s="609"/>
    </row>
    <row r="5150" spans="1:27" ht="24">
      <c r="A5150" s="2714"/>
      <c r="B5150" s="371">
        <v>102</v>
      </c>
      <c r="C5150" s="371"/>
      <c r="D5150" s="2716">
        <f t="shared" si="556"/>
        <v>1</v>
      </c>
      <c r="E5150" s="2721">
        <v>-1</v>
      </c>
      <c r="F5150" s="294"/>
      <c r="G5150" s="380" t="s">
        <v>4407</v>
      </c>
      <c r="H5150" s="401"/>
      <c r="I5150" s="291"/>
      <c r="J5150" s="291"/>
      <c r="K5150" s="291"/>
      <c r="L5150" s="291"/>
      <c r="M5150" s="291"/>
      <c r="S5150" s="364"/>
      <c r="Z5150" s="609" t="s">
        <v>1995</v>
      </c>
      <c r="AA5150" s="609"/>
    </row>
    <row r="5151" spans="1:27" ht="18">
      <c r="A5151" s="2714"/>
      <c r="B5151" s="371">
        <v>103</v>
      </c>
      <c r="C5151" s="371" t="s">
        <v>2791</v>
      </c>
      <c r="D5151" s="2716">
        <f t="shared" si="556"/>
        <v>0</v>
      </c>
      <c r="E5151" s="2721">
        <v>-1</v>
      </c>
      <c r="F5151" s="294"/>
      <c r="G5151" s="409" t="s">
        <v>2792</v>
      </c>
      <c r="H5151" s="401"/>
      <c r="I5151" s="291"/>
      <c r="J5151" s="291"/>
      <c r="K5151" s="291"/>
      <c r="L5151" s="291"/>
      <c r="M5151" s="291"/>
      <c r="S5151" s="364"/>
      <c r="Z5151" s="609" t="s">
        <v>1995</v>
      </c>
      <c r="AA5151" s="609"/>
    </row>
    <row r="5152" spans="1:27" ht="24">
      <c r="A5152" s="2714"/>
      <c r="B5152" s="371">
        <v>104</v>
      </c>
      <c r="C5152" s="371"/>
      <c r="D5152" s="2716">
        <f t="shared" si="556"/>
        <v>1</v>
      </c>
      <c r="E5152" s="2721">
        <v>1</v>
      </c>
      <c r="F5152" s="294"/>
      <c r="G5152" s="380" t="s">
        <v>4408</v>
      </c>
      <c r="H5152" s="401"/>
      <c r="I5152" s="291"/>
      <c r="J5152" s="291"/>
      <c r="K5152" s="291"/>
      <c r="L5152" s="291"/>
      <c r="M5152" s="291"/>
      <c r="S5152" s="364"/>
      <c r="Z5152" s="609" t="s">
        <v>1995</v>
      </c>
      <c r="AA5152" s="609"/>
    </row>
    <row r="5153" spans="1:27" ht="18">
      <c r="A5153" s="2714"/>
      <c r="B5153" s="371">
        <v>105</v>
      </c>
      <c r="C5153" s="371" t="s">
        <v>2791</v>
      </c>
      <c r="D5153" s="2716">
        <f t="shared" si="556"/>
        <v>0</v>
      </c>
      <c r="E5153" s="2721">
        <v>1</v>
      </c>
      <c r="F5153" s="294"/>
      <c r="G5153" s="409" t="s">
        <v>2792</v>
      </c>
      <c r="H5153" s="401"/>
      <c r="I5153" s="291"/>
      <c r="J5153" s="291"/>
      <c r="K5153" s="291"/>
      <c r="L5153" s="291"/>
      <c r="M5153" s="291"/>
      <c r="S5153" s="364"/>
      <c r="Z5153" s="609" t="s">
        <v>1995</v>
      </c>
      <c r="AA5153" s="609"/>
    </row>
    <row r="5154" spans="1:27" ht="18.75" thickBot="1">
      <c r="A5154" s="2714"/>
      <c r="B5154" s="371"/>
      <c r="C5154" s="371"/>
      <c r="D5154" s="2716">
        <f t="shared" si="556"/>
        <v>1</v>
      </c>
      <c r="E5154" s="2721" t="s">
        <v>3032</v>
      </c>
      <c r="F5154" s="294"/>
      <c r="G5154" s="2615" t="s">
        <v>4409</v>
      </c>
      <c r="H5154" s="2616">
        <f>SUMPRODUCT($E5148:$E5153,H5148:H5153)</f>
        <v>0</v>
      </c>
      <c r="I5154" s="291"/>
      <c r="J5154" s="291"/>
      <c r="K5154" s="291"/>
      <c r="L5154" s="291"/>
      <c r="M5154" s="291"/>
      <c r="S5154" s="364"/>
      <c r="Z5154" s="609" t="s">
        <v>1995</v>
      </c>
      <c r="AA5154" s="609"/>
    </row>
    <row r="5155" spans="1:27" ht="18">
      <c r="A5155" s="2714"/>
      <c r="B5155" s="371"/>
      <c r="C5155" s="371" t="s">
        <v>2755</v>
      </c>
      <c r="D5155" s="371"/>
      <c r="F5155" s="294"/>
      <c r="G5155" s="301"/>
      <c r="H5155" s="315"/>
      <c r="I5155" s="349"/>
      <c r="J5155" s="291"/>
      <c r="K5155" s="291"/>
      <c r="L5155" s="291"/>
      <c r="M5155" s="291"/>
      <c r="S5155" s="364"/>
      <c r="Z5155" s="609" t="s">
        <v>1995</v>
      </c>
      <c r="AA5155" s="609"/>
    </row>
    <row r="5156" spans="1:27" ht="24">
      <c r="A5156" s="2714" t="s">
        <v>2003</v>
      </c>
      <c r="B5156" s="371">
        <v>6</v>
      </c>
      <c r="C5156" s="371"/>
      <c r="D5156" s="2716" t="str">
        <f>VLOOKUP($A5156,Sheet_NoteList,2,0)</f>
        <v>现金及现金等价物的构成</v>
      </c>
      <c r="E5156" s="2716" t="s">
        <v>2742</v>
      </c>
      <c r="F5156" s="294"/>
      <c r="G5156" s="372" t="str">
        <f>"("&amp;B5156&amp;")"&amp;D5156</f>
        <v>(6)现金及现金等价物的构成</v>
      </c>
      <c r="H5156" s="1517" t="str">
        <f>$A5156</f>
        <v>7500e</v>
      </c>
      <c r="I5156" s="343" t="s">
        <v>2743</v>
      </c>
      <c r="J5156" s="301"/>
      <c r="K5156" s="3071"/>
      <c r="L5156" s="315"/>
      <c r="M5156" s="301"/>
      <c r="N5156" s="3071"/>
      <c r="O5156" s="315"/>
      <c r="P5156" s="301"/>
      <c r="Q5156" s="290" t="str">
        <f ca="1">IF($I5156="不适用","",IF(ROUND(SUM($H$5159:$I$5170),2)=0,"请输入",""))</f>
        <v>请输入</v>
      </c>
      <c r="S5156" s="364"/>
      <c r="Z5156" s="609" t="s">
        <v>1995</v>
      </c>
      <c r="AA5156" s="609"/>
    </row>
    <row r="5157" spans="1:27" ht="0.75" customHeight="1" thickBot="1">
      <c r="A5157" s="2714"/>
      <c r="B5157" s="371"/>
      <c r="C5157" s="371"/>
      <c r="D5157" s="371"/>
      <c r="F5157" s="371"/>
      <c r="G5157" s="371" t="s">
        <v>4410</v>
      </c>
      <c r="H5157" s="371" t="s">
        <v>3472</v>
      </c>
      <c r="I5157" s="371" t="s">
        <v>3473</v>
      </c>
      <c r="J5157" s="291"/>
      <c r="K5157" s="291"/>
      <c r="L5157" s="291"/>
      <c r="M5157" s="291"/>
      <c r="S5157" s="364"/>
      <c r="Z5157" s="609" t="s">
        <v>1995</v>
      </c>
      <c r="AA5157" s="609"/>
    </row>
    <row r="5158" spans="1:27" ht="18">
      <c r="A5158" s="2714"/>
      <c r="B5158" s="371"/>
      <c r="C5158" s="371"/>
      <c r="D5158" s="371"/>
      <c r="E5158" s="2716" t="s">
        <v>2749</v>
      </c>
      <c r="F5158" s="294"/>
      <c r="G5158" s="378" t="s">
        <v>47</v>
      </c>
      <c r="H5158" s="2473" t="str">
        <f>$V$2</f>
        <v>2019年12月31日</v>
      </c>
      <c r="I5158" s="1456" t="str">
        <f>$V$3</f>
        <v>2018年12月31日</v>
      </c>
      <c r="J5158" s="355" t="s">
        <v>5343</v>
      </c>
      <c r="K5158" s="291"/>
      <c r="L5158" s="291"/>
      <c r="M5158" s="291"/>
      <c r="S5158" s="364"/>
      <c r="Z5158" s="609" t="s">
        <v>1995</v>
      </c>
      <c r="AA5158" s="609"/>
    </row>
    <row r="5159" spans="1:27" ht="18">
      <c r="A5159" s="2714"/>
      <c r="B5159" s="371">
        <v>101</v>
      </c>
      <c r="C5159" s="371" t="s">
        <v>2793</v>
      </c>
      <c r="D5159" s="2716">
        <f t="shared" ref="D5159:D5170" si="557">IF(OR(G5159="*",G5159="",G5159=0),0,COUNTIF($G$5159:$G$5170,G5159))</f>
        <v>1</v>
      </c>
      <c r="E5159" s="2721">
        <v>1</v>
      </c>
      <c r="F5159" s="294"/>
      <c r="G5159" s="380" t="s">
        <v>4411</v>
      </c>
      <c r="H5159" s="561">
        <f ca="1">SUMIF($E$5159:$E$5170,$G5159,H$5159:H$5168)</f>
        <v>0</v>
      </c>
      <c r="I5159" s="562">
        <f ca="1">SUMIF($E$5159:$E$5170,$G5159,I$5159:I$5168)</f>
        <v>0</v>
      </c>
      <c r="J5159" s="291"/>
      <c r="K5159" s="291"/>
      <c r="L5159" s="291"/>
      <c r="M5159" s="291"/>
      <c r="S5159" s="364"/>
      <c r="Z5159" s="609" t="s">
        <v>1995</v>
      </c>
      <c r="AA5159" s="609"/>
    </row>
    <row r="5160" spans="1:27" ht="18">
      <c r="A5160" s="2714"/>
      <c r="B5160" s="371">
        <v>101.001</v>
      </c>
      <c r="C5160" s="371"/>
      <c r="D5160" s="2716">
        <f t="shared" si="557"/>
        <v>1</v>
      </c>
      <c r="E5160" s="2721" t="s">
        <v>4411</v>
      </c>
      <c r="F5160" s="294"/>
      <c r="G5160" s="380" t="s">
        <v>4412</v>
      </c>
      <c r="H5160" s="383"/>
      <c r="I5160" s="401"/>
      <c r="J5160" s="291"/>
      <c r="K5160" s="291"/>
      <c r="L5160" s="291"/>
      <c r="M5160" s="291"/>
      <c r="S5160" s="364"/>
      <c r="Z5160" s="609" t="s">
        <v>1995</v>
      </c>
      <c r="AA5160" s="609"/>
    </row>
    <row r="5161" spans="1:27" ht="18">
      <c r="A5161" s="2714"/>
      <c r="B5161" s="371">
        <v>101.002</v>
      </c>
      <c r="C5161" s="371"/>
      <c r="D5161" s="2716">
        <f t="shared" si="557"/>
        <v>1</v>
      </c>
      <c r="E5161" s="2721" t="s">
        <v>4411</v>
      </c>
      <c r="F5161" s="294"/>
      <c r="G5161" s="380" t="s">
        <v>4413</v>
      </c>
      <c r="H5161" s="383"/>
      <c r="I5161" s="401"/>
      <c r="J5161" s="291"/>
      <c r="K5161" s="291"/>
      <c r="L5161" s="291"/>
      <c r="M5161" s="291"/>
      <c r="S5161" s="364"/>
      <c r="Z5161" s="609" t="s">
        <v>1995</v>
      </c>
      <c r="AA5161" s="609"/>
    </row>
    <row r="5162" spans="1:27" ht="24">
      <c r="A5162" s="2714"/>
      <c r="B5162" s="371">
        <v>101.003</v>
      </c>
      <c r="C5162" s="371"/>
      <c r="D5162" s="2716">
        <f t="shared" si="557"/>
        <v>1</v>
      </c>
      <c r="E5162" s="2721" t="s">
        <v>4411</v>
      </c>
      <c r="F5162" s="294"/>
      <c r="G5162" s="380" t="s">
        <v>4414</v>
      </c>
      <c r="H5162" s="383"/>
      <c r="I5162" s="401"/>
      <c r="J5162" s="291"/>
      <c r="K5162" s="291"/>
      <c r="L5162" s="291"/>
      <c r="M5162" s="291"/>
      <c r="S5162" s="364"/>
      <c r="Z5162" s="609" t="s">
        <v>1995</v>
      </c>
      <c r="AA5162" s="609"/>
    </row>
    <row r="5163" spans="1:27" ht="24">
      <c r="A5163" s="2714"/>
      <c r="B5163" s="371">
        <v>101.004</v>
      </c>
      <c r="C5163" s="371"/>
      <c r="D5163" s="2716">
        <f t="shared" si="557"/>
        <v>1</v>
      </c>
      <c r="E5163" s="2721" t="s">
        <v>4411</v>
      </c>
      <c r="F5163" s="294"/>
      <c r="G5163" s="380" t="s">
        <v>4415</v>
      </c>
      <c r="H5163" s="383"/>
      <c r="I5163" s="401"/>
      <c r="J5163" s="291"/>
      <c r="K5163" s="291"/>
      <c r="L5163" s="291"/>
      <c r="M5163" s="291"/>
      <c r="S5163" s="364"/>
      <c r="Z5163" s="609" t="s">
        <v>1995</v>
      </c>
      <c r="AA5163" s="609"/>
    </row>
    <row r="5164" spans="1:27" ht="18">
      <c r="A5164" s="2714"/>
      <c r="B5164" s="371">
        <v>101.005</v>
      </c>
      <c r="C5164" s="371"/>
      <c r="D5164" s="2716">
        <f t="shared" si="557"/>
        <v>1</v>
      </c>
      <c r="E5164" s="2721" t="s">
        <v>4411</v>
      </c>
      <c r="F5164" s="294"/>
      <c r="G5164" s="380" t="s">
        <v>4416</v>
      </c>
      <c r="H5164" s="383"/>
      <c r="I5164" s="401"/>
      <c r="J5164" s="291"/>
      <c r="K5164" s="291"/>
      <c r="L5164" s="291"/>
      <c r="M5164" s="291"/>
      <c r="S5164" s="364"/>
      <c r="Z5164" s="609" t="s">
        <v>1995</v>
      </c>
      <c r="AA5164" s="609"/>
    </row>
    <row r="5165" spans="1:27" ht="18">
      <c r="A5165" s="2714"/>
      <c r="B5165" s="371">
        <v>101.006</v>
      </c>
      <c r="C5165" s="371"/>
      <c r="D5165" s="2716">
        <f t="shared" si="557"/>
        <v>1</v>
      </c>
      <c r="E5165" s="2721" t="s">
        <v>4411</v>
      </c>
      <c r="F5165" s="294"/>
      <c r="G5165" s="380" t="s">
        <v>4417</v>
      </c>
      <c r="H5165" s="383"/>
      <c r="I5165" s="401"/>
      <c r="J5165" s="291"/>
      <c r="K5165" s="291"/>
      <c r="L5165" s="291"/>
      <c r="M5165" s="291"/>
      <c r="S5165" s="364"/>
      <c r="Z5165" s="609" t="s">
        <v>1995</v>
      </c>
      <c r="AA5165" s="609"/>
    </row>
    <row r="5166" spans="1:27" ht="18">
      <c r="A5166" s="2714"/>
      <c r="B5166" s="371">
        <v>102</v>
      </c>
      <c r="C5166" s="371"/>
      <c r="D5166" s="2716">
        <f t="shared" si="557"/>
        <v>1</v>
      </c>
      <c r="E5166" s="2721">
        <v>0</v>
      </c>
      <c r="F5166" s="294"/>
      <c r="G5166" s="380" t="s">
        <v>4418</v>
      </c>
      <c r="H5166" s="383"/>
      <c r="I5166" s="401"/>
      <c r="J5166" s="291"/>
      <c r="K5166" s="291"/>
      <c r="L5166" s="291"/>
      <c r="M5166" s="291"/>
      <c r="S5166" s="364"/>
      <c r="Z5166" s="609" t="s">
        <v>1995</v>
      </c>
      <c r="AA5166" s="609"/>
    </row>
    <row r="5167" spans="1:27" ht="24">
      <c r="A5167" s="2714"/>
      <c r="B5167" s="371">
        <v>103</v>
      </c>
      <c r="C5167" s="371"/>
      <c r="D5167" s="2716">
        <f t="shared" si="557"/>
        <v>1</v>
      </c>
      <c r="E5167" s="2721">
        <v>0</v>
      </c>
      <c r="F5167" s="294"/>
      <c r="G5167" s="380" t="s">
        <v>4419</v>
      </c>
      <c r="H5167" s="383"/>
      <c r="I5167" s="401"/>
      <c r="J5167" s="291"/>
      <c r="K5167" s="291"/>
      <c r="L5167" s="291"/>
      <c r="M5167" s="291"/>
      <c r="S5167" s="364"/>
      <c r="Z5167" s="609" t="s">
        <v>1995</v>
      </c>
      <c r="AA5167" s="609"/>
    </row>
    <row r="5168" spans="1:27" ht="24">
      <c r="A5168" s="2714"/>
      <c r="B5168" s="371">
        <v>104</v>
      </c>
      <c r="C5168" s="371"/>
      <c r="D5168" s="2716">
        <f t="shared" si="557"/>
        <v>1</v>
      </c>
      <c r="E5168" s="2721">
        <v>0</v>
      </c>
      <c r="F5168" s="294"/>
      <c r="G5168" s="380" t="s">
        <v>4420</v>
      </c>
      <c r="H5168" s="561">
        <f ca="1">H5159+H5166</f>
        <v>0</v>
      </c>
      <c r="I5168" s="562">
        <f ca="1">I5159+I5166</f>
        <v>0</v>
      </c>
      <c r="J5168" s="291"/>
      <c r="K5168" s="291"/>
      <c r="L5168" s="291"/>
      <c r="M5168" s="291"/>
      <c r="S5168" s="364"/>
      <c r="Z5168" s="609" t="s">
        <v>1995</v>
      </c>
      <c r="AA5168" s="609"/>
    </row>
    <row r="5169" spans="1:27" ht="36">
      <c r="A5169" s="2714"/>
      <c r="B5169" s="371">
        <v>105</v>
      </c>
      <c r="C5169" s="371"/>
      <c r="D5169" s="2716">
        <f t="shared" si="557"/>
        <v>1</v>
      </c>
      <c r="E5169" s="2721">
        <v>0</v>
      </c>
      <c r="F5169" s="294"/>
      <c r="G5169" s="620" t="s">
        <v>4421</v>
      </c>
      <c r="H5169" s="621"/>
      <c r="I5169" s="622"/>
      <c r="J5169" s="291"/>
      <c r="K5169" s="291"/>
      <c r="L5169" s="291"/>
      <c r="M5169" s="291"/>
      <c r="S5169" s="364"/>
      <c r="Z5169" s="609" t="s">
        <v>1995</v>
      </c>
      <c r="AA5169" s="609"/>
    </row>
    <row r="5170" spans="1:27" ht="18.75" thickBot="1">
      <c r="A5170" s="2714"/>
      <c r="B5170" s="371"/>
      <c r="C5170" s="371"/>
      <c r="D5170" s="2716">
        <f t="shared" si="557"/>
        <v>0</v>
      </c>
      <c r="E5170" s="2721" t="s">
        <v>3595</v>
      </c>
      <c r="F5170" s="294"/>
      <c r="G5170" s="2682"/>
      <c r="H5170" s="2683"/>
      <c r="I5170" s="2684"/>
      <c r="J5170" s="291"/>
      <c r="K5170" s="291"/>
      <c r="L5170" s="291"/>
      <c r="M5170" s="291"/>
      <c r="S5170" s="364"/>
      <c r="Z5170" s="609" t="s">
        <v>1995</v>
      </c>
      <c r="AA5170" s="609"/>
    </row>
    <row r="5171" spans="1:27" ht="18">
      <c r="A5171" s="2714"/>
      <c r="B5171" s="371"/>
      <c r="C5171" s="371" t="s">
        <v>2755</v>
      </c>
      <c r="D5171" s="371"/>
      <c r="F5171" s="294"/>
      <c r="G5171" s="301"/>
      <c r="H5171" s="349"/>
      <c r="I5171" s="349"/>
      <c r="J5171" s="291"/>
      <c r="K5171" s="291"/>
      <c r="L5171" s="291"/>
      <c r="M5171" s="291"/>
      <c r="S5171" s="364"/>
      <c r="Z5171" s="609" t="s">
        <v>1995</v>
      </c>
      <c r="AA5171" s="609"/>
    </row>
    <row r="5172" spans="1:27" ht="24">
      <c r="A5172" s="2714" t="s">
        <v>2006</v>
      </c>
      <c r="B5172" s="371">
        <v>7</v>
      </c>
      <c r="C5172" s="371"/>
      <c r="D5172" s="2716" t="str">
        <f>VLOOKUP($A5172,Sheet_NoteList,2,0)</f>
        <v>货币资金与现金及现金等价物的调节</v>
      </c>
      <c r="E5172" s="2716" t="s">
        <v>6532</v>
      </c>
      <c r="F5172" s="294"/>
      <c r="G5172" s="372" t="str">
        <f>"("&amp;B5172&amp;")"&amp;D5172</f>
        <v>(7)货币资金与现金及现金等价物的调节</v>
      </c>
      <c r="H5172" s="1517" t="str">
        <f>$A5172</f>
        <v>7500f</v>
      </c>
      <c r="I5172" s="343" t="s">
        <v>5974</v>
      </c>
      <c r="J5172" s="301"/>
      <c r="K5172" s="3071"/>
      <c r="L5172" s="315"/>
      <c r="M5172" s="301"/>
      <c r="N5172" s="3071"/>
      <c r="O5172" s="315"/>
      <c r="P5172" s="301"/>
      <c r="S5172" s="364"/>
      <c r="Z5172" s="609" t="s">
        <v>1995</v>
      </c>
      <c r="AA5172" s="609"/>
    </row>
    <row r="5173" spans="1:27" ht="0.75" customHeight="1" thickBot="1">
      <c r="A5173" s="2714"/>
      <c r="B5173" s="371"/>
      <c r="C5173" s="371"/>
      <c r="D5173" s="371"/>
      <c r="E5173" s="586"/>
      <c r="F5173" s="586"/>
      <c r="G5173" s="586" t="s">
        <v>4422</v>
      </c>
      <c r="H5173" s="371" t="s">
        <v>3472</v>
      </c>
      <c r="I5173" s="291"/>
      <c r="J5173" s="291"/>
      <c r="K5173" s="291"/>
      <c r="L5173" s="291"/>
      <c r="M5173" s="291"/>
      <c r="S5173" s="364"/>
      <c r="Z5173" s="609" t="s">
        <v>1995</v>
      </c>
      <c r="AA5173" s="609"/>
    </row>
    <row r="5174" spans="1:27" ht="18">
      <c r="A5174" s="2714"/>
      <c r="B5174" s="371"/>
      <c r="C5174" s="371"/>
      <c r="D5174" s="371"/>
      <c r="E5174" s="586" t="s">
        <v>2749</v>
      </c>
      <c r="F5174" s="363"/>
      <c r="G5174" s="2458" t="s">
        <v>47</v>
      </c>
      <c r="H5174" s="2460" t="s">
        <v>2887</v>
      </c>
      <c r="I5174" s="343" t="s">
        <v>4423</v>
      </c>
      <c r="J5174" s="291"/>
      <c r="K5174" s="291"/>
      <c r="L5174" s="291"/>
      <c r="M5174" s="291"/>
      <c r="S5174" s="364"/>
      <c r="Z5174" s="609" t="s">
        <v>1995</v>
      </c>
      <c r="AA5174" s="609"/>
    </row>
    <row r="5175" spans="1:27" ht="18">
      <c r="A5175" s="2714"/>
      <c r="B5175" s="371">
        <v>101</v>
      </c>
      <c r="C5175" s="371"/>
      <c r="D5175" s="2716">
        <f t="shared" ref="D5175:D5180" si="558">IF(OR(G5175="*",G5175="",G5175=0),0,COUNTIF($G$5175:$G$5180,G5175))</f>
        <v>1</v>
      </c>
      <c r="E5175" s="2721">
        <v>1</v>
      </c>
      <c r="F5175" s="294"/>
      <c r="G5175" s="1474" t="s">
        <v>4424</v>
      </c>
      <c r="H5175" s="2296"/>
      <c r="I5175" s="579"/>
      <c r="J5175" s="291"/>
      <c r="K5175" s="291"/>
      <c r="L5175" s="291"/>
      <c r="M5175" s="291"/>
      <c r="S5175" s="364"/>
      <c r="Z5175" s="609" t="s">
        <v>1995</v>
      </c>
      <c r="AA5175" s="609"/>
    </row>
    <row r="5176" spans="1:27" ht="18">
      <c r="A5176" s="2714"/>
      <c r="B5176" s="371">
        <v>102</v>
      </c>
      <c r="C5176" s="371"/>
      <c r="D5176" s="2716">
        <f t="shared" si="558"/>
        <v>1</v>
      </c>
      <c r="E5176" s="2721">
        <v>-1</v>
      </c>
      <c r="F5176" s="294"/>
      <c r="G5176" s="1474" t="s">
        <v>4425</v>
      </c>
      <c r="H5176" s="2296"/>
      <c r="I5176" s="291"/>
      <c r="J5176" s="291"/>
      <c r="K5176" s="291"/>
      <c r="L5176" s="291"/>
      <c r="M5176" s="291"/>
      <c r="S5176" s="364"/>
      <c r="Z5176" s="609" t="s">
        <v>1995</v>
      </c>
      <c r="AA5176" s="609"/>
    </row>
    <row r="5177" spans="1:27" ht="18">
      <c r="A5177" s="2714"/>
      <c r="B5177" s="371">
        <v>103</v>
      </c>
      <c r="C5177" s="371" t="s">
        <v>2791</v>
      </c>
      <c r="D5177" s="2716">
        <f t="shared" si="558"/>
        <v>0</v>
      </c>
      <c r="E5177" s="2721">
        <v>-1</v>
      </c>
      <c r="F5177" s="294"/>
      <c r="G5177" s="2467" t="s">
        <v>2792</v>
      </c>
      <c r="H5177" s="2296"/>
      <c r="I5177" s="291"/>
      <c r="J5177" s="291"/>
      <c r="K5177" s="291"/>
      <c r="L5177" s="291"/>
      <c r="M5177" s="291"/>
      <c r="S5177" s="364"/>
      <c r="Z5177" s="609" t="s">
        <v>1995</v>
      </c>
      <c r="AA5177" s="609"/>
    </row>
    <row r="5178" spans="1:27" ht="24">
      <c r="A5178" s="2714"/>
      <c r="B5178" s="371">
        <v>104</v>
      </c>
      <c r="C5178" s="371"/>
      <c r="D5178" s="2716">
        <f t="shared" si="558"/>
        <v>1</v>
      </c>
      <c r="E5178" s="2721">
        <v>1</v>
      </c>
      <c r="F5178" s="294"/>
      <c r="G5178" s="1474" t="s">
        <v>4426</v>
      </c>
      <c r="H5178" s="2296"/>
      <c r="I5178" s="291"/>
      <c r="J5178" s="291"/>
      <c r="K5178" s="291"/>
      <c r="L5178" s="291"/>
      <c r="M5178" s="291"/>
      <c r="S5178" s="364"/>
      <c r="Z5178" s="609" t="s">
        <v>1995</v>
      </c>
      <c r="AA5178" s="609"/>
    </row>
    <row r="5179" spans="1:27" ht="18">
      <c r="A5179" s="2714"/>
      <c r="B5179" s="371">
        <v>105</v>
      </c>
      <c r="C5179" s="371" t="s">
        <v>2791</v>
      </c>
      <c r="D5179" s="2716">
        <f t="shared" si="558"/>
        <v>0</v>
      </c>
      <c r="E5179" s="2721">
        <v>1</v>
      </c>
      <c r="F5179" s="294"/>
      <c r="G5179" s="2467" t="s">
        <v>2792</v>
      </c>
      <c r="H5179" s="2296"/>
      <c r="I5179" s="291"/>
      <c r="J5179" s="291"/>
      <c r="K5179" s="291"/>
      <c r="L5179" s="291"/>
      <c r="M5179" s="291"/>
      <c r="S5179" s="364"/>
      <c r="Z5179" s="609" t="s">
        <v>1995</v>
      </c>
      <c r="AA5179" s="609"/>
    </row>
    <row r="5180" spans="1:27" ht="18.75" thickBot="1">
      <c r="A5180" s="2714"/>
      <c r="B5180" s="371"/>
      <c r="C5180" s="371"/>
      <c r="D5180" s="2716">
        <f t="shared" si="558"/>
        <v>1</v>
      </c>
      <c r="E5180" s="2721" t="s">
        <v>3032</v>
      </c>
      <c r="F5180" s="294"/>
      <c r="G5180" s="1529" t="s">
        <v>2272</v>
      </c>
      <c r="H5180" s="1528">
        <f>SUMPRODUCT($E5174:$E5179,H5174:H5179)</f>
        <v>0</v>
      </c>
      <c r="I5180" s="291"/>
      <c r="J5180" s="291"/>
      <c r="K5180" s="291"/>
      <c r="L5180" s="291"/>
      <c r="M5180" s="291"/>
      <c r="S5180" s="364"/>
      <c r="Z5180" s="609" t="s">
        <v>1995</v>
      </c>
      <c r="AA5180" s="609"/>
    </row>
    <row r="5181" spans="1:27" ht="18">
      <c r="A5181" s="2714"/>
      <c r="B5181" s="371"/>
      <c r="C5181" s="371" t="s">
        <v>2755</v>
      </c>
      <c r="D5181" s="371"/>
      <c r="F5181" s="294"/>
      <c r="G5181" s="301"/>
      <c r="H5181" s="315"/>
      <c r="I5181" s="291"/>
      <c r="J5181" s="291"/>
      <c r="K5181" s="291"/>
      <c r="L5181" s="291"/>
      <c r="M5181" s="291"/>
      <c r="S5181" s="364"/>
      <c r="Z5181" s="609" t="s">
        <v>1995</v>
      </c>
      <c r="AA5181" s="609"/>
    </row>
    <row r="5182" spans="1:27" ht="24">
      <c r="A5182" s="2714">
        <v>9314</v>
      </c>
      <c r="B5182" s="371">
        <v>80</v>
      </c>
      <c r="C5182" s="2716" t="str">
        <f>VLOOKUP($A5182,Sheet_Items,2,0)</f>
        <v>所有者权益变动表项目注释</v>
      </c>
      <c r="D5182" s="371"/>
      <c r="E5182" s="2716" t="s">
        <v>2739</v>
      </c>
      <c r="F5182" s="294"/>
      <c r="G5182" s="305" t="str">
        <f>B5182&amp;" "&amp;C5182</f>
        <v>80 所有者权益变动表项目注释</v>
      </c>
      <c r="H5182" s="306"/>
      <c r="I5182" s="306"/>
      <c r="J5182" s="306"/>
      <c r="K5182" s="539"/>
      <c r="L5182" s="342"/>
      <c r="M5182" s="306"/>
      <c r="N5182" s="539"/>
      <c r="O5182" s="306"/>
      <c r="P5182" s="301"/>
      <c r="S5182" s="364"/>
      <c r="Z5182" s="609" t="s">
        <v>2101</v>
      </c>
      <c r="AA5182" s="609"/>
    </row>
    <row r="5183" spans="1:27" ht="24">
      <c r="A5183" s="2714" t="s">
        <v>2100</v>
      </c>
      <c r="B5183" s="371">
        <v>1</v>
      </c>
      <c r="C5183" s="371"/>
      <c r="D5183" s="2716" t="str">
        <f>VLOOKUP($A5183,Sheet_NoteList,2,0)</f>
        <v>所有者权益变动表项目注释</v>
      </c>
      <c r="E5183" s="2716" t="s">
        <v>2742</v>
      </c>
      <c r="F5183" s="294"/>
      <c r="G5183" s="372" t="str">
        <f>"("&amp;B5183&amp;")"&amp;D5183</f>
        <v>(1)所有者权益变动表项目注释</v>
      </c>
      <c r="H5183" s="1517" t="str">
        <f>$A5183</f>
        <v>9314a</v>
      </c>
      <c r="I5183" s="343" t="s">
        <v>2743</v>
      </c>
      <c r="J5183" s="301"/>
      <c r="K5183" s="3071"/>
      <c r="L5183" s="315"/>
      <c r="M5183" s="301"/>
      <c r="N5183" s="3071"/>
      <c r="O5183" s="315"/>
      <c r="P5183" s="301"/>
      <c r="S5183" s="364"/>
      <c r="Z5183" s="609" t="s">
        <v>2101</v>
      </c>
      <c r="AA5183" s="609"/>
    </row>
    <row r="5184" spans="1:27" ht="0.75" customHeight="1" thickBot="1">
      <c r="A5184" s="2714"/>
      <c r="B5184" s="371"/>
      <c r="C5184" s="371"/>
      <c r="D5184" s="371"/>
      <c r="E5184" s="586"/>
      <c r="F5184" s="518"/>
      <c r="G5184" s="518" t="s">
        <v>4427</v>
      </c>
      <c r="H5184" s="304" t="s">
        <v>2849</v>
      </c>
      <c r="I5184" s="304" t="s">
        <v>3235</v>
      </c>
      <c r="M5184" s="291"/>
      <c r="N5184" s="291"/>
      <c r="O5184" s="291"/>
      <c r="P5184" s="291"/>
      <c r="S5184" s="364"/>
      <c r="Z5184" s="609" t="s">
        <v>2101</v>
      </c>
      <c r="AA5184" s="609"/>
    </row>
    <row r="5185" spans="1:27" ht="18">
      <c r="A5185" s="2714"/>
      <c r="B5185" s="371"/>
      <c r="C5185" s="371"/>
      <c r="D5185" s="371"/>
      <c r="E5185" s="586" t="s">
        <v>2749</v>
      </c>
      <c r="F5185" s="363"/>
      <c r="G5185" s="2570" t="s">
        <v>47</v>
      </c>
      <c r="H5185" s="2566" t="s">
        <v>2887</v>
      </c>
      <c r="I5185" s="2565" t="s">
        <v>2758</v>
      </c>
      <c r="J5185" s="355" t="s">
        <v>5344</v>
      </c>
      <c r="M5185" s="291"/>
      <c r="N5185" s="291"/>
      <c r="O5185" s="291"/>
      <c r="P5185" s="291"/>
      <c r="S5185" s="364"/>
      <c r="Z5185" s="609" t="s">
        <v>2101</v>
      </c>
      <c r="AA5185" s="609"/>
    </row>
    <row r="5186" spans="1:27" ht="24">
      <c r="A5186" s="2714"/>
      <c r="B5186" s="371">
        <v>101</v>
      </c>
      <c r="C5186" s="371" t="s">
        <v>2791</v>
      </c>
      <c r="D5186" s="2716">
        <f t="shared" ref="D5186:D5191" si="559">IF(OR(G5186="*",G5186="",G5186=0),0,COUNTIF($G$5186:$G$5191,G5186))</f>
        <v>1</v>
      </c>
      <c r="E5186" s="2721">
        <v>1</v>
      </c>
      <c r="F5186" s="294"/>
      <c r="G5186" s="2568" t="s">
        <v>4428</v>
      </c>
      <c r="H5186" s="2275"/>
      <c r="I5186" s="2276"/>
      <c r="J5186" s="355" t="s">
        <v>6141</v>
      </c>
      <c r="M5186" s="291"/>
      <c r="N5186" s="291"/>
      <c r="O5186" s="291"/>
      <c r="P5186" s="291"/>
      <c r="S5186" s="364"/>
      <c r="Z5186" s="609" t="s">
        <v>2101</v>
      </c>
      <c r="AA5186" s="609"/>
    </row>
    <row r="5187" spans="1:27" ht="18">
      <c r="A5187" s="2714"/>
      <c r="B5187" s="371">
        <v>102</v>
      </c>
      <c r="C5187" s="371" t="s">
        <v>2791</v>
      </c>
      <c r="D5187" s="2716">
        <f t="shared" si="559"/>
        <v>0</v>
      </c>
      <c r="E5187" s="2721">
        <v>1</v>
      </c>
      <c r="F5187" s="294"/>
      <c r="G5187" s="2568" t="s">
        <v>2792</v>
      </c>
      <c r="H5187" s="2275"/>
      <c r="I5187" s="2276"/>
      <c r="M5187" s="291"/>
      <c r="N5187" s="291"/>
      <c r="O5187" s="291"/>
      <c r="P5187" s="291"/>
      <c r="S5187" s="364"/>
      <c r="Z5187" s="609" t="s">
        <v>2101</v>
      </c>
      <c r="AA5187" s="609"/>
    </row>
    <row r="5188" spans="1:27" ht="18">
      <c r="A5188" s="2714"/>
      <c r="B5188" s="371">
        <v>103</v>
      </c>
      <c r="C5188" s="371" t="s">
        <v>2791</v>
      </c>
      <c r="D5188" s="2716">
        <f t="shared" si="559"/>
        <v>0</v>
      </c>
      <c r="E5188" s="2721">
        <v>1</v>
      </c>
      <c r="F5188" s="294"/>
      <c r="G5188" s="2568" t="s">
        <v>2792</v>
      </c>
      <c r="H5188" s="2275"/>
      <c r="I5188" s="2276"/>
      <c r="M5188" s="291"/>
      <c r="N5188" s="291"/>
      <c r="O5188" s="291"/>
      <c r="P5188" s="291"/>
      <c r="S5188" s="364"/>
      <c r="Z5188" s="609" t="s">
        <v>2101</v>
      </c>
      <c r="AA5188" s="609"/>
    </row>
    <row r="5189" spans="1:27" ht="18">
      <c r="A5189" s="2714"/>
      <c r="B5189" s="371">
        <v>104</v>
      </c>
      <c r="C5189" s="371" t="s">
        <v>2791</v>
      </c>
      <c r="D5189" s="2716">
        <f t="shared" si="559"/>
        <v>0</v>
      </c>
      <c r="E5189" s="2721">
        <v>1</v>
      </c>
      <c r="F5189" s="294"/>
      <c r="G5189" s="2568" t="s">
        <v>2792</v>
      </c>
      <c r="H5189" s="2275"/>
      <c r="I5189" s="2276"/>
      <c r="M5189" s="291"/>
      <c r="N5189" s="291"/>
      <c r="O5189" s="291"/>
      <c r="P5189" s="291"/>
      <c r="S5189" s="364"/>
      <c r="Z5189" s="609" t="s">
        <v>2101</v>
      </c>
      <c r="AA5189" s="609"/>
    </row>
    <row r="5190" spans="1:27" ht="18">
      <c r="A5190" s="2714"/>
      <c r="B5190" s="371">
        <v>105</v>
      </c>
      <c r="C5190" s="371" t="s">
        <v>2791</v>
      </c>
      <c r="D5190" s="2716">
        <f t="shared" si="559"/>
        <v>0</v>
      </c>
      <c r="E5190" s="2721">
        <v>1</v>
      </c>
      <c r="F5190" s="294"/>
      <c r="G5190" s="2568" t="s">
        <v>2792</v>
      </c>
      <c r="H5190" s="2275"/>
      <c r="I5190" s="2276"/>
      <c r="M5190" s="291"/>
      <c r="N5190" s="291"/>
      <c r="O5190" s="291"/>
      <c r="P5190" s="291"/>
      <c r="S5190" s="364"/>
      <c r="Z5190" s="609" t="s">
        <v>2101</v>
      </c>
      <c r="AA5190" s="609"/>
    </row>
    <row r="5191" spans="1:27" ht="18.75" thickBot="1">
      <c r="A5191" s="2714"/>
      <c r="B5191" s="371"/>
      <c r="C5191" s="371"/>
      <c r="D5191" s="2716">
        <f t="shared" si="559"/>
        <v>1</v>
      </c>
      <c r="E5191" s="2721" t="s">
        <v>3032</v>
      </c>
      <c r="F5191" s="294"/>
      <c r="G5191" s="1529" t="s">
        <v>2752</v>
      </c>
      <c r="H5191" s="1527">
        <f>SUMPRODUCT($E5185:$E5190,H5185:H5190)</f>
        <v>0</v>
      </c>
      <c r="I5191" s="2266"/>
      <c r="M5191" s="291"/>
      <c r="N5191" s="291"/>
      <c r="O5191" s="291"/>
      <c r="P5191" s="291"/>
      <c r="S5191" s="364"/>
      <c r="Z5191" s="609" t="s">
        <v>2101</v>
      </c>
      <c r="AA5191" s="609"/>
    </row>
    <row r="5192" spans="1:27" ht="18">
      <c r="A5192" s="2714"/>
      <c r="B5192" s="371"/>
      <c r="C5192" s="371" t="s">
        <v>2755</v>
      </c>
      <c r="D5192" s="371"/>
      <c r="F5192" s="294"/>
      <c r="G5192" s="301"/>
      <c r="H5192" s="315"/>
      <c r="I5192" s="393"/>
      <c r="J5192" s="349"/>
      <c r="K5192" s="349"/>
      <c r="L5192" s="350"/>
      <c r="M5192" s="291"/>
      <c r="N5192" s="291"/>
      <c r="O5192" s="291"/>
      <c r="P5192" s="291"/>
      <c r="S5192" s="364"/>
      <c r="Z5192" s="609" t="s">
        <v>2101</v>
      </c>
      <c r="AA5192" s="609"/>
    </row>
    <row r="5193" spans="1:27" ht="24">
      <c r="A5193" s="2714">
        <v>1997</v>
      </c>
      <c r="B5193" s="371">
        <v>81</v>
      </c>
      <c r="C5193" s="2716" t="str">
        <f>VLOOKUP($A5193,Sheet_Items,2,0)</f>
        <v>所有权或使用权受到限制的资产</v>
      </c>
      <c r="D5193" s="371"/>
      <c r="E5193" s="2716" t="s">
        <v>2739</v>
      </c>
      <c r="F5193" s="294"/>
      <c r="G5193" s="305" t="str">
        <f>B5193&amp;" "&amp;C5193</f>
        <v>81 所有权或使用权受到限制的资产</v>
      </c>
      <c r="H5193" s="306"/>
      <c r="I5193" s="306"/>
      <c r="J5193" s="306"/>
      <c r="K5193" s="539"/>
      <c r="L5193" s="342"/>
      <c r="M5193" s="306"/>
      <c r="N5193" s="539"/>
      <c r="O5193" s="306"/>
      <c r="P5193" s="301"/>
      <c r="S5193" s="364"/>
      <c r="Z5193" s="609" t="s">
        <v>4429</v>
      </c>
      <c r="AA5193" s="609"/>
    </row>
    <row r="5194" spans="1:27" ht="24">
      <c r="A5194" s="2714" t="s">
        <v>1351</v>
      </c>
      <c r="B5194" s="371">
        <v>1</v>
      </c>
      <c r="C5194" s="371"/>
      <c r="D5194" s="2716" t="str">
        <f>VLOOKUP($A5194,Sheet_NoteList,2,0)</f>
        <v>所有权或使用权受到限制的资产明细项目</v>
      </c>
      <c r="E5194" s="2716" t="s">
        <v>2742</v>
      </c>
      <c r="F5194" s="294"/>
      <c r="G5194" s="372" t="str">
        <f>"("&amp;B5194&amp;")"&amp;D5194</f>
        <v>(1)所有权或使用权受到限制的资产明细项目</v>
      </c>
      <c r="H5194" s="1517" t="str">
        <f>$A5194</f>
        <v>1997a</v>
      </c>
      <c r="I5194" s="343" t="s">
        <v>2743</v>
      </c>
      <c r="J5194" s="301"/>
      <c r="K5194" s="3071"/>
      <c r="L5194" s="315"/>
      <c r="M5194" s="301"/>
      <c r="N5194" s="3071"/>
      <c r="O5194" s="315"/>
      <c r="P5194" s="301"/>
      <c r="S5194" s="364"/>
      <c r="Z5194" s="609" t="s">
        <v>4429</v>
      </c>
      <c r="AA5194" s="609"/>
    </row>
    <row r="5195" spans="1:27" ht="0.75" customHeight="1" thickBot="1">
      <c r="A5195" s="2714"/>
      <c r="B5195" s="371"/>
      <c r="C5195" s="371"/>
      <c r="D5195" s="371"/>
      <c r="E5195" s="586"/>
      <c r="F5195" s="518"/>
      <c r="G5195" s="518" t="s">
        <v>4430</v>
      </c>
      <c r="H5195" s="304" t="s">
        <v>2849</v>
      </c>
      <c r="I5195" s="304" t="s">
        <v>4431</v>
      </c>
      <c r="M5195" s="291"/>
      <c r="N5195" s="291"/>
      <c r="O5195" s="291"/>
      <c r="P5195" s="291"/>
      <c r="S5195" s="364"/>
      <c r="Z5195" s="609" t="s">
        <v>4429</v>
      </c>
      <c r="AA5195" s="609"/>
    </row>
    <row r="5196" spans="1:27" ht="24">
      <c r="A5196" s="2714"/>
      <c r="B5196" s="371"/>
      <c r="C5196" s="371"/>
      <c r="D5196" s="371"/>
      <c r="E5196" s="586" t="s">
        <v>2749</v>
      </c>
      <c r="F5196" s="363"/>
      <c r="G5196" s="2457" t="s">
        <v>47</v>
      </c>
      <c r="H5196" s="2464" t="str">
        <f>$W$2&amp;"账面价值"</f>
        <v>2019年12月31日账面价值</v>
      </c>
      <c r="I5196" s="2469" t="s">
        <v>4432</v>
      </c>
      <c r="J5196" s="355" t="s">
        <v>5345</v>
      </c>
      <c r="M5196" s="291"/>
      <c r="N5196" s="291"/>
      <c r="O5196" s="291"/>
      <c r="P5196" s="291"/>
      <c r="S5196" s="364"/>
      <c r="Z5196" s="609" t="s">
        <v>4429</v>
      </c>
      <c r="AA5196" s="609"/>
    </row>
    <row r="5197" spans="1:27" ht="18">
      <c r="A5197" s="2714"/>
      <c r="B5197" s="371">
        <v>101</v>
      </c>
      <c r="C5197" s="371"/>
      <c r="D5197" s="2716">
        <f t="shared" ref="D5197:D5205" si="560">IF(OR(G5197="*",G5197="",G5197=0),0,COUNTIF($G$5197:$G$5205,G5197))</f>
        <v>1</v>
      </c>
      <c r="E5197" s="2721">
        <v>1</v>
      </c>
      <c r="F5197" s="294"/>
      <c r="G5197" s="1474" t="s">
        <v>10</v>
      </c>
      <c r="H5197" s="2275"/>
      <c r="I5197" s="2276"/>
      <c r="M5197" s="291"/>
      <c r="N5197" s="291"/>
      <c r="O5197" s="291"/>
      <c r="P5197" s="291"/>
      <c r="S5197" s="364"/>
      <c r="Z5197" s="609" t="s">
        <v>4429</v>
      </c>
      <c r="AA5197" s="609"/>
    </row>
    <row r="5198" spans="1:27" ht="18">
      <c r="A5198" s="2714"/>
      <c r="B5198" s="371">
        <v>102</v>
      </c>
      <c r="C5198" s="371"/>
      <c r="D5198" s="2716">
        <f t="shared" si="560"/>
        <v>1</v>
      </c>
      <c r="E5198" s="2721">
        <v>1</v>
      </c>
      <c r="F5198" s="294"/>
      <c r="G5198" s="1474" t="s">
        <v>109</v>
      </c>
      <c r="H5198" s="2275"/>
      <c r="I5198" s="2276"/>
      <c r="M5198" s="291"/>
      <c r="N5198" s="291"/>
      <c r="O5198" s="291"/>
      <c r="P5198" s="291"/>
      <c r="S5198" s="364"/>
      <c r="Z5198" s="609" t="s">
        <v>4429</v>
      </c>
      <c r="AA5198" s="609"/>
    </row>
    <row r="5199" spans="1:27" ht="18">
      <c r="A5199" s="2714"/>
      <c r="B5199" s="371">
        <v>103</v>
      </c>
      <c r="C5199" s="371"/>
      <c r="D5199" s="2716">
        <f t="shared" si="560"/>
        <v>1</v>
      </c>
      <c r="E5199" s="2721">
        <v>1</v>
      </c>
      <c r="F5199" s="294"/>
      <c r="G5199" s="1474" t="s">
        <v>229</v>
      </c>
      <c r="H5199" s="2275"/>
      <c r="I5199" s="2276"/>
      <c r="M5199" s="291"/>
      <c r="N5199" s="291"/>
      <c r="O5199" s="291"/>
      <c r="P5199" s="291"/>
      <c r="S5199" s="364"/>
      <c r="Z5199" s="609" t="s">
        <v>4429</v>
      </c>
      <c r="AA5199" s="609"/>
    </row>
    <row r="5200" spans="1:27" ht="18">
      <c r="A5200" s="2714"/>
      <c r="B5200" s="371">
        <v>104</v>
      </c>
      <c r="C5200" s="371"/>
      <c r="D5200" s="2716">
        <f t="shared" si="560"/>
        <v>1</v>
      </c>
      <c r="E5200" s="2721">
        <v>1</v>
      </c>
      <c r="F5200" s="294"/>
      <c r="G5200" s="1474" t="s">
        <v>337</v>
      </c>
      <c r="H5200" s="2275"/>
      <c r="I5200" s="2276"/>
      <c r="M5200" s="291"/>
      <c r="N5200" s="291"/>
      <c r="O5200" s="291"/>
      <c r="P5200" s="291"/>
      <c r="S5200" s="364"/>
      <c r="Z5200" s="609" t="s">
        <v>4429</v>
      </c>
      <c r="AA5200" s="609"/>
    </row>
    <row r="5201" spans="1:27" ht="18">
      <c r="A5201" s="2714"/>
      <c r="B5201" s="371">
        <v>105</v>
      </c>
      <c r="C5201" s="371"/>
      <c r="D5201" s="2716">
        <f t="shared" si="560"/>
        <v>1</v>
      </c>
      <c r="E5201" s="2721">
        <v>1</v>
      </c>
      <c r="F5201" s="294"/>
      <c r="G5201" s="1474" t="s">
        <v>396</v>
      </c>
      <c r="H5201" s="2275"/>
      <c r="I5201" s="2276"/>
      <c r="M5201" s="291"/>
      <c r="N5201" s="291"/>
      <c r="O5201" s="291"/>
      <c r="P5201" s="291"/>
      <c r="S5201" s="364"/>
      <c r="Z5201" s="609" t="s">
        <v>4429</v>
      </c>
      <c r="AA5201" s="609"/>
    </row>
    <row r="5202" spans="1:27" ht="18">
      <c r="A5202" s="2714"/>
      <c r="B5202" s="371">
        <v>106</v>
      </c>
      <c r="C5202" s="371" t="s">
        <v>2791</v>
      </c>
      <c r="D5202" s="2716">
        <f t="shared" si="560"/>
        <v>0</v>
      </c>
      <c r="E5202" s="2721">
        <v>1</v>
      </c>
      <c r="F5202" s="294"/>
      <c r="G5202" s="2467" t="s">
        <v>2792</v>
      </c>
      <c r="H5202" s="2275"/>
      <c r="I5202" s="2276"/>
      <c r="M5202" s="291"/>
      <c r="N5202" s="291"/>
      <c r="O5202" s="291"/>
      <c r="P5202" s="291"/>
      <c r="S5202" s="364"/>
      <c r="Z5202" s="609" t="s">
        <v>4429</v>
      </c>
      <c r="AA5202" s="609"/>
    </row>
    <row r="5203" spans="1:27" ht="18">
      <c r="A5203" s="2714"/>
      <c r="B5203" s="371">
        <v>107</v>
      </c>
      <c r="C5203" s="371" t="s">
        <v>2791</v>
      </c>
      <c r="D5203" s="2716">
        <f t="shared" si="560"/>
        <v>0</v>
      </c>
      <c r="E5203" s="2721">
        <v>1</v>
      </c>
      <c r="F5203" s="294"/>
      <c r="G5203" s="2467" t="s">
        <v>2792</v>
      </c>
      <c r="H5203" s="2275"/>
      <c r="I5203" s="2276"/>
      <c r="M5203" s="291"/>
      <c r="N5203" s="291"/>
      <c r="O5203" s="291"/>
      <c r="P5203" s="291"/>
      <c r="S5203" s="364"/>
      <c r="Z5203" s="609" t="s">
        <v>4429</v>
      </c>
      <c r="AA5203" s="609"/>
    </row>
    <row r="5204" spans="1:27" ht="18">
      <c r="A5204" s="2714"/>
      <c r="B5204" s="371">
        <v>108</v>
      </c>
      <c r="C5204" s="371" t="s">
        <v>2791</v>
      </c>
      <c r="D5204" s="2716">
        <f t="shared" si="560"/>
        <v>0</v>
      </c>
      <c r="E5204" s="2721">
        <v>1</v>
      </c>
      <c r="F5204" s="294"/>
      <c r="G5204" s="2467" t="s">
        <v>2792</v>
      </c>
      <c r="H5204" s="2275"/>
      <c r="I5204" s="2276"/>
      <c r="M5204" s="291"/>
      <c r="N5204" s="291"/>
      <c r="O5204" s="291"/>
      <c r="P5204" s="291"/>
      <c r="S5204" s="364"/>
      <c r="Z5204" s="609" t="s">
        <v>4429</v>
      </c>
      <c r="AA5204" s="609"/>
    </row>
    <row r="5205" spans="1:27" ht="18.75" thickBot="1">
      <c r="A5205" s="2714"/>
      <c r="B5205" s="371"/>
      <c r="C5205" s="371"/>
      <c r="D5205" s="2716">
        <f t="shared" si="560"/>
        <v>1</v>
      </c>
      <c r="E5205" s="2721" t="s">
        <v>3032</v>
      </c>
      <c r="F5205" s="294"/>
      <c r="G5205" s="374" t="s">
        <v>2752</v>
      </c>
      <c r="H5205" s="1478">
        <f>SUMPRODUCT($E5196:$E5204,H5196:H5204)</f>
        <v>0</v>
      </c>
      <c r="I5205" s="2260"/>
      <c r="M5205" s="291"/>
      <c r="N5205" s="291"/>
      <c r="O5205" s="291"/>
      <c r="P5205" s="291"/>
      <c r="S5205" s="364"/>
      <c r="Z5205" s="609" t="s">
        <v>4429</v>
      </c>
      <c r="AA5205" s="609"/>
    </row>
    <row r="5206" spans="1:27" ht="18">
      <c r="A5206" s="2714"/>
      <c r="B5206" s="371"/>
      <c r="C5206" s="371" t="s">
        <v>2755</v>
      </c>
      <c r="D5206" s="371"/>
      <c r="F5206" s="294"/>
      <c r="G5206" s="301"/>
      <c r="H5206" s="315"/>
      <c r="I5206" s="393"/>
      <c r="J5206" s="349"/>
      <c r="K5206" s="349"/>
      <c r="L5206" s="350"/>
      <c r="M5206" s="291"/>
      <c r="N5206" s="291"/>
      <c r="O5206" s="291"/>
      <c r="P5206" s="291"/>
      <c r="S5206" s="364"/>
      <c r="Z5206" s="609" t="s">
        <v>4429</v>
      </c>
      <c r="AA5206" s="609"/>
    </row>
    <row r="5207" spans="1:27" ht="18">
      <c r="A5207" s="2714">
        <v>1704</v>
      </c>
      <c r="B5207" s="371">
        <v>82</v>
      </c>
      <c r="C5207" s="2716" t="str">
        <f>VLOOKUP($A5207,Sheet_Items,2,0)</f>
        <v>外币货币性项目</v>
      </c>
      <c r="D5207" s="371"/>
      <c r="E5207" s="2716" t="s">
        <v>2739</v>
      </c>
      <c r="F5207" s="294"/>
      <c r="G5207" s="305" t="str">
        <f>B5207&amp;" "&amp;C5207</f>
        <v>82 外币货币性项目</v>
      </c>
      <c r="H5207" s="306"/>
      <c r="I5207" s="306"/>
      <c r="J5207" s="306"/>
      <c r="K5207" s="539"/>
      <c r="L5207" s="342"/>
      <c r="M5207" s="306"/>
      <c r="N5207" s="539"/>
      <c r="O5207" s="306"/>
      <c r="P5207" s="301"/>
      <c r="S5207" s="364"/>
      <c r="Z5207" s="609" t="s">
        <v>4433</v>
      </c>
      <c r="AA5207" s="609"/>
    </row>
    <row r="5208" spans="1:27" ht="18">
      <c r="A5208" s="2714" t="s">
        <v>1347</v>
      </c>
      <c r="B5208" s="371">
        <v>1</v>
      </c>
      <c r="C5208" s="371"/>
      <c r="D5208" s="2716" t="str">
        <f>VLOOKUP($A5208,Sheet_NoteList,2,0)</f>
        <v>外币货币性项目明细</v>
      </c>
      <c r="E5208" s="2716" t="s">
        <v>2742</v>
      </c>
      <c r="F5208" s="294"/>
      <c r="G5208" s="307" t="str">
        <f>"("&amp;B5208&amp;")"&amp;D5208</f>
        <v>(1)外币货币性项目明细</v>
      </c>
      <c r="H5208" s="1517" t="str">
        <f>$A5208</f>
        <v>1704a</v>
      </c>
      <c r="I5208" s="343" t="s">
        <v>2743</v>
      </c>
      <c r="J5208" s="301"/>
      <c r="K5208" s="3071"/>
      <c r="L5208" s="315"/>
      <c r="M5208" s="301"/>
      <c r="N5208" s="3071"/>
      <c r="O5208" s="315"/>
      <c r="P5208" s="301"/>
      <c r="S5208" s="364"/>
      <c r="Z5208" s="609" t="s">
        <v>4433</v>
      </c>
      <c r="AA5208" s="609"/>
    </row>
    <row r="5209" spans="1:27" ht="0.75" customHeight="1" thickBot="1">
      <c r="A5209" s="2714"/>
      <c r="B5209" s="371"/>
      <c r="C5209" s="371"/>
      <c r="D5209" s="371"/>
      <c r="F5209" s="371"/>
      <c r="G5209" s="371" t="s">
        <v>4434</v>
      </c>
      <c r="H5209" s="371" t="s">
        <v>3073</v>
      </c>
      <c r="I5209" s="371" t="s">
        <v>3074</v>
      </c>
      <c r="J5209" s="371" t="s">
        <v>3075</v>
      </c>
      <c r="M5209" s="291"/>
      <c r="N5209" s="291"/>
      <c r="O5209" s="291"/>
      <c r="P5209" s="291"/>
      <c r="S5209" s="364"/>
      <c r="Z5209" s="609" t="s">
        <v>4433</v>
      </c>
      <c r="AA5209" s="609"/>
    </row>
    <row r="5210" spans="1:27" ht="24">
      <c r="A5210" s="2714"/>
      <c r="B5210" s="371"/>
      <c r="C5210" s="371"/>
      <c r="D5210" s="371"/>
      <c r="E5210" s="2716" t="s">
        <v>2749</v>
      </c>
      <c r="F5210" s="294"/>
      <c r="G5210" s="2482" t="s">
        <v>47</v>
      </c>
      <c r="H5210" s="2483" t="str">
        <f>$W$2&amp;"外币余额"</f>
        <v>2019年12月31日外币余额</v>
      </c>
      <c r="I5210" s="2483" t="s">
        <v>3077</v>
      </c>
      <c r="J5210" s="2484" t="str">
        <f>$W$2&amp;"折算人民币余额"</f>
        <v>2019年12月31日折算人民币余额</v>
      </c>
      <c r="K5210" s="355" t="s">
        <v>5346</v>
      </c>
      <c r="M5210" s="291"/>
      <c r="N5210" s="291"/>
      <c r="O5210" s="291"/>
      <c r="P5210" s="291"/>
      <c r="S5210" s="364"/>
      <c r="Z5210" s="609" t="s">
        <v>4433</v>
      </c>
      <c r="AA5210" s="609"/>
    </row>
    <row r="5211" spans="1:27" ht="18">
      <c r="A5211" s="2714"/>
      <c r="B5211" s="371">
        <v>101</v>
      </c>
      <c r="C5211" s="371"/>
      <c r="D5211" s="2716">
        <f t="shared" ref="D5211:D5242" si="561">IF(OR(G5211="*",G5211="",G5211=0),0,COUNTIF($G$5211:$G$5272,G5211))</f>
        <v>1</v>
      </c>
      <c r="E5211" s="2721" t="s">
        <v>41</v>
      </c>
      <c r="F5211" s="294"/>
      <c r="G5211" s="308" t="s">
        <v>5261</v>
      </c>
      <c r="H5211" s="309"/>
      <c r="I5211" s="360"/>
      <c r="J5211" s="346"/>
      <c r="K5211" s="1587" t="s">
        <v>45</v>
      </c>
      <c r="M5211" s="291"/>
      <c r="N5211" s="291"/>
      <c r="O5211" s="291"/>
      <c r="P5211" s="291"/>
      <c r="S5211" s="364"/>
      <c r="Z5211" s="609" t="s">
        <v>4433</v>
      </c>
      <c r="AA5211" s="609"/>
    </row>
    <row r="5212" spans="1:27" ht="18">
      <c r="A5212" s="2714"/>
      <c r="B5212" s="371">
        <v>102</v>
      </c>
      <c r="C5212" s="371" t="s">
        <v>2791</v>
      </c>
      <c r="D5212" s="2716">
        <f t="shared" si="561"/>
        <v>1</v>
      </c>
      <c r="E5212" s="2721">
        <v>1</v>
      </c>
      <c r="F5212" s="294"/>
      <c r="G5212" s="1497" t="str">
        <f>"其中："&amp;G5211&amp;"（美元）"</f>
        <v>其中：货币资金（美元）</v>
      </c>
      <c r="H5212" s="309"/>
      <c r="I5212" s="360"/>
      <c r="J5212" s="346"/>
      <c r="M5212" s="291"/>
      <c r="N5212" s="291"/>
      <c r="O5212" s="291"/>
      <c r="P5212" s="291"/>
      <c r="S5212" s="364"/>
      <c r="Z5212" s="609" t="s">
        <v>4433</v>
      </c>
      <c r="AA5212" s="609"/>
    </row>
    <row r="5213" spans="1:27" ht="18">
      <c r="A5213" s="2714"/>
      <c r="B5213" s="371">
        <v>103</v>
      </c>
      <c r="C5213" s="371" t="s">
        <v>2791</v>
      </c>
      <c r="D5213" s="2716">
        <f t="shared" si="561"/>
        <v>1</v>
      </c>
      <c r="E5213" s="2721">
        <v>1</v>
      </c>
      <c r="F5213" s="294"/>
      <c r="G5213" s="1497" t="str">
        <f>G5211&amp;"（欧元）"</f>
        <v>货币资金（欧元）</v>
      </c>
      <c r="H5213" s="309"/>
      <c r="I5213" s="360"/>
      <c r="J5213" s="346"/>
      <c r="M5213" s="291"/>
      <c r="N5213" s="291"/>
      <c r="O5213" s="291"/>
      <c r="P5213" s="291"/>
      <c r="S5213" s="364"/>
      <c r="Z5213" s="609" t="s">
        <v>4433</v>
      </c>
      <c r="AA5213" s="609"/>
    </row>
    <row r="5214" spans="1:27" ht="18">
      <c r="A5214" s="2714"/>
      <c r="B5214" s="371">
        <v>104</v>
      </c>
      <c r="C5214" s="371" t="s">
        <v>2791</v>
      </c>
      <c r="D5214" s="2716">
        <f t="shared" si="561"/>
        <v>1</v>
      </c>
      <c r="E5214" s="2721">
        <v>1</v>
      </c>
      <c r="F5214" s="294"/>
      <c r="G5214" s="1497" t="str">
        <f>G5211&amp;"（港币）"</f>
        <v>货币资金（港币）</v>
      </c>
      <c r="H5214" s="309"/>
      <c r="I5214" s="360"/>
      <c r="J5214" s="346"/>
      <c r="M5214" s="291"/>
      <c r="N5214" s="291"/>
      <c r="O5214" s="291"/>
      <c r="P5214" s="291"/>
      <c r="S5214" s="364"/>
      <c r="Z5214" s="609" t="s">
        <v>4433</v>
      </c>
      <c r="AA5214" s="609"/>
    </row>
    <row r="5215" spans="1:27" ht="18">
      <c r="A5215" s="2714"/>
      <c r="B5215" s="371">
        <v>105</v>
      </c>
      <c r="C5215" s="371" t="s">
        <v>2791</v>
      </c>
      <c r="D5215" s="2716">
        <f t="shared" si="561"/>
        <v>0</v>
      </c>
      <c r="E5215" s="2721">
        <v>1</v>
      </c>
      <c r="F5215" s="294"/>
      <c r="G5215" s="1504" t="s">
        <v>2792</v>
      </c>
      <c r="H5215" s="309"/>
      <c r="I5215" s="360"/>
      <c r="J5215" s="346"/>
      <c r="M5215" s="291"/>
      <c r="N5215" s="291"/>
      <c r="O5215" s="291"/>
      <c r="P5215" s="291"/>
      <c r="S5215" s="364"/>
      <c r="Z5215" s="609" t="s">
        <v>4433</v>
      </c>
      <c r="AA5215" s="609"/>
    </row>
    <row r="5216" spans="1:27" ht="18">
      <c r="A5216" s="2714"/>
      <c r="B5216" s="371">
        <v>106</v>
      </c>
      <c r="C5216" s="371"/>
      <c r="D5216" s="2716">
        <f t="shared" si="561"/>
        <v>1</v>
      </c>
      <c r="E5216" s="2721" t="s">
        <v>41</v>
      </c>
      <c r="F5216" s="294"/>
      <c r="G5216" s="308" t="s">
        <v>5254</v>
      </c>
      <c r="H5216" s="309"/>
      <c r="I5216" s="360"/>
      <c r="J5216" s="346"/>
      <c r="K5216" s="1587" t="s">
        <v>5585</v>
      </c>
      <c r="M5216" s="291"/>
      <c r="N5216" s="291"/>
      <c r="O5216" s="291"/>
      <c r="P5216" s="291"/>
      <c r="S5216" s="364"/>
      <c r="Z5216" s="609" t="s">
        <v>4433</v>
      </c>
      <c r="AA5216" s="609"/>
    </row>
    <row r="5217" spans="1:27" ht="18">
      <c r="A5217" s="2714"/>
      <c r="B5217" s="371">
        <v>107</v>
      </c>
      <c r="C5217" s="371" t="s">
        <v>2791</v>
      </c>
      <c r="D5217" s="2716">
        <f t="shared" si="561"/>
        <v>1</v>
      </c>
      <c r="E5217" s="2721">
        <v>1</v>
      </c>
      <c r="F5217" s="294"/>
      <c r="G5217" s="1636" t="str">
        <f>"其中："&amp;G5216&amp;"（美元）"</f>
        <v>其中：应收票据（美元）</v>
      </c>
      <c r="H5217" s="309"/>
      <c r="I5217" s="360"/>
      <c r="J5217" s="346"/>
      <c r="M5217" s="291"/>
      <c r="N5217" s="291"/>
      <c r="O5217" s="291"/>
      <c r="P5217" s="291"/>
      <c r="S5217" s="364"/>
      <c r="Z5217" s="609" t="s">
        <v>4433</v>
      </c>
      <c r="AA5217" s="609"/>
    </row>
    <row r="5218" spans="1:27" ht="18">
      <c r="A5218" s="2714"/>
      <c r="B5218" s="371">
        <v>108</v>
      </c>
      <c r="C5218" s="371" t="s">
        <v>2791</v>
      </c>
      <c r="D5218" s="2716">
        <f t="shared" si="561"/>
        <v>1</v>
      </c>
      <c r="E5218" s="2721">
        <v>1</v>
      </c>
      <c r="F5218" s="294"/>
      <c r="G5218" s="1636" t="str">
        <f>G5216&amp;"（欧元）"</f>
        <v>应收票据（欧元）</v>
      </c>
      <c r="H5218" s="309"/>
      <c r="I5218" s="360"/>
      <c r="J5218" s="346"/>
      <c r="M5218" s="291"/>
      <c r="N5218" s="291"/>
      <c r="O5218" s="291"/>
      <c r="P5218" s="291"/>
      <c r="S5218" s="364"/>
      <c r="Z5218" s="609" t="s">
        <v>4433</v>
      </c>
      <c r="AA5218" s="609"/>
    </row>
    <row r="5219" spans="1:27" ht="18">
      <c r="A5219" s="2714"/>
      <c r="B5219" s="371">
        <v>109</v>
      </c>
      <c r="C5219" s="371" t="s">
        <v>2791</v>
      </c>
      <c r="D5219" s="2716">
        <f t="shared" si="561"/>
        <v>1</v>
      </c>
      <c r="E5219" s="2721">
        <v>1</v>
      </c>
      <c r="F5219" s="294"/>
      <c r="G5219" s="1636" t="str">
        <f>G5216&amp;"（港币）"</f>
        <v>应收票据（港币）</v>
      </c>
      <c r="H5219" s="309"/>
      <c r="I5219" s="1638"/>
      <c r="J5219" s="346"/>
      <c r="M5219" s="291"/>
      <c r="N5219" s="291"/>
      <c r="O5219" s="291"/>
      <c r="P5219" s="291"/>
      <c r="S5219" s="364"/>
      <c r="Z5219" s="609" t="s">
        <v>4433</v>
      </c>
      <c r="AA5219" s="609"/>
    </row>
    <row r="5220" spans="1:27" ht="18">
      <c r="A5220" s="2714"/>
      <c r="B5220" s="371">
        <v>110</v>
      </c>
      <c r="C5220" s="371" t="s">
        <v>2791</v>
      </c>
      <c r="D5220" s="2716">
        <f t="shared" si="561"/>
        <v>0</v>
      </c>
      <c r="E5220" s="2721">
        <v>1</v>
      </c>
      <c r="F5220" s="294"/>
      <c r="G5220" s="1504" t="s">
        <v>2792</v>
      </c>
      <c r="H5220" s="309"/>
      <c r="I5220" s="360"/>
      <c r="J5220" s="346"/>
      <c r="M5220" s="291"/>
      <c r="N5220" s="291"/>
      <c r="O5220" s="291"/>
      <c r="P5220" s="291"/>
      <c r="S5220" s="364"/>
      <c r="Z5220" s="609" t="s">
        <v>4433</v>
      </c>
      <c r="AA5220" s="609"/>
    </row>
    <row r="5221" spans="1:27" ht="18">
      <c r="A5221" s="2714"/>
      <c r="B5221" s="371">
        <v>111</v>
      </c>
      <c r="C5221" s="371"/>
      <c r="D5221" s="2716">
        <f t="shared" si="561"/>
        <v>1</v>
      </c>
      <c r="E5221" s="2721" t="s">
        <v>41</v>
      </c>
      <c r="F5221" s="294"/>
      <c r="G5221" s="308" t="s">
        <v>5262</v>
      </c>
      <c r="H5221" s="309"/>
      <c r="I5221" s="360"/>
      <c r="J5221" s="346"/>
      <c r="K5221" s="1587" t="s">
        <v>419</v>
      </c>
      <c r="M5221" s="291"/>
      <c r="N5221" s="291"/>
      <c r="O5221" s="291"/>
      <c r="P5221" s="291"/>
      <c r="S5221" s="364"/>
      <c r="Z5221" s="609" t="s">
        <v>4433</v>
      </c>
      <c r="AA5221" s="609"/>
    </row>
    <row r="5222" spans="1:27" ht="18">
      <c r="A5222" s="2714"/>
      <c r="B5222" s="371">
        <v>112</v>
      </c>
      <c r="C5222" s="371" t="s">
        <v>2791</v>
      </c>
      <c r="D5222" s="2716">
        <f t="shared" si="561"/>
        <v>1</v>
      </c>
      <c r="E5222" s="2721">
        <v>1</v>
      </c>
      <c r="F5222" s="294"/>
      <c r="G5222" s="1497" t="str">
        <f>"其中："&amp;G5221&amp;"（美元）"</f>
        <v>其中：应收账款（美元）</v>
      </c>
      <c r="H5222" s="309"/>
      <c r="I5222" s="360"/>
      <c r="J5222" s="346"/>
      <c r="M5222" s="291"/>
      <c r="N5222" s="291"/>
      <c r="O5222" s="291"/>
      <c r="P5222" s="291"/>
      <c r="S5222" s="364"/>
      <c r="Z5222" s="609" t="s">
        <v>4433</v>
      </c>
      <c r="AA5222" s="609"/>
    </row>
    <row r="5223" spans="1:27" ht="18">
      <c r="A5223" s="2714"/>
      <c r="B5223" s="371">
        <v>113</v>
      </c>
      <c r="C5223" s="371" t="s">
        <v>2791</v>
      </c>
      <c r="D5223" s="2716">
        <f t="shared" si="561"/>
        <v>1</v>
      </c>
      <c r="E5223" s="2721">
        <v>1</v>
      </c>
      <c r="F5223" s="294"/>
      <c r="G5223" s="1497" t="str">
        <f>G5221&amp;"（欧元）"</f>
        <v>应收账款（欧元）</v>
      </c>
      <c r="H5223" s="309"/>
      <c r="I5223" s="360"/>
      <c r="J5223" s="346"/>
      <c r="M5223" s="291"/>
      <c r="N5223" s="291"/>
      <c r="O5223" s="291"/>
      <c r="P5223" s="291"/>
      <c r="S5223" s="364"/>
      <c r="Z5223" s="609" t="s">
        <v>4433</v>
      </c>
      <c r="AA5223" s="609"/>
    </row>
    <row r="5224" spans="1:27" ht="18">
      <c r="A5224" s="2714"/>
      <c r="B5224" s="371">
        <v>114</v>
      </c>
      <c r="C5224" s="371" t="s">
        <v>2791</v>
      </c>
      <c r="D5224" s="2716">
        <f t="shared" si="561"/>
        <v>1</v>
      </c>
      <c r="E5224" s="2721">
        <v>1</v>
      </c>
      <c r="F5224" s="294"/>
      <c r="G5224" s="1497" t="str">
        <f>G5221&amp;"（港币）"</f>
        <v>应收账款（港币）</v>
      </c>
      <c r="H5224" s="309"/>
      <c r="I5224" s="360"/>
      <c r="J5224" s="346"/>
      <c r="M5224" s="291"/>
      <c r="N5224" s="291"/>
      <c r="O5224" s="291"/>
      <c r="P5224" s="291"/>
      <c r="S5224" s="364"/>
      <c r="Z5224" s="609" t="s">
        <v>4433</v>
      </c>
      <c r="AA5224" s="609"/>
    </row>
    <row r="5225" spans="1:27" ht="18">
      <c r="A5225" s="2714"/>
      <c r="B5225" s="371">
        <v>115</v>
      </c>
      <c r="C5225" s="371" t="s">
        <v>2791</v>
      </c>
      <c r="D5225" s="2716">
        <f t="shared" si="561"/>
        <v>0</v>
      </c>
      <c r="E5225" s="2721">
        <v>1</v>
      </c>
      <c r="F5225" s="294"/>
      <c r="G5225" s="1504" t="s">
        <v>2792</v>
      </c>
      <c r="H5225" s="309"/>
      <c r="I5225" s="360"/>
      <c r="J5225" s="346"/>
      <c r="M5225" s="291"/>
      <c r="N5225" s="291"/>
      <c r="O5225" s="291"/>
      <c r="P5225" s="291"/>
      <c r="S5225" s="364"/>
      <c r="Z5225" s="609" t="s">
        <v>4433</v>
      </c>
      <c r="AA5225" s="609"/>
    </row>
    <row r="5226" spans="1:27" ht="18">
      <c r="A5226" s="2714"/>
      <c r="B5226" s="371">
        <v>116</v>
      </c>
      <c r="C5226" s="371"/>
      <c r="D5226" s="2716">
        <f t="shared" si="561"/>
        <v>1</v>
      </c>
      <c r="E5226" s="2721" t="s">
        <v>41</v>
      </c>
      <c r="F5226" s="294"/>
      <c r="G5226" s="308" t="s">
        <v>5615</v>
      </c>
      <c r="H5226" s="309"/>
      <c r="I5226" s="360"/>
      <c r="J5226" s="346"/>
      <c r="K5226" s="1587" t="s">
        <v>629</v>
      </c>
      <c r="M5226" s="291"/>
      <c r="N5226" s="291"/>
      <c r="O5226" s="291"/>
      <c r="P5226" s="291"/>
      <c r="S5226" s="364"/>
      <c r="Z5226" s="609" t="s">
        <v>4433</v>
      </c>
      <c r="AA5226" s="609"/>
    </row>
    <row r="5227" spans="1:27" ht="18">
      <c r="A5227" s="2714"/>
      <c r="B5227" s="371">
        <v>117</v>
      </c>
      <c r="C5227" s="371" t="s">
        <v>2791</v>
      </c>
      <c r="D5227" s="2716">
        <f t="shared" si="561"/>
        <v>1</v>
      </c>
      <c r="E5227" s="2721">
        <v>1</v>
      </c>
      <c r="F5227" s="294"/>
      <c r="G5227" s="1497" t="str">
        <f>"其中："&amp;G5226&amp;"（美元）"</f>
        <v>其中：其他应收款（美元）</v>
      </c>
      <c r="H5227" s="309"/>
      <c r="I5227" s="360"/>
      <c r="J5227" s="346"/>
      <c r="M5227" s="291"/>
      <c r="N5227" s="291"/>
      <c r="O5227" s="291"/>
      <c r="P5227" s="291"/>
      <c r="S5227" s="364"/>
      <c r="Z5227" s="609" t="s">
        <v>4433</v>
      </c>
      <c r="AA5227" s="609"/>
    </row>
    <row r="5228" spans="1:27" ht="18">
      <c r="A5228" s="2714"/>
      <c r="B5228" s="371">
        <v>118</v>
      </c>
      <c r="C5228" s="371" t="s">
        <v>2791</v>
      </c>
      <c r="D5228" s="2716">
        <f t="shared" si="561"/>
        <v>1</v>
      </c>
      <c r="E5228" s="2721">
        <v>1</v>
      </c>
      <c r="F5228" s="294"/>
      <c r="G5228" s="1497" t="str">
        <f>G5226&amp;"（欧元）"</f>
        <v>其他应收款（欧元）</v>
      </c>
      <c r="H5228" s="309"/>
      <c r="I5228" s="360"/>
      <c r="J5228" s="346"/>
      <c r="M5228" s="291"/>
      <c r="N5228" s="291"/>
      <c r="O5228" s="291"/>
      <c r="P5228" s="291"/>
      <c r="S5228" s="364"/>
      <c r="Z5228" s="609" t="s">
        <v>4433</v>
      </c>
      <c r="AA5228" s="609"/>
    </row>
    <row r="5229" spans="1:27" ht="18">
      <c r="A5229" s="2714"/>
      <c r="B5229" s="371">
        <v>119</v>
      </c>
      <c r="C5229" s="371" t="s">
        <v>2791</v>
      </c>
      <c r="D5229" s="2716">
        <f t="shared" si="561"/>
        <v>1</v>
      </c>
      <c r="E5229" s="2721">
        <v>1</v>
      </c>
      <c r="F5229" s="294"/>
      <c r="G5229" s="1497" t="str">
        <f>G5226&amp;"（港币）"</f>
        <v>其他应收款（港币）</v>
      </c>
      <c r="H5229" s="309"/>
      <c r="I5229" s="360"/>
      <c r="J5229" s="346"/>
      <c r="M5229" s="291"/>
      <c r="N5229" s="291"/>
      <c r="O5229" s="291"/>
      <c r="P5229" s="291"/>
      <c r="S5229" s="364"/>
      <c r="Z5229" s="609" t="s">
        <v>4433</v>
      </c>
      <c r="AA5229" s="609"/>
    </row>
    <row r="5230" spans="1:27" ht="18">
      <c r="A5230" s="2714"/>
      <c r="B5230" s="371">
        <v>120</v>
      </c>
      <c r="C5230" s="371" t="s">
        <v>2791</v>
      </c>
      <c r="D5230" s="2716">
        <f t="shared" si="561"/>
        <v>0</v>
      </c>
      <c r="E5230" s="2721">
        <v>1</v>
      </c>
      <c r="F5230" s="294"/>
      <c r="G5230" s="1504" t="s">
        <v>2792</v>
      </c>
      <c r="H5230" s="309"/>
      <c r="I5230" s="360"/>
      <c r="J5230" s="346"/>
      <c r="M5230" s="291"/>
      <c r="N5230" s="291"/>
      <c r="O5230" s="291"/>
      <c r="P5230" s="291"/>
      <c r="S5230" s="364"/>
      <c r="Z5230" s="609" t="s">
        <v>4433</v>
      </c>
      <c r="AA5230" s="609"/>
    </row>
    <row r="5231" spans="1:27" ht="18">
      <c r="A5231" s="2714"/>
      <c r="B5231" s="371">
        <v>121</v>
      </c>
      <c r="C5231" s="371"/>
      <c r="D5231" s="2716">
        <f t="shared" si="561"/>
        <v>1</v>
      </c>
      <c r="E5231" s="2721" t="s">
        <v>41</v>
      </c>
      <c r="F5231" s="294"/>
      <c r="G5231" s="308" t="s">
        <v>5255</v>
      </c>
      <c r="H5231" s="2329">
        <v>0</v>
      </c>
      <c r="I5231" s="360"/>
      <c r="J5231" s="2694">
        <v>0</v>
      </c>
      <c r="K5231" s="1587" t="s">
        <v>5587</v>
      </c>
      <c r="M5231" s="291"/>
      <c r="N5231" s="291"/>
      <c r="O5231" s="291"/>
      <c r="P5231" s="291"/>
      <c r="S5231" s="364"/>
      <c r="Z5231" s="609" t="s">
        <v>4433</v>
      </c>
      <c r="AA5231" s="609"/>
    </row>
    <row r="5232" spans="1:27" ht="24">
      <c r="A5232" s="2714"/>
      <c r="B5232" s="371">
        <v>122</v>
      </c>
      <c r="C5232" s="371" t="s">
        <v>2791</v>
      </c>
      <c r="D5232" s="2716">
        <f t="shared" si="561"/>
        <v>1</v>
      </c>
      <c r="E5232" s="2721">
        <v>1</v>
      </c>
      <c r="F5232" s="294"/>
      <c r="G5232" s="1497" t="str">
        <f>"其中："&amp;G5231&amp;"（美元）"</f>
        <v>其中：持有至到期投资（美元）</v>
      </c>
      <c r="H5232" s="2329">
        <v>0</v>
      </c>
      <c r="I5232" s="360"/>
      <c r="J5232" s="2695">
        <v>0</v>
      </c>
      <c r="M5232" s="291"/>
      <c r="N5232" s="291"/>
      <c r="O5232" s="291"/>
      <c r="P5232" s="291"/>
      <c r="S5232" s="364"/>
      <c r="Z5232" s="609" t="s">
        <v>4433</v>
      </c>
      <c r="AA5232" s="609"/>
    </row>
    <row r="5233" spans="1:27" ht="18">
      <c r="A5233" s="2714"/>
      <c r="B5233" s="371">
        <v>123</v>
      </c>
      <c r="C5233" s="371" t="s">
        <v>2791</v>
      </c>
      <c r="D5233" s="2716">
        <f t="shared" si="561"/>
        <v>1</v>
      </c>
      <c r="E5233" s="2721">
        <v>1</v>
      </c>
      <c r="F5233" s="294"/>
      <c r="G5233" s="1497" t="str">
        <f>G5231&amp;"（欧元）"</f>
        <v>持有至到期投资（欧元）</v>
      </c>
      <c r="H5233" s="2329">
        <v>0</v>
      </c>
      <c r="I5233" s="360"/>
      <c r="J5233" s="2695">
        <v>0</v>
      </c>
      <c r="M5233" s="291"/>
      <c r="N5233" s="291"/>
      <c r="O5233" s="291"/>
      <c r="P5233" s="291"/>
      <c r="S5233" s="364"/>
      <c r="Z5233" s="609" t="s">
        <v>4433</v>
      </c>
      <c r="AA5233" s="609"/>
    </row>
    <row r="5234" spans="1:27" ht="18">
      <c r="A5234" s="2714"/>
      <c r="B5234" s="371">
        <v>124</v>
      </c>
      <c r="C5234" s="371" t="s">
        <v>6533</v>
      </c>
      <c r="D5234" s="2716">
        <f t="shared" si="561"/>
        <v>1</v>
      </c>
      <c r="E5234" s="2721">
        <v>1</v>
      </c>
      <c r="F5234" s="294"/>
      <c r="G5234" s="1497" t="str">
        <f>G5231&amp;"（港币）"</f>
        <v>持有至到期投资（港币）</v>
      </c>
      <c r="H5234" s="2329">
        <v>0</v>
      </c>
      <c r="I5234" s="360"/>
      <c r="J5234" s="2695">
        <v>0</v>
      </c>
      <c r="M5234" s="291"/>
      <c r="N5234" s="291"/>
      <c r="O5234" s="291"/>
      <c r="P5234" s="291"/>
      <c r="S5234" s="364"/>
      <c r="Z5234" s="609" t="s">
        <v>4433</v>
      </c>
      <c r="AA5234" s="609"/>
    </row>
    <row r="5235" spans="1:27" ht="18">
      <c r="A5235" s="2714"/>
      <c r="B5235" s="371">
        <v>125</v>
      </c>
      <c r="C5235" s="371" t="s">
        <v>2791</v>
      </c>
      <c r="D5235" s="2716">
        <f t="shared" si="561"/>
        <v>0</v>
      </c>
      <c r="E5235" s="2721">
        <v>1</v>
      </c>
      <c r="F5235" s="294"/>
      <c r="G5235" s="1504" t="s">
        <v>2792</v>
      </c>
      <c r="H5235" s="2329">
        <v>0</v>
      </c>
      <c r="I5235" s="360"/>
      <c r="J5235" s="2696">
        <v>0</v>
      </c>
      <c r="M5235" s="291"/>
      <c r="N5235" s="291"/>
      <c r="O5235" s="291"/>
      <c r="P5235" s="291"/>
      <c r="S5235" s="364"/>
      <c r="Z5235" s="609" t="s">
        <v>4433</v>
      </c>
      <c r="AA5235" s="609"/>
    </row>
    <row r="5236" spans="1:27" ht="18">
      <c r="A5236" s="2714"/>
      <c r="B5236" s="371">
        <v>126</v>
      </c>
      <c r="C5236" s="371"/>
      <c r="D5236" s="2716">
        <f t="shared" si="561"/>
        <v>1</v>
      </c>
      <c r="E5236" s="2721" t="s">
        <v>41</v>
      </c>
      <c r="F5236" s="294"/>
      <c r="G5236" s="2589" t="s">
        <v>6177</v>
      </c>
      <c r="H5236" s="309"/>
      <c r="I5236" s="360"/>
      <c r="J5236" s="346"/>
      <c r="K5236" s="1587" t="s">
        <v>977</v>
      </c>
      <c r="M5236" s="291"/>
      <c r="N5236" s="291"/>
      <c r="O5236" s="291"/>
      <c r="P5236" s="291"/>
      <c r="S5236" s="364"/>
      <c r="Z5236" s="609" t="s">
        <v>4433</v>
      </c>
      <c r="AA5236" s="609"/>
    </row>
    <row r="5237" spans="1:27" ht="18">
      <c r="A5237" s="2714"/>
      <c r="B5237" s="371">
        <v>127</v>
      </c>
      <c r="C5237" s="371" t="s">
        <v>2791</v>
      </c>
      <c r="D5237" s="2716">
        <f t="shared" si="561"/>
        <v>1</v>
      </c>
      <c r="E5237" s="2721">
        <v>1</v>
      </c>
      <c r="F5237" s="294"/>
      <c r="G5237" s="1504" t="str">
        <f>"其中："&amp;G5236&amp;"（美元）"</f>
        <v>其中：长期应收款（美元）</v>
      </c>
      <c r="H5237" s="309"/>
      <c r="I5237" s="360"/>
      <c r="J5237" s="346"/>
      <c r="M5237" s="291"/>
      <c r="N5237" s="291"/>
      <c r="O5237" s="291"/>
      <c r="P5237" s="291"/>
      <c r="S5237" s="364"/>
      <c r="Z5237" s="609" t="s">
        <v>4433</v>
      </c>
      <c r="AA5237" s="609"/>
    </row>
    <row r="5238" spans="1:27" ht="18">
      <c r="A5238" s="2714"/>
      <c r="B5238" s="371">
        <v>128</v>
      </c>
      <c r="C5238" s="371" t="s">
        <v>2791</v>
      </c>
      <c r="D5238" s="2716">
        <f t="shared" si="561"/>
        <v>1</v>
      </c>
      <c r="E5238" s="2721">
        <v>1</v>
      </c>
      <c r="F5238" s="294"/>
      <c r="G5238" s="1504" t="str">
        <f>G5236&amp;"（欧元）"</f>
        <v>长期应收款（欧元）</v>
      </c>
      <c r="H5238" s="309"/>
      <c r="I5238" s="360"/>
      <c r="J5238" s="346"/>
      <c r="M5238" s="291"/>
      <c r="N5238" s="291"/>
      <c r="O5238" s="291"/>
      <c r="P5238" s="291"/>
      <c r="S5238" s="364"/>
      <c r="Z5238" s="609" t="s">
        <v>4433</v>
      </c>
      <c r="AA5238" s="609"/>
    </row>
    <row r="5239" spans="1:27" ht="18">
      <c r="A5239" s="2714"/>
      <c r="B5239" s="371">
        <v>129</v>
      </c>
      <c r="C5239" s="371" t="s">
        <v>2791</v>
      </c>
      <c r="D5239" s="2716">
        <f t="shared" si="561"/>
        <v>1</v>
      </c>
      <c r="E5239" s="2721">
        <v>1</v>
      </c>
      <c r="F5239" s="294"/>
      <c r="G5239" s="1504" t="str">
        <f>G5236&amp;"（港币）"</f>
        <v>长期应收款（港币）</v>
      </c>
      <c r="H5239" s="309"/>
      <c r="I5239" s="360"/>
      <c r="J5239" s="346"/>
      <c r="M5239" s="291"/>
      <c r="N5239" s="291"/>
      <c r="O5239" s="291"/>
      <c r="P5239" s="291"/>
      <c r="S5239" s="364"/>
      <c r="Z5239" s="609" t="s">
        <v>4433</v>
      </c>
      <c r="AA5239" s="609"/>
    </row>
    <row r="5240" spans="1:27" ht="18">
      <c r="A5240" s="2714"/>
      <c r="B5240" s="371">
        <v>130</v>
      </c>
      <c r="C5240" s="371" t="s">
        <v>2791</v>
      </c>
      <c r="D5240" s="2716">
        <f t="shared" si="561"/>
        <v>0</v>
      </c>
      <c r="E5240" s="2721">
        <v>1</v>
      </c>
      <c r="F5240" s="294"/>
      <c r="G5240" s="1504" t="s">
        <v>2792</v>
      </c>
      <c r="H5240" s="309"/>
      <c r="I5240" s="360"/>
      <c r="J5240" s="346"/>
      <c r="M5240" s="291"/>
      <c r="N5240" s="291"/>
      <c r="O5240" s="291"/>
      <c r="P5240" s="291"/>
      <c r="S5240" s="364"/>
      <c r="Z5240" s="609" t="s">
        <v>4433</v>
      </c>
      <c r="AA5240" s="609"/>
    </row>
    <row r="5241" spans="1:27" ht="18">
      <c r="A5241" s="2714"/>
      <c r="B5241" s="371">
        <v>132</v>
      </c>
      <c r="C5241" s="371"/>
      <c r="D5241" s="2716">
        <f t="shared" si="561"/>
        <v>1</v>
      </c>
      <c r="E5241" s="2721" t="s">
        <v>41</v>
      </c>
      <c r="F5241" s="294"/>
      <c r="G5241" s="308" t="s">
        <v>5256</v>
      </c>
      <c r="H5241" s="309"/>
      <c r="I5241" s="360"/>
      <c r="J5241" s="346"/>
      <c r="K5241" s="1587" t="s">
        <v>1437</v>
      </c>
      <c r="M5241" s="291"/>
      <c r="N5241" s="291"/>
      <c r="O5241" s="291"/>
      <c r="P5241" s="291"/>
      <c r="S5241" s="364"/>
      <c r="Z5241" s="609" t="s">
        <v>4433</v>
      </c>
      <c r="AA5241" s="609"/>
    </row>
    <row r="5242" spans="1:27" ht="18">
      <c r="A5242" s="2714"/>
      <c r="B5242" s="371">
        <v>133</v>
      </c>
      <c r="C5242" s="371" t="s">
        <v>2791</v>
      </c>
      <c r="D5242" s="2716">
        <f t="shared" si="561"/>
        <v>1</v>
      </c>
      <c r="E5242" s="2721">
        <v>1</v>
      </c>
      <c r="F5242" s="294"/>
      <c r="G5242" s="1497" t="str">
        <f>"其中："&amp;G5241&amp;"（美元）"</f>
        <v>其中：应付账款（美元）</v>
      </c>
      <c r="H5242" s="309"/>
      <c r="I5242" s="360"/>
      <c r="J5242" s="346"/>
      <c r="M5242" s="291"/>
      <c r="N5242" s="291"/>
      <c r="O5242" s="291"/>
      <c r="P5242" s="291"/>
      <c r="S5242" s="364"/>
      <c r="Z5242" s="609" t="s">
        <v>4433</v>
      </c>
      <c r="AA5242" s="609"/>
    </row>
    <row r="5243" spans="1:27" ht="18">
      <c r="A5243" s="2714"/>
      <c r="B5243" s="371">
        <v>134</v>
      </c>
      <c r="C5243" s="371" t="s">
        <v>2791</v>
      </c>
      <c r="D5243" s="2716">
        <f t="shared" ref="D5243:D5272" si="562">IF(OR(G5243="*",G5243="",G5243=0),0,COUNTIF($G$5211:$G$5272,G5243))</f>
        <v>1</v>
      </c>
      <c r="E5243" s="2721">
        <v>1</v>
      </c>
      <c r="F5243" s="294"/>
      <c r="G5243" s="1497" t="str">
        <f>G5241&amp;"（欧元）"</f>
        <v>应付账款（欧元）</v>
      </c>
      <c r="H5243" s="309"/>
      <c r="I5243" s="360"/>
      <c r="J5243" s="346"/>
      <c r="M5243" s="291"/>
      <c r="N5243" s="291"/>
      <c r="O5243" s="291"/>
      <c r="P5243" s="291"/>
      <c r="S5243" s="364"/>
      <c r="Z5243" s="609" t="s">
        <v>4433</v>
      </c>
      <c r="AA5243" s="609"/>
    </row>
    <row r="5244" spans="1:27" ht="18">
      <c r="A5244" s="2714"/>
      <c r="B5244" s="371">
        <v>135</v>
      </c>
      <c r="C5244" s="371" t="s">
        <v>2791</v>
      </c>
      <c r="D5244" s="2716">
        <f t="shared" si="562"/>
        <v>1</v>
      </c>
      <c r="E5244" s="2721">
        <v>1</v>
      </c>
      <c r="F5244" s="294"/>
      <c r="G5244" s="1497" t="str">
        <f>G5241&amp;"（港币）"</f>
        <v>应付账款（港币）</v>
      </c>
      <c r="H5244" s="309"/>
      <c r="I5244" s="360"/>
      <c r="J5244" s="346"/>
      <c r="M5244" s="291"/>
      <c r="N5244" s="291"/>
      <c r="O5244" s="291"/>
      <c r="P5244" s="291"/>
      <c r="S5244" s="364"/>
      <c r="Z5244" s="609" t="s">
        <v>4433</v>
      </c>
      <c r="AA5244" s="609"/>
    </row>
    <row r="5245" spans="1:27" ht="18">
      <c r="A5245" s="2714"/>
      <c r="B5245" s="371">
        <v>136</v>
      </c>
      <c r="C5245" s="371" t="s">
        <v>2791</v>
      </c>
      <c r="D5245" s="2716">
        <f t="shared" si="562"/>
        <v>0</v>
      </c>
      <c r="E5245" s="2721">
        <v>1</v>
      </c>
      <c r="F5245" s="294"/>
      <c r="G5245" s="1504" t="s">
        <v>2792</v>
      </c>
      <c r="H5245" s="309"/>
      <c r="I5245" s="360"/>
      <c r="J5245" s="346"/>
      <c r="M5245" s="291"/>
      <c r="N5245" s="291"/>
      <c r="O5245" s="291"/>
      <c r="P5245" s="291"/>
      <c r="S5245" s="364"/>
      <c r="Z5245" s="609" t="s">
        <v>4433</v>
      </c>
      <c r="AA5245" s="609"/>
    </row>
    <row r="5246" spans="1:27" ht="18">
      <c r="A5246" s="2714"/>
      <c r="B5246" s="371">
        <v>137</v>
      </c>
      <c r="C5246" s="371"/>
      <c r="D5246" s="2716">
        <f t="shared" si="562"/>
        <v>1</v>
      </c>
      <c r="E5246" s="2721" t="s">
        <v>41</v>
      </c>
      <c r="F5246" s="294"/>
      <c r="G5246" s="308" t="s">
        <v>5257</v>
      </c>
      <c r="H5246" s="309"/>
      <c r="I5246" s="360"/>
      <c r="J5246" s="346"/>
      <c r="K5246" s="1587" t="s">
        <v>1584</v>
      </c>
      <c r="M5246" s="291"/>
      <c r="N5246" s="291"/>
      <c r="O5246" s="291"/>
      <c r="P5246" s="291"/>
      <c r="S5246" s="364"/>
      <c r="Z5246" s="609" t="s">
        <v>4433</v>
      </c>
      <c r="AA5246" s="609"/>
    </row>
    <row r="5247" spans="1:27" ht="18">
      <c r="A5247" s="2714"/>
      <c r="B5247" s="371">
        <v>138</v>
      </c>
      <c r="C5247" s="371" t="s">
        <v>2791</v>
      </c>
      <c r="D5247" s="2716">
        <f t="shared" si="562"/>
        <v>1</v>
      </c>
      <c r="E5247" s="2721">
        <v>1</v>
      </c>
      <c r="F5247" s="294"/>
      <c r="G5247" s="1497" t="str">
        <f>"其中："&amp;G5246&amp;"（美元）"</f>
        <v>其中：其他应付款（美元）</v>
      </c>
      <c r="H5247" s="309"/>
      <c r="I5247" s="360"/>
      <c r="J5247" s="346"/>
      <c r="M5247" s="291"/>
      <c r="N5247" s="291"/>
      <c r="O5247" s="291"/>
      <c r="P5247" s="291"/>
      <c r="S5247" s="364"/>
      <c r="Z5247" s="609" t="s">
        <v>4433</v>
      </c>
      <c r="AA5247" s="609"/>
    </row>
    <row r="5248" spans="1:27" ht="18">
      <c r="A5248" s="2714"/>
      <c r="B5248" s="371">
        <v>139</v>
      </c>
      <c r="C5248" s="371" t="s">
        <v>2791</v>
      </c>
      <c r="D5248" s="2716">
        <f t="shared" si="562"/>
        <v>1</v>
      </c>
      <c r="E5248" s="2721">
        <v>1</v>
      </c>
      <c r="F5248" s="294"/>
      <c r="G5248" s="1497" t="str">
        <f>G5246&amp;"（欧元）"</f>
        <v>其他应付款（欧元）</v>
      </c>
      <c r="H5248" s="309"/>
      <c r="I5248" s="360"/>
      <c r="J5248" s="346"/>
      <c r="M5248" s="291"/>
      <c r="N5248" s="291"/>
      <c r="O5248" s="291"/>
      <c r="P5248" s="291"/>
      <c r="S5248" s="364"/>
      <c r="Z5248" s="609" t="s">
        <v>4433</v>
      </c>
      <c r="AA5248" s="609"/>
    </row>
    <row r="5249" spans="1:27" ht="18">
      <c r="A5249" s="2714"/>
      <c r="B5249" s="371">
        <v>140</v>
      </c>
      <c r="C5249" s="371" t="s">
        <v>2791</v>
      </c>
      <c r="D5249" s="2716">
        <f t="shared" si="562"/>
        <v>1</v>
      </c>
      <c r="E5249" s="2721">
        <v>1</v>
      </c>
      <c r="F5249" s="294"/>
      <c r="G5249" s="1497" t="str">
        <f>G5246&amp;"（港币）"</f>
        <v>其他应付款（港币）</v>
      </c>
      <c r="H5249" s="309"/>
      <c r="I5249" s="360"/>
      <c r="J5249" s="346"/>
      <c r="M5249" s="291"/>
      <c r="N5249" s="291"/>
      <c r="O5249" s="291"/>
      <c r="P5249" s="291"/>
      <c r="S5249" s="364"/>
      <c r="Z5249" s="609" t="s">
        <v>4433</v>
      </c>
      <c r="AA5249" s="609"/>
    </row>
    <row r="5250" spans="1:27" ht="18">
      <c r="A5250" s="2714"/>
      <c r="B5250" s="371">
        <v>141</v>
      </c>
      <c r="C5250" s="371" t="s">
        <v>2791</v>
      </c>
      <c r="D5250" s="2716">
        <f t="shared" si="562"/>
        <v>0</v>
      </c>
      <c r="E5250" s="2721">
        <v>1</v>
      </c>
      <c r="F5250" s="294"/>
      <c r="G5250" s="1504" t="s">
        <v>2792</v>
      </c>
      <c r="H5250" s="309"/>
      <c r="I5250" s="360"/>
      <c r="J5250" s="346"/>
      <c r="M5250" s="291"/>
      <c r="N5250" s="291"/>
      <c r="O5250" s="291"/>
      <c r="P5250" s="291"/>
      <c r="S5250" s="364"/>
      <c r="Z5250" s="609" t="s">
        <v>4433</v>
      </c>
      <c r="AA5250" s="609"/>
    </row>
    <row r="5251" spans="1:27" ht="18">
      <c r="A5251" s="2714"/>
      <c r="B5251" s="371">
        <v>142</v>
      </c>
      <c r="C5251" s="371"/>
      <c r="D5251" s="2716">
        <f t="shared" si="562"/>
        <v>1</v>
      </c>
      <c r="E5251" s="2721" t="s">
        <v>41</v>
      </c>
      <c r="F5251" s="294"/>
      <c r="G5251" s="308" t="s">
        <v>5258</v>
      </c>
      <c r="H5251" s="309"/>
      <c r="I5251" s="360"/>
      <c r="J5251" s="346"/>
      <c r="K5251" s="1587" t="s">
        <v>1385</v>
      </c>
      <c r="M5251" s="291"/>
      <c r="N5251" s="291"/>
      <c r="O5251" s="291"/>
      <c r="P5251" s="291"/>
      <c r="S5251" s="364"/>
      <c r="Z5251" s="609" t="s">
        <v>4433</v>
      </c>
      <c r="AA5251" s="609"/>
    </row>
    <row r="5252" spans="1:27" ht="18">
      <c r="A5252" s="2714"/>
      <c r="B5252" s="371">
        <v>143</v>
      </c>
      <c r="C5252" s="371" t="s">
        <v>2791</v>
      </c>
      <c r="D5252" s="2716">
        <f t="shared" si="562"/>
        <v>1</v>
      </c>
      <c r="E5252" s="2721">
        <v>1</v>
      </c>
      <c r="F5252" s="294"/>
      <c r="G5252" s="1497" t="str">
        <f>"其中："&amp;G5251&amp;"（美元）"</f>
        <v>其中：短期借款（美元）</v>
      </c>
      <c r="H5252" s="309"/>
      <c r="I5252" s="360"/>
      <c r="J5252" s="346"/>
      <c r="M5252" s="291"/>
      <c r="N5252" s="291"/>
      <c r="O5252" s="291"/>
      <c r="P5252" s="291"/>
      <c r="S5252" s="364"/>
      <c r="Z5252" s="609" t="s">
        <v>4433</v>
      </c>
      <c r="AA5252" s="609"/>
    </row>
    <row r="5253" spans="1:27" ht="18">
      <c r="A5253" s="2714"/>
      <c r="B5253" s="371">
        <v>144</v>
      </c>
      <c r="C5253" s="371" t="s">
        <v>2791</v>
      </c>
      <c r="D5253" s="2716">
        <f t="shared" si="562"/>
        <v>1</v>
      </c>
      <c r="E5253" s="2721">
        <v>1</v>
      </c>
      <c r="F5253" s="294"/>
      <c r="G5253" s="1497" t="str">
        <f>G5251&amp;"（欧元）"</f>
        <v>短期借款（欧元）</v>
      </c>
      <c r="H5253" s="309"/>
      <c r="I5253" s="360"/>
      <c r="J5253" s="346"/>
      <c r="M5253" s="291"/>
      <c r="N5253" s="291"/>
      <c r="O5253" s="291"/>
      <c r="P5253" s="291"/>
      <c r="S5253" s="364"/>
      <c r="Z5253" s="609" t="s">
        <v>4433</v>
      </c>
      <c r="AA5253" s="609"/>
    </row>
    <row r="5254" spans="1:27" ht="18">
      <c r="A5254" s="2714"/>
      <c r="B5254" s="371">
        <v>145</v>
      </c>
      <c r="C5254" s="371" t="s">
        <v>2791</v>
      </c>
      <c r="D5254" s="2716">
        <f t="shared" si="562"/>
        <v>1</v>
      </c>
      <c r="E5254" s="2721">
        <v>1</v>
      </c>
      <c r="F5254" s="294"/>
      <c r="G5254" s="1497" t="str">
        <f>G5251&amp;"（港币）"</f>
        <v>短期借款（港币）</v>
      </c>
      <c r="H5254" s="309"/>
      <c r="I5254" s="360"/>
      <c r="J5254" s="346"/>
      <c r="M5254" s="291"/>
      <c r="N5254" s="291"/>
      <c r="O5254" s="291"/>
      <c r="P5254" s="291"/>
      <c r="S5254" s="364"/>
      <c r="Z5254" s="609" t="s">
        <v>4433</v>
      </c>
      <c r="AA5254" s="609"/>
    </row>
    <row r="5255" spans="1:27" ht="18">
      <c r="A5255" s="2714"/>
      <c r="B5255" s="371">
        <v>146</v>
      </c>
      <c r="C5255" s="371" t="s">
        <v>6533</v>
      </c>
      <c r="D5255" s="2716">
        <f t="shared" si="562"/>
        <v>0</v>
      </c>
      <c r="E5255" s="2721">
        <v>1</v>
      </c>
      <c r="F5255" s="294"/>
      <c r="G5255" s="1504" t="s">
        <v>2792</v>
      </c>
      <c r="H5255" s="309"/>
      <c r="I5255" s="360"/>
      <c r="J5255" s="346"/>
      <c r="M5255" s="291"/>
      <c r="N5255" s="291"/>
      <c r="O5255" s="291"/>
      <c r="P5255" s="291"/>
      <c r="S5255" s="364"/>
      <c r="Z5255" s="609" t="s">
        <v>4433</v>
      </c>
      <c r="AA5255" s="609"/>
    </row>
    <row r="5256" spans="1:27" ht="18">
      <c r="A5256" s="2714"/>
      <c r="B5256" s="371">
        <v>147</v>
      </c>
      <c r="C5256" s="371"/>
      <c r="D5256" s="2716">
        <f t="shared" si="562"/>
        <v>1</v>
      </c>
      <c r="E5256" s="2721" t="s">
        <v>41</v>
      </c>
      <c r="F5256" s="294"/>
      <c r="G5256" s="308" t="s">
        <v>5259</v>
      </c>
      <c r="H5256" s="309"/>
      <c r="I5256" s="360"/>
      <c r="J5256" s="346"/>
      <c r="K5256" s="1587" t="s">
        <v>5589</v>
      </c>
      <c r="M5256" s="291"/>
      <c r="N5256" s="291"/>
      <c r="O5256" s="291"/>
      <c r="P5256" s="291"/>
      <c r="S5256" s="364"/>
      <c r="Z5256" s="609" t="s">
        <v>4433</v>
      </c>
      <c r="AA5256" s="609"/>
    </row>
    <row r="5257" spans="1:27" ht="18">
      <c r="A5257" s="2714"/>
      <c r="B5257" s="371">
        <v>148</v>
      </c>
      <c r="C5257" s="371" t="s">
        <v>2791</v>
      </c>
      <c r="D5257" s="2716">
        <f t="shared" si="562"/>
        <v>1</v>
      </c>
      <c r="E5257" s="2721">
        <v>1</v>
      </c>
      <c r="F5257" s="294"/>
      <c r="G5257" s="1497" t="str">
        <f>"其中："&amp;G5256&amp;"（美元）"</f>
        <v>其中：应付债券（美元）</v>
      </c>
      <c r="H5257" s="309"/>
      <c r="I5257" s="360"/>
      <c r="J5257" s="346"/>
      <c r="M5257" s="291"/>
      <c r="N5257" s="291"/>
      <c r="O5257" s="291"/>
      <c r="P5257" s="291"/>
      <c r="S5257" s="364"/>
      <c r="Z5257" s="609" t="s">
        <v>4433</v>
      </c>
      <c r="AA5257" s="609"/>
    </row>
    <row r="5258" spans="1:27" ht="18">
      <c r="A5258" s="2714"/>
      <c r="B5258" s="371">
        <v>149</v>
      </c>
      <c r="C5258" s="371" t="s">
        <v>2791</v>
      </c>
      <c r="D5258" s="2716">
        <f t="shared" si="562"/>
        <v>1</v>
      </c>
      <c r="E5258" s="2721">
        <v>1</v>
      </c>
      <c r="F5258" s="294"/>
      <c r="G5258" s="1497" t="str">
        <f>G5256&amp;"（欧元）"</f>
        <v>应付债券（欧元）</v>
      </c>
      <c r="H5258" s="309"/>
      <c r="I5258" s="360"/>
      <c r="J5258" s="346"/>
      <c r="M5258" s="291"/>
      <c r="N5258" s="291"/>
      <c r="O5258" s="291"/>
      <c r="P5258" s="291"/>
      <c r="S5258" s="364"/>
      <c r="Z5258" s="609" t="s">
        <v>4433</v>
      </c>
      <c r="AA5258" s="609"/>
    </row>
    <row r="5259" spans="1:27" ht="18">
      <c r="A5259" s="2714"/>
      <c r="B5259" s="371">
        <v>150</v>
      </c>
      <c r="C5259" s="371" t="s">
        <v>2791</v>
      </c>
      <c r="D5259" s="2716">
        <f t="shared" si="562"/>
        <v>1</v>
      </c>
      <c r="E5259" s="2721">
        <v>1</v>
      </c>
      <c r="F5259" s="294"/>
      <c r="G5259" s="1497" t="str">
        <f>G5256&amp;"（港币）"</f>
        <v>应付债券（港币）</v>
      </c>
      <c r="H5259" s="309"/>
      <c r="I5259" s="360"/>
      <c r="J5259" s="346"/>
      <c r="M5259" s="291"/>
      <c r="N5259" s="291"/>
      <c r="O5259" s="291"/>
      <c r="P5259" s="291"/>
      <c r="S5259" s="364"/>
      <c r="Z5259" s="609" t="s">
        <v>4433</v>
      </c>
      <c r="AA5259" s="609"/>
    </row>
    <row r="5260" spans="1:27" ht="18">
      <c r="A5260" s="2714"/>
      <c r="B5260" s="371">
        <v>151</v>
      </c>
      <c r="C5260" s="371" t="s">
        <v>2791</v>
      </c>
      <c r="D5260" s="2716">
        <f t="shared" si="562"/>
        <v>0</v>
      </c>
      <c r="E5260" s="2721">
        <v>1</v>
      </c>
      <c r="F5260" s="294"/>
      <c r="G5260" s="1504" t="s">
        <v>2792</v>
      </c>
      <c r="H5260" s="309"/>
      <c r="I5260" s="360"/>
      <c r="J5260" s="346"/>
      <c r="M5260" s="291"/>
      <c r="N5260" s="291"/>
      <c r="O5260" s="291"/>
      <c r="P5260" s="291"/>
      <c r="S5260" s="364"/>
      <c r="Z5260" s="609" t="s">
        <v>4433</v>
      </c>
      <c r="AA5260" s="609"/>
    </row>
    <row r="5261" spans="1:27" ht="18">
      <c r="A5261" s="2714"/>
      <c r="B5261" s="371">
        <v>152</v>
      </c>
      <c r="C5261" s="371"/>
      <c r="D5261" s="2716">
        <f t="shared" si="562"/>
        <v>1</v>
      </c>
      <c r="E5261" s="2721" t="s">
        <v>41</v>
      </c>
      <c r="F5261" s="294"/>
      <c r="G5261" s="1505" t="s">
        <v>546</v>
      </c>
      <c r="H5261" s="309"/>
      <c r="I5261" s="360"/>
      <c r="J5261" s="346"/>
      <c r="K5261" s="1587" t="s">
        <v>1657</v>
      </c>
      <c r="M5261" s="291"/>
      <c r="N5261" s="291"/>
      <c r="O5261" s="291"/>
      <c r="P5261" s="291"/>
      <c r="S5261" s="364"/>
      <c r="Z5261" s="609" t="s">
        <v>4433</v>
      </c>
      <c r="AA5261" s="609"/>
    </row>
    <row r="5262" spans="1:27" ht="18">
      <c r="A5262" s="2714"/>
      <c r="B5262" s="371">
        <v>153</v>
      </c>
      <c r="C5262" s="371" t="s">
        <v>2791</v>
      </c>
      <c r="D5262" s="2716">
        <f t="shared" si="562"/>
        <v>1</v>
      </c>
      <c r="E5262" s="2721">
        <v>1</v>
      </c>
      <c r="F5262" s="294"/>
      <c r="G5262" s="1497" t="str">
        <f>"其中："&amp;G5261&amp;"（美元）"</f>
        <v>其中：长期借款（美元）</v>
      </c>
      <c r="H5262" s="309"/>
      <c r="I5262" s="360"/>
      <c r="J5262" s="346"/>
      <c r="M5262" s="291"/>
      <c r="N5262" s="291"/>
      <c r="O5262" s="291"/>
      <c r="P5262" s="291"/>
      <c r="S5262" s="364"/>
      <c r="Z5262" s="609" t="s">
        <v>4433</v>
      </c>
      <c r="AA5262" s="609"/>
    </row>
    <row r="5263" spans="1:27" ht="18">
      <c r="A5263" s="2714"/>
      <c r="B5263" s="371">
        <v>154</v>
      </c>
      <c r="C5263" s="371" t="s">
        <v>2791</v>
      </c>
      <c r="D5263" s="2716">
        <f t="shared" si="562"/>
        <v>1</v>
      </c>
      <c r="E5263" s="2721">
        <v>1</v>
      </c>
      <c r="F5263" s="294"/>
      <c r="G5263" s="1497" t="str">
        <f>G5261&amp;"（欧元）"</f>
        <v>长期借款（欧元）</v>
      </c>
      <c r="H5263" s="309"/>
      <c r="I5263" s="360"/>
      <c r="J5263" s="346"/>
      <c r="M5263" s="291"/>
      <c r="N5263" s="291"/>
      <c r="O5263" s="291"/>
      <c r="P5263" s="291"/>
      <c r="S5263" s="364"/>
      <c r="Z5263" s="609" t="s">
        <v>4433</v>
      </c>
      <c r="AA5263" s="609"/>
    </row>
    <row r="5264" spans="1:27" ht="18">
      <c r="A5264" s="2714"/>
      <c r="B5264" s="371">
        <v>155</v>
      </c>
      <c r="C5264" s="371" t="s">
        <v>2791</v>
      </c>
      <c r="D5264" s="2716">
        <f t="shared" si="562"/>
        <v>1</v>
      </c>
      <c r="E5264" s="2721">
        <v>1</v>
      </c>
      <c r="F5264" s="294"/>
      <c r="G5264" s="1497" t="str">
        <f>G5261&amp;"（港币）"</f>
        <v>长期借款（港币）</v>
      </c>
      <c r="H5264" s="309"/>
      <c r="I5264" s="360"/>
      <c r="J5264" s="346"/>
      <c r="M5264" s="291"/>
      <c r="N5264" s="291"/>
      <c r="O5264" s="291"/>
      <c r="P5264" s="291"/>
      <c r="S5264" s="364"/>
      <c r="Z5264" s="609" t="s">
        <v>4433</v>
      </c>
      <c r="AA5264" s="609"/>
    </row>
    <row r="5265" spans="1:27" ht="18">
      <c r="A5265" s="2714"/>
      <c r="B5265" s="371">
        <v>156</v>
      </c>
      <c r="C5265" s="371" t="s">
        <v>2791</v>
      </c>
      <c r="D5265" s="2716">
        <f t="shared" si="562"/>
        <v>0</v>
      </c>
      <c r="E5265" s="2721">
        <v>1</v>
      </c>
      <c r="F5265" s="294"/>
      <c r="G5265" s="1504" t="s">
        <v>2792</v>
      </c>
      <c r="H5265" s="309"/>
      <c r="I5265" s="360"/>
      <c r="J5265" s="346"/>
      <c r="M5265" s="291"/>
      <c r="N5265" s="291"/>
      <c r="O5265" s="291"/>
      <c r="P5265" s="291"/>
      <c r="S5265" s="364"/>
      <c r="Z5265" s="609" t="s">
        <v>4433</v>
      </c>
      <c r="AA5265" s="609"/>
    </row>
    <row r="5266" spans="1:27" ht="18">
      <c r="A5266" s="2714"/>
      <c r="B5266" s="371">
        <v>157</v>
      </c>
      <c r="C5266" s="371"/>
      <c r="D5266" s="2716">
        <f t="shared" si="562"/>
        <v>1</v>
      </c>
      <c r="E5266" s="2721" t="s">
        <v>41</v>
      </c>
      <c r="F5266" s="294"/>
      <c r="G5266" s="308" t="s">
        <v>5260</v>
      </c>
      <c r="H5266" s="309"/>
      <c r="I5266" s="360"/>
      <c r="J5266" s="346"/>
      <c r="K5266" s="1587" t="s">
        <v>1692</v>
      </c>
      <c r="M5266" s="291"/>
      <c r="N5266" s="291"/>
      <c r="O5266" s="291"/>
      <c r="P5266" s="291"/>
      <c r="S5266" s="364"/>
      <c r="Z5266" s="609" t="s">
        <v>4433</v>
      </c>
      <c r="AA5266" s="609"/>
    </row>
    <row r="5267" spans="1:27" ht="18">
      <c r="A5267" s="2714"/>
      <c r="B5267" s="371">
        <v>158</v>
      </c>
      <c r="C5267" s="371" t="s">
        <v>2791</v>
      </c>
      <c r="D5267" s="2716">
        <f t="shared" si="562"/>
        <v>1</v>
      </c>
      <c r="E5267" s="2721">
        <v>1</v>
      </c>
      <c r="F5267" s="294"/>
      <c r="G5267" s="1497" t="str">
        <f>"其中："&amp;G5266&amp;"（美元）"</f>
        <v>其中：长期应付款（美元）</v>
      </c>
      <c r="H5267" s="309"/>
      <c r="I5267" s="360"/>
      <c r="J5267" s="346"/>
      <c r="M5267" s="291"/>
      <c r="N5267" s="291"/>
      <c r="O5267" s="291"/>
      <c r="P5267" s="291"/>
      <c r="S5267" s="364"/>
      <c r="Z5267" s="609" t="s">
        <v>4433</v>
      </c>
      <c r="AA5267" s="609"/>
    </row>
    <row r="5268" spans="1:27" ht="18">
      <c r="A5268" s="2714"/>
      <c r="B5268" s="371">
        <v>159</v>
      </c>
      <c r="C5268" s="371" t="s">
        <v>2791</v>
      </c>
      <c r="D5268" s="2716">
        <f t="shared" si="562"/>
        <v>1</v>
      </c>
      <c r="E5268" s="2721">
        <v>1</v>
      </c>
      <c r="F5268" s="294"/>
      <c r="G5268" s="1497" t="str">
        <f>G5266&amp;"（欧元）"</f>
        <v>长期应付款（欧元）</v>
      </c>
      <c r="H5268" s="309"/>
      <c r="I5268" s="360"/>
      <c r="J5268" s="346"/>
      <c r="M5268" s="291"/>
      <c r="N5268" s="291"/>
      <c r="O5268" s="291"/>
      <c r="P5268" s="291"/>
      <c r="S5268" s="364"/>
      <c r="Z5268" s="609" t="s">
        <v>4433</v>
      </c>
      <c r="AA5268" s="609"/>
    </row>
    <row r="5269" spans="1:27" ht="18">
      <c r="A5269" s="2714"/>
      <c r="B5269" s="371">
        <v>160</v>
      </c>
      <c r="C5269" s="371" t="s">
        <v>2791</v>
      </c>
      <c r="D5269" s="2716">
        <f t="shared" si="562"/>
        <v>1</v>
      </c>
      <c r="E5269" s="2721">
        <v>1</v>
      </c>
      <c r="F5269" s="294"/>
      <c r="G5269" s="1497" t="str">
        <f>G5266&amp;"（港币）"</f>
        <v>长期应付款（港币）</v>
      </c>
      <c r="H5269" s="309"/>
      <c r="I5269" s="360"/>
      <c r="J5269" s="346"/>
      <c r="M5269" s="291"/>
      <c r="N5269" s="291"/>
      <c r="O5269" s="291"/>
      <c r="P5269" s="291"/>
      <c r="S5269" s="364"/>
      <c r="Z5269" s="609" t="s">
        <v>4433</v>
      </c>
      <c r="AA5269" s="609"/>
    </row>
    <row r="5270" spans="1:27" ht="18">
      <c r="A5270" s="2714"/>
      <c r="B5270" s="371">
        <v>161</v>
      </c>
      <c r="C5270" s="371" t="s">
        <v>2791</v>
      </c>
      <c r="D5270" s="2716">
        <f t="shared" si="562"/>
        <v>0</v>
      </c>
      <c r="E5270" s="2721">
        <v>1</v>
      </c>
      <c r="F5270" s="294"/>
      <c r="G5270" s="1504" t="s">
        <v>2792</v>
      </c>
      <c r="H5270" s="309"/>
      <c r="I5270" s="360"/>
      <c r="J5270" s="346"/>
      <c r="M5270" s="291"/>
      <c r="N5270" s="291"/>
      <c r="O5270" s="291"/>
      <c r="P5270" s="291"/>
      <c r="S5270" s="364"/>
      <c r="Z5270" s="609" t="s">
        <v>4433</v>
      </c>
      <c r="AA5270" s="609"/>
    </row>
    <row r="5271" spans="1:27" ht="18">
      <c r="A5271" s="2714"/>
      <c r="B5271" s="371">
        <v>162</v>
      </c>
      <c r="C5271" s="371" t="s">
        <v>6533</v>
      </c>
      <c r="D5271" s="2716">
        <f t="shared" si="562"/>
        <v>0</v>
      </c>
      <c r="E5271" s="2721">
        <v>1</v>
      </c>
      <c r="F5271" s="294"/>
      <c r="G5271" s="1497" t="s">
        <v>2792</v>
      </c>
      <c r="H5271" s="309"/>
      <c r="I5271" s="360"/>
      <c r="J5271" s="346"/>
      <c r="M5271" s="291"/>
      <c r="N5271" s="291"/>
      <c r="O5271" s="291"/>
      <c r="P5271" s="291"/>
      <c r="S5271" s="364"/>
      <c r="Z5271" s="609" t="s">
        <v>4433</v>
      </c>
      <c r="AA5271" s="609"/>
    </row>
    <row r="5272" spans="1:27" ht="18.75" thickBot="1">
      <c r="A5272" s="2714"/>
      <c r="B5272" s="371"/>
      <c r="C5272" s="371"/>
      <c r="D5272" s="2716">
        <f t="shared" si="562"/>
        <v>0</v>
      </c>
      <c r="E5272" s="2721" t="s">
        <v>6568</v>
      </c>
      <c r="F5272" s="294"/>
      <c r="G5272" s="2429"/>
      <c r="H5272" s="2485"/>
      <c r="I5272" s="2486"/>
      <c r="J5272" s="2487"/>
      <c r="M5272" s="291"/>
      <c r="N5272" s="291"/>
      <c r="O5272" s="291"/>
      <c r="P5272" s="291"/>
      <c r="S5272" s="364"/>
      <c r="Z5272" s="609" t="s">
        <v>4433</v>
      </c>
      <c r="AA5272" s="609"/>
    </row>
    <row r="5273" spans="1:27" ht="18">
      <c r="A5273" s="2714"/>
      <c r="B5273" s="371"/>
      <c r="C5273" s="371" t="s">
        <v>2755</v>
      </c>
      <c r="D5273" s="371"/>
      <c r="F5273" s="294"/>
      <c r="G5273" s="301"/>
      <c r="H5273" s="315"/>
      <c r="I5273" s="393"/>
      <c r="J5273" s="315"/>
      <c r="K5273" s="349"/>
      <c r="L5273" s="350"/>
      <c r="M5273" s="291"/>
      <c r="N5273" s="291"/>
      <c r="O5273" s="291"/>
      <c r="P5273" s="291"/>
      <c r="S5273" s="364"/>
      <c r="Z5273" s="609" t="s">
        <v>4433</v>
      </c>
      <c r="AA5273" s="609"/>
    </row>
    <row r="5274" spans="1:27" ht="17.25">
      <c r="A5274" s="2715">
        <v>9371</v>
      </c>
      <c r="B5274" s="371">
        <v>84</v>
      </c>
      <c r="C5274" s="2716" t="str">
        <f>VLOOKUP($A5274,Sheet_Items,2,0)</f>
        <v>政府补助</v>
      </c>
      <c r="D5274" s="371"/>
      <c r="E5274" s="2716" t="s">
        <v>2739</v>
      </c>
      <c r="F5274" s="371"/>
      <c r="G5274" s="305" t="str">
        <f>B5274&amp;" "&amp;C5274</f>
        <v>84 政府补助</v>
      </c>
      <c r="H5274" s="306"/>
      <c r="I5274" s="306"/>
      <c r="J5274" s="306"/>
      <c r="K5274" s="341"/>
      <c r="L5274" s="342"/>
      <c r="M5274" s="306"/>
      <c r="N5274" s="341"/>
      <c r="O5274" s="342"/>
      <c r="P5274" s="301"/>
      <c r="S5274" s="364"/>
      <c r="Z5274" s="609" t="s">
        <v>2158</v>
      </c>
      <c r="AA5274" s="609" t="s">
        <v>19</v>
      </c>
    </row>
    <row r="5275" spans="1:27" ht="18">
      <c r="A5275" s="2714" t="s">
        <v>2156</v>
      </c>
      <c r="B5275" s="371">
        <v>1</v>
      </c>
      <c r="C5275" s="371"/>
      <c r="D5275" s="2716" t="str">
        <f>VLOOKUP($A5275,Sheet_NoteList,2,0)</f>
        <v>与资产相关的政府补助</v>
      </c>
      <c r="E5275" s="2716" t="s">
        <v>2742</v>
      </c>
      <c r="F5275" s="293"/>
      <c r="G5275" s="372" t="str">
        <f>"("&amp;B5275&amp;")"&amp;D5275</f>
        <v>(1)与资产相关的政府补助</v>
      </c>
      <c r="H5275" s="1517" t="str">
        <f>$A5275</f>
        <v>9371h</v>
      </c>
      <c r="I5275" s="343" t="s">
        <v>2743</v>
      </c>
      <c r="J5275" s="301" t="s">
        <v>2744</v>
      </c>
      <c r="K5275" s="2210">
        <f>J5288</f>
        <v>0</v>
      </c>
      <c r="L5275" s="349"/>
      <c r="M5275" s="301" t="s">
        <v>2745</v>
      </c>
      <c r="N5275" s="2210">
        <f>K5288</f>
        <v>0</v>
      </c>
      <c r="O5275" s="349"/>
      <c r="P5275" s="301"/>
      <c r="S5275" s="364"/>
      <c r="Z5275" s="609" t="s">
        <v>2158</v>
      </c>
      <c r="AA5275" s="609" t="s">
        <v>19</v>
      </c>
    </row>
    <row r="5276" spans="1:27" ht="0.75" customHeight="1">
      <c r="A5276" s="2714"/>
      <c r="B5276" s="371"/>
      <c r="C5276" s="371"/>
      <c r="D5276" s="2716"/>
      <c r="F5276" s="371"/>
      <c r="G5276" s="405" t="s">
        <v>4648</v>
      </c>
      <c r="H5276" s="371" t="s">
        <v>2747</v>
      </c>
      <c r="I5276" s="371" t="s">
        <v>2821</v>
      </c>
      <c r="J5276" s="371" t="s">
        <v>2948</v>
      </c>
      <c r="K5276" s="371" t="s">
        <v>3359</v>
      </c>
      <c r="L5276" s="547" t="s">
        <v>4649</v>
      </c>
      <c r="M5276" s="433"/>
      <c r="N5276" s="428"/>
      <c r="O5276" s="428"/>
      <c r="P5276" s="433"/>
      <c r="Q5276" s="442"/>
      <c r="R5276" s="443"/>
      <c r="S5276" s="364"/>
      <c r="Z5276" s="609" t="s">
        <v>2158</v>
      </c>
      <c r="AA5276" s="609" t="s">
        <v>19</v>
      </c>
    </row>
    <row r="5277" spans="1:27" ht="0.75" customHeight="1" thickBot="1">
      <c r="A5277" s="2714"/>
      <c r="B5277" s="371"/>
      <c r="C5277" s="371"/>
      <c r="D5277" s="2716"/>
      <c r="F5277" s="371"/>
      <c r="G5277" s="405"/>
      <c r="H5277" s="371" t="s">
        <v>4650</v>
      </c>
      <c r="I5277" s="371" t="s">
        <v>4651</v>
      </c>
      <c r="J5277" s="371" t="s">
        <v>4652</v>
      </c>
      <c r="K5277" s="547" t="s">
        <v>4653</v>
      </c>
      <c r="L5277" s="547" t="s">
        <v>4654</v>
      </c>
      <c r="M5277" s="433"/>
      <c r="N5277" s="428"/>
      <c r="O5277" s="428"/>
      <c r="P5277" s="433"/>
      <c r="Q5277" s="442"/>
      <c r="R5277" s="443"/>
      <c r="S5277" s="364"/>
      <c r="Z5277" s="609" t="s">
        <v>2158</v>
      </c>
      <c r="AA5277" s="609" t="s">
        <v>19</v>
      </c>
    </row>
    <row r="5278" spans="1:27" ht="25.5" customHeight="1">
      <c r="A5278" s="2714"/>
      <c r="B5278" s="371"/>
      <c r="C5278" s="371"/>
      <c r="D5278" s="2716"/>
      <c r="E5278" s="2716" t="s">
        <v>2749</v>
      </c>
      <c r="F5278" s="293"/>
      <c r="G5278" s="3254" t="s">
        <v>5494</v>
      </c>
      <c r="H5278" s="3188" t="s">
        <v>2887</v>
      </c>
      <c r="I5278" s="3188" t="s">
        <v>4655</v>
      </c>
      <c r="J5278" s="3188" t="s">
        <v>4656</v>
      </c>
      <c r="K5278" s="3188"/>
      <c r="L5278" s="3231" t="s">
        <v>4657</v>
      </c>
      <c r="M5278" s="2672" t="s">
        <v>5347</v>
      </c>
      <c r="N5278" s="428"/>
      <c r="O5278" s="428"/>
      <c r="P5278" s="433"/>
      <c r="Q5278" s="442"/>
      <c r="R5278" s="443"/>
      <c r="S5278" s="364"/>
      <c r="Z5278" s="609" t="s">
        <v>2158</v>
      </c>
      <c r="AA5278" s="609" t="s">
        <v>19</v>
      </c>
    </row>
    <row r="5279" spans="1:27" ht="28.5" customHeight="1">
      <c r="A5279" s="2714"/>
      <c r="B5279" s="371"/>
      <c r="C5279" s="371"/>
      <c r="D5279" s="2716"/>
      <c r="E5279" s="2716" t="s">
        <v>2749</v>
      </c>
      <c r="F5279" s="293"/>
      <c r="G5279" s="3255"/>
      <c r="H5279" s="3241"/>
      <c r="I5279" s="3241"/>
      <c r="J5279" s="408" t="str">
        <f>$V$4</f>
        <v>2019年度</v>
      </c>
      <c r="K5279" s="420" t="str">
        <f>$V$5</f>
        <v>2018年度</v>
      </c>
      <c r="L5279" s="3232"/>
      <c r="M5279" s="1511"/>
      <c r="N5279" s="434"/>
      <c r="O5279" s="434"/>
      <c r="P5279" s="1511"/>
      <c r="Q5279" s="442"/>
      <c r="R5279" s="443"/>
      <c r="S5279" s="364"/>
      <c r="Z5279" s="609" t="s">
        <v>2158</v>
      </c>
      <c r="AA5279" s="609" t="s">
        <v>19</v>
      </c>
    </row>
    <row r="5280" spans="1:27" ht="18">
      <c r="A5280" s="2714"/>
      <c r="B5280" s="371">
        <v>101</v>
      </c>
      <c r="C5280" s="371" t="s">
        <v>2791</v>
      </c>
      <c r="D5280" s="2716">
        <f t="shared" ref="D5280:D5288" si="563">IF(OR(G5280="*",G5280="",G5280=0),0,COUNTIF($G$5280:$G$5288,G5280))</f>
        <v>0</v>
      </c>
      <c r="E5280" s="2721">
        <v>1</v>
      </c>
      <c r="F5280" s="293"/>
      <c r="G5280" s="319" t="s">
        <v>2792</v>
      </c>
      <c r="H5280" s="309"/>
      <c r="I5280" s="430"/>
      <c r="J5280" s="309"/>
      <c r="K5280" s="320"/>
      <c r="L5280" s="388"/>
      <c r="M5280" s="2672" t="s">
        <v>6366</v>
      </c>
      <c r="N5280" s="2674" t="s">
        <v>6365</v>
      </c>
      <c r="O5280" s="437"/>
      <c r="P5280" s="438"/>
      <c r="Q5280" s="442"/>
      <c r="R5280" s="443"/>
      <c r="S5280" s="364"/>
      <c r="Z5280" s="609" t="s">
        <v>2158</v>
      </c>
      <c r="AA5280" s="609" t="s">
        <v>19</v>
      </c>
    </row>
    <row r="5281" spans="1:27" ht="18">
      <c r="A5281" s="2714"/>
      <c r="B5281" s="371">
        <v>102</v>
      </c>
      <c r="C5281" s="371" t="s">
        <v>2791</v>
      </c>
      <c r="D5281" s="2716">
        <f t="shared" si="563"/>
        <v>0</v>
      </c>
      <c r="E5281" s="2721">
        <v>1</v>
      </c>
      <c r="F5281" s="293"/>
      <c r="G5281" s="319" t="s">
        <v>2792</v>
      </c>
      <c r="H5281" s="309"/>
      <c r="I5281" s="430"/>
      <c r="J5281" s="309"/>
      <c r="K5281" s="320"/>
      <c r="L5281" s="388"/>
      <c r="M5281" s="438"/>
      <c r="N5281" s="2674" t="s">
        <v>1935</v>
      </c>
      <c r="O5281" s="437"/>
      <c r="P5281" s="438"/>
      <c r="Q5281" s="442"/>
      <c r="R5281" s="443"/>
      <c r="S5281" s="364"/>
      <c r="Z5281" s="609" t="s">
        <v>2158</v>
      </c>
      <c r="AA5281" s="609" t="s">
        <v>19</v>
      </c>
    </row>
    <row r="5282" spans="1:27" ht="18">
      <c r="A5282" s="2714"/>
      <c r="B5282" s="371">
        <v>103</v>
      </c>
      <c r="C5282" s="371" t="s">
        <v>2791</v>
      </c>
      <c r="D5282" s="2716">
        <f t="shared" si="563"/>
        <v>0</v>
      </c>
      <c r="E5282" s="2721">
        <v>1</v>
      </c>
      <c r="F5282" s="293"/>
      <c r="G5282" s="319" t="s">
        <v>2792</v>
      </c>
      <c r="H5282" s="309"/>
      <c r="I5282" s="430"/>
      <c r="J5282" s="309"/>
      <c r="K5282" s="320"/>
      <c r="L5282" s="388"/>
      <c r="M5282" s="438"/>
      <c r="N5282" s="439"/>
      <c r="O5282" s="437"/>
      <c r="P5282" s="438"/>
      <c r="Q5282" s="442"/>
      <c r="R5282" s="443"/>
      <c r="S5282" s="364"/>
      <c r="Z5282" s="609" t="s">
        <v>2158</v>
      </c>
      <c r="AA5282" s="609" t="s">
        <v>19</v>
      </c>
    </row>
    <row r="5283" spans="1:27" ht="18">
      <c r="A5283" s="2714"/>
      <c r="B5283" s="371">
        <v>104</v>
      </c>
      <c r="C5283" s="371" t="s">
        <v>2791</v>
      </c>
      <c r="D5283" s="2716">
        <f t="shared" si="563"/>
        <v>0</v>
      </c>
      <c r="E5283" s="2721">
        <v>1</v>
      </c>
      <c r="F5283" s="293"/>
      <c r="G5283" s="319" t="s">
        <v>2792</v>
      </c>
      <c r="H5283" s="309"/>
      <c r="I5283" s="430"/>
      <c r="J5283" s="309"/>
      <c r="K5283" s="320"/>
      <c r="L5283" s="388"/>
      <c r="M5283" s="438"/>
      <c r="N5283" s="439"/>
      <c r="O5283" s="437"/>
      <c r="P5283" s="438"/>
      <c r="Q5283" s="442"/>
      <c r="R5283" s="443"/>
      <c r="S5283" s="364"/>
      <c r="Z5283" s="609" t="s">
        <v>2158</v>
      </c>
      <c r="AA5283" s="609" t="s">
        <v>19</v>
      </c>
    </row>
    <row r="5284" spans="1:27" ht="18">
      <c r="A5284" s="2714"/>
      <c r="B5284" s="371">
        <v>105</v>
      </c>
      <c r="C5284" s="371" t="s">
        <v>2791</v>
      </c>
      <c r="D5284" s="2716">
        <f t="shared" si="563"/>
        <v>0</v>
      </c>
      <c r="E5284" s="2721">
        <v>1</v>
      </c>
      <c r="F5284" s="293"/>
      <c r="G5284" s="319" t="s">
        <v>2792</v>
      </c>
      <c r="H5284" s="309"/>
      <c r="I5284" s="430"/>
      <c r="J5284" s="309"/>
      <c r="K5284" s="320"/>
      <c r="L5284" s="388"/>
      <c r="M5284" s="438"/>
      <c r="N5284" s="439"/>
      <c r="O5284" s="437"/>
      <c r="P5284" s="438"/>
      <c r="Q5284" s="442"/>
      <c r="R5284" s="443"/>
      <c r="S5284" s="364"/>
      <c r="Z5284" s="609" t="s">
        <v>2158</v>
      </c>
      <c r="AA5284" s="609" t="s">
        <v>19</v>
      </c>
    </row>
    <row r="5285" spans="1:27" ht="18">
      <c r="A5285" s="2714"/>
      <c r="B5285" s="371">
        <v>106</v>
      </c>
      <c r="C5285" s="371" t="s">
        <v>2791</v>
      </c>
      <c r="D5285" s="2716">
        <f t="shared" si="563"/>
        <v>0</v>
      </c>
      <c r="E5285" s="2721">
        <v>1</v>
      </c>
      <c r="F5285" s="293"/>
      <c r="G5285" s="319" t="s">
        <v>2792</v>
      </c>
      <c r="H5285" s="309"/>
      <c r="I5285" s="430"/>
      <c r="J5285" s="309"/>
      <c r="K5285" s="320"/>
      <c r="L5285" s="388"/>
      <c r="M5285" s="438"/>
      <c r="N5285" s="439"/>
      <c r="O5285" s="437"/>
      <c r="P5285" s="438"/>
      <c r="Q5285" s="442"/>
      <c r="R5285" s="443"/>
      <c r="S5285" s="364"/>
      <c r="Z5285" s="609" t="s">
        <v>2158</v>
      </c>
      <c r="AA5285" s="609" t="s">
        <v>19</v>
      </c>
    </row>
    <row r="5286" spans="1:27" ht="18">
      <c r="A5286" s="2714"/>
      <c r="B5286" s="371">
        <v>107</v>
      </c>
      <c r="C5286" s="371" t="s">
        <v>2791</v>
      </c>
      <c r="D5286" s="2716">
        <f t="shared" si="563"/>
        <v>0</v>
      </c>
      <c r="E5286" s="2721">
        <v>1</v>
      </c>
      <c r="F5286" s="293"/>
      <c r="G5286" s="319" t="s">
        <v>2792</v>
      </c>
      <c r="H5286" s="309"/>
      <c r="I5286" s="430"/>
      <c r="J5286" s="309"/>
      <c r="K5286" s="320"/>
      <c r="L5286" s="388"/>
      <c r="M5286" s="438"/>
      <c r="N5286" s="439"/>
      <c r="O5286" s="437"/>
      <c r="P5286" s="438"/>
      <c r="Q5286" s="442"/>
      <c r="R5286" s="443"/>
      <c r="S5286" s="364"/>
      <c r="Z5286" s="609" t="s">
        <v>2158</v>
      </c>
      <c r="AA5286" s="609" t="s">
        <v>19</v>
      </c>
    </row>
    <row r="5287" spans="1:27" ht="18">
      <c r="A5287" s="2714"/>
      <c r="B5287" s="371">
        <v>108</v>
      </c>
      <c r="C5287" s="371" t="s">
        <v>2791</v>
      </c>
      <c r="D5287" s="2716">
        <f t="shared" si="563"/>
        <v>0</v>
      </c>
      <c r="E5287" s="2721">
        <v>1</v>
      </c>
      <c r="F5287" s="293"/>
      <c r="G5287" s="319" t="s">
        <v>2792</v>
      </c>
      <c r="H5287" s="309"/>
      <c r="I5287" s="430"/>
      <c r="J5287" s="309"/>
      <c r="K5287" s="320"/>
      <c r="L5287" s="388"/>
      <c r="M5287" s="438"/>
      <c r="N5287" s="439"/>
      <c r="O5287" s="437"/>
      <c r="P5287" s="438"/>
      <c r="Q5287" s="442"/>
      <c r="R5287" s="443"/>
      <c r="S5287" s="364"/>
      <c r="Z5287" s="609" t="s">
        <v>2158</v>
      </c>
      <c r="AA5287" s="609" t="s">
        <v>19</v>
      </c>
    </row>
    <row r="5288" spans="1:27" ht="18.75" thickBot="1">
      <c r="A5288" s="2714"/>
      <c r="B5288" s="371"/>
      <c r="C5288" s="371"/>
      <c r="D5288" s="2716">
        <f t="shared" si="563"/>
        <v>1</v>
      </c>
      <c r="E5288" s="2721" t="s">
        <v>2751</v>
      </c>
      <c r="F5288" s="293"/>
      <c r="G5288" s="374" t="s">
        <v>5493</v>
      </c>
      <c r="H5288" s="375">
        <f>SUMPRODUCT($E5279:$E5287,H5279:H5287)</f>
        <v>0</v>
      </c>
      <c r="I5288" s="551">
        <f>SUMPRODUCT($E5279:$E5287,I5279:I5287)</f>
        <v>0</v>
      </c>
      <c r="J5288" s="375">
        <f>SUMPRODUCT($E5279:$E5287,J5279:J5287)</f>
        <v>0</v>
      </c>
      <c r="K5288" s="375">
        <f>SUMPRODUCT($E5279:$E5287,K5279:K5287)</f>
        <v>0</v>
      </c>
      <c r="L5288" s="550"/>
      <c r="M5288" s="440"/>
      <c r="N5288" s="439"/>
      <c r="O5288" s="437"/>
      <c r="P5288" s="440"/>
      <c r="Q5288" s="442"/>
      <c r="R5288" s="443"/>
      <c r="S5288" s="364"/>
      <c r="Z5288" s="609" t="s">
        <v>2158</v>
      </c>
      <c r="AA5288" s="609" t="s">
        <v>19</v>
      </c>
    </row>
    <row r="5289" spans="1:27" ht="18">
      <c r="A5289" s="2714"/>
      <c r="B5289" s="371"/>
      <c r="C5289" s="371" t="s">
        <v>2755</v>
      </c>
      <c r="D5289" s="2716"/>
      <c r="F5289" s="293"/>
      <c r="G5289" s="376"/>
      <c r="H5289" s="315"/>
      <c r="I5289" s="432"/>
      <c r="J5289" s="315"/>
      <c r="K5289" s="423"/>
      <c r="L5289" s="393"/>
      <c r="M5289" s="425"/>
      <c r="N5289" s="426"/>
      <c r="O5289" s="427"/>
      <c r="P5289" s="425"/>
      <c r="Q5289" s="442"/>
      <c r="R5289" s="443"/>
      <c r="S5289" s="364"/>
      <c r="Z5289" s="609" t="s">
        <v>2158</v>
      </c>
      <c r="AA5289" s="609" t="s">
        <v>19</v>
      </c>
    </row>
    <row r="5290" spans="1:27" ht="18">
      <c r="A5290" s="2714" t="s">
        <v>2176</v>
      </c>
      <c r="B5290" s="371">
        <v>2</v>
      </c>
      <c r="C5290" s="371"/>
      <c r="D5290" s="2716" t="str">
        <f>VLOOKUP($A5290,Sheet_NoteList,2,0)</f>
        <v>与收益相关的政府补助</v>
      </c>
      <c r="E5290" s="2716" t="s">
        <v>2742</v>
      </c>
      <c r="F5290" s="293"/>
      <c r="G5290" s="372" t="str">
        <f>"("&amp;B5290&amp;")"&amp;D5290</f>
        <v>(2)与收益相关的政府补助</v>
      </c>
      <c r="H5290" s="1517" t="str">
        <f>$A5290</f>
        <v>9371i</v>
      </c>
      <c r="I5290" s="343" t="s">
        <v>2743</v>
      </c>
      <c r="J5290" s="301" t="s">
        <v>2744</v>
      </c>
      <c r="K5290" s="2210">
        <f>J5303</f>
        <v>0</v>
      </c>
      <c r="L5290" s="349"/>
      <c r="M5290" s="301" t="s">
        <v>2745</v>
      </c>
      <c r="N5290" s="2210">
        <f>K5303</f>
        <v>0</v>
      </c>
      <c r="O5290" s="349"/>
      <c r="P5290" s="301"/>
      <c r="S5290" s="364"/>
      <c r="Z5290" s="609" t="s">
        <v>2158</v>
      </c>
      <c r="AA5290" s="609" t="s">
        <v>19</v>
      </c>
    </row>
    <row r="5291" spans="1:27" ht="0.75" customHeight="1">
      <c r="A5291" s="2714"/>
      <c r="B5291" s="371"/>
      <c r="C5291" s="371"/>
      <c r="D5291" s="2716"/>
      <c r="F5291" s="371"/>
      <c r="G5291" s="405" t="s">
        <v>4658</v>
      </c>
      <c r="H5291" s="371" t="s">
        <v>2747</v>
      </c>
      <c r="I5291" s="371" t="s">
        <v>2821</v>
      </c>
      <c r="J5291" s="371" t="s">
        <v>2948</v>
      </c>
      <c r="K5291" s="547" t="s">
        <v>3034</v>
      </c>
      <c r="L5291" s="547" t="s">
        <v>4649</v>
      </c>
      <c r="M5291" s="433"/>
      <c r="N5291" s="428"/>
      <c r="O5291" s="428"/>
      <c r="P5291" s="433"/>
      <c r="Q5291" s="442"/>
      <c r="R5291" s="443"/>
      <c r="S5291" s="364"/>
      <c r="Z5291" s="609" t="s">
        <v>2158</v>
      </c>
      <c r="AA5291" s="609" t="s">
        <v>19</v>
      </c>
    </row>
    <row r="5292" spans="1:27" ht="0.75" customHeight="1" thickBot="1">
      <c r="A5292" s="2714"/>
      <c r="B5292" s="371"/>
      <c r="C5292" s="371"/>
      <c r="D5292" s="2716"/>
      <c r="F5292" s="371"/>
      <c r="G5292" s="405"/>
      <c r="H5292" s="371" t="s">
        <v>4650</v>
      </c>
      <c r="I5292" s="371" t="s">
        <v>4651</v>
      </c>
      <c r="J5292" s="371" t="s">
        <v>4652</v>
      </c>
      <c r="K5292" s="547" t="s">
        <v>4653</v>
      </c>
      <c r="L5292" s="547" t="s">
        <v>4654</v>
      </c>
      <c r="M5292" s="433"/>
      <c r="N5292" s="428"/>
      <c r="O5292" s="428"/>
      <c r="P5292" s="433"/>
      <c r="Q5292" s="442"/>
      <c r="R5292" s="443"/>
      <c r="S5292" s="364"/>
      <c r="Z5292" s="609" t="s">
        <v>2158</v>
      </c>
      <c r="AA5292" s="609" t="s">
        <v>19</v>
      </c>
    </row>
    <row r="5293" spans="1:27" ht="25.5" customHeight="1">
      <c r="A5293" s="2714"/>
      <c r="B5293" s="371"/>
      <c r="C5293" s="371"/>
      <c r="D5293" s="2716"/>
      <c r="E5293" s="2716" t="s">
        <v>2749</v>
      </c>
      <c r="F5293" s="293"/>
      <c r="G5293" s="3254" t="s">
        <v>5494</v>
      </c>
      <c r="H5293" s="3188" t="s">
        <v>2887</v>
      </c>
      <c r="I5293" s="3188" t="s">
        <v>4655</v>
      </c>
      <c r="J5293" s="3188" t="s">
        <v>4656</v>
      </c>
      <c r="K5293" s="3188"/>
      <c r="L5293" s="3231" t="s">
        <v>4657</v>
      </c>
      <c r="M5293" s="355" t="s">
        <v>5347</v>
      </c>
      <c r="N5293" s="428"/>
      <c r="O5293" s="428"/>
      <c r="P5293" s="433"/>
      <c r="Q5293" s="442"/>
      <c r="R5293" s="443"/>
      <c r="S5293" s="364"/>
      <c r="Z5293" s="609" t="s">
        <v>2158</v>
      </c>
      <c r="AA5293" s="609" t="s">
        <v>19</v>
      </c>
    </row>
    <row r="5294" spans="1:27" ht="26.25" customHeight="1">
      <c r="A5294" s="2714"/>
      <c r="B5294" s="371"/>
      <c r="C5294" s="371"/>
      <c r="D5294" s="2716"/>
      <c r="E5294" s="2716" t="s">
        <v>2749</v>
      </c>
      <c r="F5294" s="293"/>
      <c r="G5294" s="3255"/>
      <c r="H5294" s="3241"/>
      <c r="I5294" s="3241"/>
      <c r="J5294" s="408" t="str">
        <f>$V$4</f>
        <v>2019年度</v>
      </c>
      <c r="K5294" s="2239" t="str">
        <f>$V$5</f>
        <v>2018年度</v>
      </c>
      <c r="L5294" s="3232"/>
      <c r="M5294" s="435"/>
      <c r="N5294" s="434"/>
      <c r="O5294" s="434"/>
      <c r="P5294" s="435"/>
      <c r="Q5294" s="442"/>
      <c r="R5294" s="443"/>
      <c r="S5294" s="364"/>
      <c r="Z5294" s="609" t="s">
        <v>2158</v>
      </c>
      <c r="AA5294" s="609" t="s">
        <v>19</v>
      </c>
    </row>
    <row r="5295" spans="1:27" ht="18">
      <c r="A5295" s="2714"/>
      <c r="B5295" s="371">
        <v>101</v>
      </c>
      <c r="C5295" s="371" t="s">
        <v>2791</v>
      </c>
      <c r="D5295" s="2716">
        <f t="shared" ref="D5295:D5303" si="564">IF(OR(G5295="*",G5295="",G5295=0),0,COUNTIF($G$5295:$G$5303,G5295))</f>
        <v>0</v>
      </c>
      <c r="E5295" s="2721">
        <v>1</v>
      </c>
      <c r="F5295" s="293"/>
      <c r="G5295" s="319" t="s">
        <v>2792</v>
      </c>
      <c r="H5295" s="309"/>
      <c r="I5295" s="430"/>
      <c r="J5295" s="309"/>
      <c r="K5295" s="320"/>
      <c r="L5295" s="388"/>
      <c r="M5295" s="2672" t="s">
        <v>6366</v>
      </c>
      <c r="N5295" s="2674" t="s">
        <v>6365</v>
      </c>
      <c r="O5295" s="437"/>
      <c r="P5295" s="438"/>
      <c r="Q5295" s="442"/>
      <c r="R5295" s="443"/>
      <c r="S5295" s="364"/>
      <c r="Z5295" s="609" t="s">
        <v>2158</v>
      </c>
      <c r="AA5295" s="609" t="s">
        <v>19</v>
      </c>
    </row>
    <row r="5296" spans="1:27" ht="18">
      <c r="A5296" s="2714"/>
      <c r="B5296" s="371">
        <v>102</v>
      </c>
      <c r="C5296" s="371" t="s">
        <v>2791</v>
      </c>
      <c r="D5296" s="2716">
        <f t="shared" si="564"/>
        <v>0</v>
      </c>
      <c r="E5296" s="2721">
        <v>1</v>
      </c>
      <c r="F5296" s="293"/>
      <c r="G5296" s="319" t="s">
        <v>2792</v>
      </c>
      <c r="H5296" s="309"/>
      <c r="I5296" s="430"/>
      <c r="J5296" s="309"/>
      <c r="K5296" s="320"/>
      <c r="L5296" s="388"/>
      <c r="M5296" s="438"/>
      <c r="N5296" s="2674" t="s">
        <v>1935</v>
      </c>
      <c r="O5296" s="437"/>
      <c r="P5296" s="438"/>
      <c r="Q5296" s="442"/>
      <c r="R5296" s="443"/>
      <c r="S5296" s="364"/>
      <c r="Z5296" s="609" t="s">
        <v>2158</v>
      </c>
      <c r="AA5296" s="609" t="s">
        <v>19</v>
      </c>
    </row>
    <row r="5297" spans="1:27" ht="18">
      <c r="A5297" s="2714"/>
      <c r="B5297" s="371">
        <v>103</v>
      </c>
      <c r="C5297" s="371" t="s">
        <v>2791</v>
      </c>
      <c r="D5297" s="2716">
        <f t="shared" si="564"/>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
      <c r="A5298" s="2714"/>
      <c r="B5298" s="371">
        <v>104</v>
      </c>
      <c r="C5298" s="371" t="s">
        <v>2791</v>
      </c>
      <c r="D5298" s="2716">
        <f t="shared" si="564"/>
        <v>0</v>
      </c>
      <c r="E5298" s="2721">
        <v>1</v>
      </c>
      <c r="F5298" s="293"/>
      <c r="G5298" s="319" t="s">
        <v>2792</v>
      </c>
      <c r="H5298" s="309"/>
      <c r="I5298" s="430"/>
      <c r="J5298" s="309"/>
      <c r="K5298" s="320"/>
      <c r="L5298" s="388"/>
      <c r="M5298" s="438"/>
      <c r="N5298" s="439"/>
      <c r="O5298" s="437"/>
      <c r="P5298" s="438"/>
      <c r="Q5298" s="442"/>
      <c r="R5298" s="443"/>
      <c r="S5298" s="364"/>
      <c r="Z5298" s="609" t="s">
        <v>2158</v>
      </c>
      <c r="AA5298" s="609" t="s">
        <v>19</v>
      </c>
    </row>
    <row r="5299" spans="1:27" ht="18">
      <c r="A5299" s="2714"/>
      <c r="B5299" s="371">
        <v>105</v>
      </c>
      <c r="C5299" s="371" t="s">
        <v>2791</v>
      </c>
      <c r="D5299" s="2716">
        <f t="shared" si="564"/>
        <v>0</v>
      </c>
      <c r="E5299" s="2721">
        <v>1</v>
      </c>
      <c r="F5299" s="293"/>
      <c r="G5299" s="319" t="s">
        <v>2792</v>
      </c>
      <c r="H5299" s="309"/>
      <c r="I5299" s="430"/>
      <c r="J5299" s="309"/>
      <c r="K5299" s="320"/>
      <c r="L5299" s="388"/>
      <c r="M5299" s="438"/>
      <c r="N5299" s="439"/>
      <c r="O5299" s="437"/>
      <c r="P5299" s="438"/>
      <c r="Q5299" s="442"/>
      <c r="R5299" s="443"/>
      <c r="S5299" s="364"/>
      <c r="Z5299" s="609" t="s">
        <v>2158</v>
      </c>
      <c r="AA5299" s="609" t="s">
        <v>19</v>
      </c>
    </row>
    <row r="5300" spans="1:27" ht="18">
      <c r="A5300" s="2714"/>
      <c r="B5300" s="371">
        <v>106</v>
      </c>
      <c r="C5300" s="371" t="s">
        <v>2791</v>
      </c>
      <c r="D5300" s="2716">
        <f t="shared" si="564"/>
        <v>0</v>
      </c>
      <c r="E5300" s="2721">
        <v>1</v>
      </c>
      <c r="F5300" s="293"/>
      <c r="G5300" s="319" t="s">
        <v>2792</v>
      </c>
      <c r="H5300" s="309"/>
      <c r="I5300" s="430"/>
      <c r="J5300" s="309"/>
      <c r="K5300" s="320"/>
      <c r="L5300" s="388"/>
      <c r="M5300" s="438"/>
      <c r="N5300" s="439"/>
      <c r="O5300" s="437"/>
      <c r="P5300" s="438"/>
      <c r="Q5300" s="442"/>
      <c r="R5300" s="443"/>
      <c r="S5300" s="364"/>
      <c r="Z5300" s="609" t="s">
        <v>2158</v>
      </c>
      <c r="AA5300" s="609" t="s">
        <v>19</v>
      </c>
    </row>
    <row r="5301" spans="1:27" ht="18">
      <c r="A5301" s="2714"/>
      <c r="B5301" s="371">
        <v>107</v>
      </c>
      <c r="C5301" s="371" t="s">
        <v>2791</v>
      </c>
      <c r="D5301" s="2716">
        <f t="shared" si="564"/>
        <v>0</v>
      </c>
      <c r="E5301" s="2721">
        <v>1</v>
      </c>
      <c r="F5301" s="293"/>
      <c r="G5301" s="319" t="s">
        <v>2792</v>
      </c>
      <c r="H5301" s="309"/>
      <c r="I5301" s="430"/>
      <c r="J5301" s="309"/>
      <c r="K5301" s="320"/>
      <c r="L5301" s="388"/>
      <c r="M5301" s="438"/>
      <c r="N5301" s="439"/>
      <c r="O5301" s="437"/>
      <c r="P5301" s="438"/>
      <c r="Q5301" s="442"/>
      <c r="R5301" s="443"/>
      <c r="S5301" s="364"/>
      <c r="Z5301" s="609" t="s">
        <v>2158</v>
      </c>
      <c r="AA5301" s="609" t="s">
        <v>19</v>
      </c>
    </row>
    <row r="5302" spans="1:27" ht="18">
      <c r="A5302" s="2714"/>
      <c r="B5302" s="371">
        <v>108</v>
      </c>
      <c r="C5302" s="371" t="s">
        <v>2791</v>
      </c>
      <c r="D5302" s="2716">
        <f t="shared" si="564"/>
        <v>0</v>
      </c>
      <c r="E5302" s="2721">
        <v>1</v>
      </c>
      <c r="F5302" s="293"/>
      <c r="G5302" s="319" t="s">
        <v>2792</v>
      </c>
      <c r="H5302" s="309"/>
      <c r="I5302" s="430"/>
      <c r="J5302" s="309"/>
      <c r="K5302" s="320"/>
      <c r="L5302" s="388"/>
      <c r="M5302" s="438"/>
      <c r="N5302" s="439"/>
      <c r="O5302" s="437"/>
      <c r="P5302" s="438"/>
      <c r="Q5302" s="442"/>
      <c r="R5302" s="443"/>
      <c r="S5302" s="364"/>
      <c r="Z5302" s="609" t="s">
        <v>2158</v>
      </c>
      <c r="AA5302" s="609" t="s">
        <v>19</v>
      </c>
    </row>
    <row r="5303" spans="1:27" ht="18.75" thickBot="1">
      <c r="A5303" s="2714"/>
      <c r="B5303" s="371"/>
      <c r="C5303" s="371"/>
      <c r="D5303" s="2716">
        <f t="shared" si="564"/>
        <v>1</v>
      </c>
      <c r="E5303" s="2721" t="s">
        <v>2751</v>
      </c>
      <c r="F5303" s="293"/>
      <c r="G5303" s="374" t="s">
        <v>2752</v>
      </c>
      <c r="H5303" s="375">
        <f>SUMPRODUCT($E5294:$E5302,H5294:H5302)</f>
        <v>0</v>
      </c>
      <c r="I5303" s="551">
        <f>SUMPRODUCT($E5294:$E5302,I5294:I5302)</f>
        <v>0</v>
      </c>
      <c r="J5303" s="375">
        <f>SUMPRODUCT($E5294:$E5302,J5294:J5302)</f>
        <v>0</v>
      </c>
      <c r="K5303" s="2325">
        <f>SUMPRODUCT($E5294:$E5302,K5294:K5302)</f>
        <v>0</v>
      </c>
      <c r="L5303" s="550"/>
      <c r="M5303" s="440"/>
      <c r="N5303" s="439"/>
      <c r="O5303" s="437"/>
      <c r="P5303" s="440"/>
      <c r="Q5303" s="442"/>
      <c r="R5303" s="443"/>
      <c r="S5303" s="364"/>
      <c r="Z5303" s="609" t="s">
        <v>2158</v>
      </c>
      <c r="AA5303" s="609" t="s">
        <v>19</v>
      </c>
    </row>
    <row r="5304" spans="1:27" ht="18">
      <c r="A5304" s="2714"/>
      <c r="B5304" s="371"/>
      <c r="C5304" s="371" t="s">
        <v>2755</v>
      </c>
      <c r="D5304" s="2716"/>
      <c r="F5304" s="293"/>
      <c r="G5304" s="376"/>
      <c r="H5304" s="315"/>
      <c r="I5304" s="432"/>
      <c r="J5304" s="315"/>
      <c r="K5304" s="423"/>
      <c r="L5304" s="393"/>
      <c r="M5304" s="425"/>
      <c r="N5304" s="426"/>
      <c r="O5304" s="427"/>
      <c r="P5304" s="425"/>
      <c r="Q5304" s="442"/>
      <c r="R5304" s="443"/>
      <c r="S5304" s="364"/>
      <c r="Z5304" s="609" t="s">
        <v>2158</v>
      </c>
      <c r="AA5304" s="609" t="s">
        <v>19</v>
      </c>
    </row>
    <row r="5305" spans="1:27" ht="18">
      <c r="A5305" s="2714" t="s">
        <v>2178</v>
      </c>
      <c r="B5305" s="371">
        <v>3</v>
      </c>
      <c r="C5305" s="371"/>
      <c r="D5305" s="2716" t="str">
        <f>VLOOKUP($A5305,Sheet_NoteList,2,0)</f>
        <v>政府补助退回情况</v>
      </c>
      <c r="E5305" s="2716" t="s">
        <v>2742</v>
      </c>
      <c r="F5305" s="293"/>
      <c r="G5305" s="372" t="str">
        <f>"("&amp;B5305&amp;")"&amp;D5305</f>
        <v>(3)政府补助退回情况</v>
      </c>
      <c r="H5305" s="1517" t="str">
        <f>$A5305</f>
        <v>9371j</v>
      </c>
      <c r="I5305" s="343" t="s">
        <v>2743</v>
      </c>
      <c r="J5305" s="301" t="s">
        <v>2744</v>
      </c>
      <c r="K5305" s="2210">
        <f>H5316</f>
        <v>0</v>
      </c>
      <c r="L5305" s="349"/>
      <c r="M5305" s="301" t="s">
        <v>2745</v>
      </c>
      <c r="N5305" s="2210">
        <f>I5316</f>
        <v>0</v>
      </c>
      <c r="O5305" s="349"/>
      <c r="P5305" s="301"/>
      <c r="S5305" s="364"/>
      <c r="Z5305" s="609" t="s">
        <v>2158</v>
      </c>
      <c r="AA5305" s="609" t="s">
        <v>19</v>
      </c>
    </row>
    <row r="5306" spans="1:27" ht="0.75" customHeight="1" thickBot="1">
      <c r="A5306" s="2714"/>
      <c r="B5306" s="371"/>
      <c r="C5306" s="371"/>
      <c r="D5306" s="2716"/>
      <c r="F5306" s="371"/>
      <c r="G5306" s="405" t="s">
        <v>4659</v>
      </c>
      <c r="H5306" s="371" t="s">
        <v>2747</v>
      </c>
      <c r="I5306" s="371" t="s">
        <v>2821</v>
      </c>
      <c r="J5306" s="433"/>
      <c r="K5306" s="428"/>
      <c r="L5306" s="428"/>
      <c r="M5306" s="433"/>
      <c r="N5306" s="428"/>
      <c r="O5306" s="428"/>
      <c r="P5306" s="433"/>
      <c r="Q5306" s="442"/>
      <c r="R5306" s="443"/>
      <c r="S5306" s="364"/>
      <c r="Z5306" s="609" t="s">
        <v>2158</v>
      </c>
      <c r="AA5306" s="609" t="s">
        <v>19</v>
      </c>
    </row>
    <row r="5307" spans="1:27" ht="18">
      <c r="A5307" s="2714"/>
      <c r="B5307" s="371"/>
      <c r="C5307" s="371"/>
      <c r="D5307" s="2716"/>
      <c r="E5307" s="2716" t="s">
        <v>2749</v>
      </c>
      <c r="F5307" s="293"/>
      <c r="G5307" s="373" t="s">
        <v>47</v>
      </c>
      <c r="H5307" s="406" t="s">
        <v>2887</v>
      </c>
      <c r="I5307" s="417" t="s">
        <v>4660</v>
      </c>
      <c r="J5307" s="355" t="s">
        <v>5347</v>
      </c>
      <c r="K5307" s="434"/>
      <c r="L5307" s="434"/>
      <c r="M5307" s="435"/>
      <c r="N5307" s="434"/>
      <c r="O5307" s="434"/>
      <c r="P5307" s="435"/>
      <c r="Q5307" s="442"/>
      <c r="R5307" s="443"/>
      <c r="S5307" s="364"/>
      <c r="Z5307" s="609" t="s">
        <v>2158</v>
      </c>
      <c r="AA5307" s="609" t="s">
        <v>19</v>
      </c>
    </row>
    <row r="5308" spans="1:27" ht="18">
      <c r="A5308" s="2714"/>
      <c r="B5308" s="371">
        <v>101</v>
      </c>
      <c r="C5308" s="371" t="s">
        <v>2791</v>
      </c>
      <c r="D5308" s="2716">
        <f t="shared" ref="D5308:D5316" si="565">IF(OR(G5308="*",G5308="",G5308=0),0,COUNTIF($G$5308:$G$5316,G5308))</f>
        <v>0</v>
      </c>
      <c r="E5308" s="2721">
        <v>1</v>
      </c>
      <c r="F5308" s="293"/>
      <c r="G5308" s="319" t="s">
        <v>2792</v>
      </c>
      <c r="H5308" s="309"/>
      <c r="I5308" s="444"/>
      <c r="J5308" s="438"/>
      <c r="K5308" s="439"/>
      <c r="L5308" s="437"/>
      <c r="M5308" s="438"/>
      <c r="N5308" s="439"/>
      <c r="O5308" s="437"/>
      <c r="P5308" s="438"/>
      <c r="Q5308" s="442"/>
      <c r="R5308" s="443"/>
      <c r="S5308" s="364"/>
      <c r="Z5308" s="609" t="s">
        <v>2158</v>
      </c>
      <c r="AA5308" s="609" t="s">
        <v>19</v>
      </c>
    </row>
    <row r="5309" spans="1:27" ht="18">
      <c r="A5309" s="2714"/>
      <c r="B5309" s="371">
        <v>102</v>
      </c>
      <c r="C5309" s="371" t="s">
        <v>2791</v>
      </c>
      <c r="D5309" s="2716">
        <f t="shared" si="565"/>
        <v>0</v>
      </c>
      <c r="E5309" s="2721">
        <v>1</v>
      </c>
      <c r="F5309" s="293"/>
      <c r="G5309" s="319" t="s">
        <v>2792</v>
      </c>
      <c r="H5309" s="309"/>
      <c r="I5309" s="444"/>
      <c r="J5309" s="438"/>
      <c r="K5309" s="439"/>
      <c r="L5309" s="437"/>
      <c r="M5309" s="438"/>
      <c r="N5309" s="439"/>
      <c r="O5309" s="437"/>
      <c r="P5309" s="438"/>
      <c r="Q5309" s="442"/>
      <c r="R5309" s="443"/>
      <c r="S5309" s="364"/>
      <c r="Z5309" s="609" t="s">
        <v>2158</v>
      </c>
      <c r="AA5309" s="609" t="s">
        <v>19</v>
      </c>
    </row>
    <row r="5310" spans="1:27" ht="18">
      <c r="A5310" s="2714"/>
      <c r="B5310" s="371">
        <v>103</v>
      </c>
      <c r="C5310" s="371" t="s">
        <v>2791</v>
      </c>
      <c r="D5310" s="2716">
        <f t="shared" si="565"/>
        <v>0</v>
      </c>
      <c r="E5310" s="2721">
        <v>1</v>
      </c>
      <c r="F5310" s="293"/>
      <c r="G5310" s="319" t="s">
        <v>2792</v>
      </c>
      <c r="H5310" s="309"/>
      <c r="I5310" s="444"/>
      <c r="J5310" s="438"/>
      <c r="K5310" s="439"/>
      <c r="L5310" s="437"/>
      <c r="M5310" s="438"/>
      <c r="N5310" s="439"/>
      <c r="O5310" s="437"/>
      <c r="P5310" s="438"/>
      <c r="Q5310" s="442"/>
      <c r="R5310" s="443"/>
      <c r="S5310" s="364"/>
      <c r="Z5310" s="609" t="s">
        <v>2158</v>
      </c>
      <c r="AA5310" s="609" t="s">
        <v>19</v>
      </c>
    </row>
    <row r="5311" spans="1:27" ht="18">
      <c r="A5311" s="2714"/>
      <c r="B5311" s="371">
        <v>104</v>
      </c>
      <c r="C5311" s="371" t="s">
        <v>2791</v>
      </c>
      <c r="D5311" s="2716">
        <f t="shared" si="565"/>
        <v>0</v>
      </c>
      <c r="E5311" s="2721">
        <v>1</v>
      </c>
      <c r="F5311" s="293"/>
      <c r="G5311" s="319" t="s">
        <v>2792</v>
      </c>
      <c r="H5311" s="309"/>
      <c r="I5311" s="444"/>
      <c r="J5311" s="438"/>
      <c r="K5311" s="439"/>
      <c r="L5311" s="437"/>
      <c r="M5311" s="438"/>
      <c r="N5311" s="439"/>
      <c r="O5311" s="437"/>
      <c r="P5311" s="438"/>
      <c r="Q5311" s="442"/>
      <c r="R5311" s="443"/>
      <c r="S5311" s="364"/>
      <c r="Z5311" s="609" t="s">
        <v>2158</v>
      </c>
      <c r="AA5311" s="609" t="s">
        <v>19</v>
      </c>
    </row>
    <row r="5312" spans="1:27" ht="18">
      <c r="A5312" s="2714"/>
      <c r="B5312" s="371">
        <v>105</v>
      </c>
      <c r="C5312" s="371" t="s">
        <v>2791</v>
      </c>
      <c r="D5312" s="2716">
        <f t="shared" si="565"/>
        <v>0</v>
      </c>
      <c r="E5312" s="2721">
        <v>1</v>
      </c>
      <c r="F5312" s="293"/>
      <c r="G5312" s="319" t="s">
        <v>2792</v>
      </c>
      <c r="H5312" s="309"/>
      <c r="I5312" s="444"/>
      <c r="J5312" s="438"/>
      <c r="K5312" s="439"/>
      <c r="L5312" s="437"/>
      <c r="M5312" s="438"/>
      <c r="N5312" s="439"/>
      <c r="O5312" s="437"/>
      <c r="P5312" s="438"/>
      <c r="Q5312" s="442"/>
      <c r="R5312" s="443"/>
      <c r="S5312" s="364"/>
      <c r="Z5312" s="609" t="s">
        <v>2158</v>
      </c>
      <c r="AA5312" s="609" t="s">
        <v>19</v>
      </c>
    </row>
    <row r="5313" spans="1:27" ht="18">
      <c r="A5313" s="2714"/>
      <c r="B5313" s="371">
        <v>106</v>
      </c>
      <c r="C5313" s="371" t="s">
        <v>2791</v>
      </c>
      <c r="D5313" s="2716">
        <f t="shared" si="565"/>
        <v>0</v>
      </c>
      <c r="E5313" s="2721">
        <v>1</v>
      </c>
      <c r="F5313" s="293"/>
      <c r="G5313" s="319" t="s">
        <v>2792</v>
      </c>
      <c r="H5313" s="309"/>
      <c r="I5313" s="444"/>
      <c r="J5313" s="438"/>
      <c r="K5313" s="439"/>
      <c r="L5313" s="437"/>
      <c r="M5313" s="438"/>
      <c r="N5313" s="439"/>
      <c r="O5313" s="437"/>
      <c r="P5313" s="438"/>
      <c r="Q5313" s="442"/>
      <c r="R5313" s="443"/>
      <c r="S5313" s="364"/>
      <c r="Z5313" s="609" t="s">
        <v>2158</v>
      </c>
      <c r="AA5313" s="609" t="s">
        <v>19</v>
      </c>
    </row>
    <row r="5314" spans="1:27" ht="18">
      <c r="A5314" s="2714"/>
      <c r="B5314" s="371">
        <v>107</v>
      </c>
      <c r="C5314" s="371" t="s">
        <v>2791</v>
      </c>
      <c r="D5314" s="2716">
        <f t="shared" si="565"/>
        <v>0</v>
      </c>
      <c r="E5314" s="2721">
        <v>1</v>
      </c>
      <c r="F5314" s="293"/>
      <c r="G5314" s="319" t="s">
        <v>2792</v>
      </c>
      <c r="H5314" s="309"/>
      <c r="I5314" s="444"/>
      <c r="J5314" s="438"/>
      <c r="K5314" s="439"/>
      <c r="L5314" s="437"/>
      <c r="M5314" s="438"/>
      <c r="N5314" s="439"/>
      <c r="O5314" s="437"/>
      <c r="P5314" s="438"/>
      <c r="Q5314" s="442"/>
      <c r="R5314" s="443"/>
      <c r="S5314" s="364"/>
      <c r="Z5314" s="609" t="s">
        <v>2158</v>
      </c>
      <c r="AA5314" s="609" t="s">
        <v>19</v>
      </c>
    </row>
    <row r="5315" spans="1:27" ht="18">
      <c r="A5315" s="2714"/>
      <c r="B5315" s="371">
        <v>108</v>
      </c>
      <c r="C5315" s="371" t="s">
        <v>2791</v>
      </c>
      <c r="D5315" s="2716">
        <f t="shared" si="565"/>
        <v>0</v>
      </c>
      <c r="E5315" s="2721">
        <v>1</v>
      </c>
      <c r="F5315" s="293"/>
      <c r="G5315" s="319" t="s">
        <v>2792</v>
      </c>
      <c r="H5315" s="309"/>
      <c r="I5315" s="444"/>
      <c r="J5315" s="438"/>
      <c r="K5315" s="439"/>
      <c r="L5315" s="437"/>
      <c r="M5315" s="438"/>
      <c r="N5315" s="439"/>
      <c r="O5315" s="437"/>
      <c r="P5315" s="438"/>
      <c r="Q5315" s="442"/>
      <c r="R5315" s="443"/>
      <c r="S5315" s="364"/>
      <c r="Z5315" s="609" t="s">
        <v>2158</v>
      </c>
      <c r="AA5315" s="609" t="s">
        <v>19</v>
      </c>
    </row>
    <row r="5316" spans="1:27" ht="18.75" thickBot="1">
      <c r="A5316" s="2714"/>
      <c r="B5316" s="371"/>
      <c r="C5316" s="371"/>
      <c r="D5316" s="2716">
        <f t="shared" si="565"/>
        <v>1</v>
      </c>
      <c r="E5316" s="2721" t="s">
        <v>2751</v>
      </c>
      <c r="F5316" s="293"/>
      <c r="G5316" s="374" t="s">
        <v>2752</v>
      </c>
      <c r="H5316" s="375">
        <f>SUMPRODUCT($E5307:$E5315,H5307:H5315)</f>
        <v>0</v>
      </c>
      <c r="I5316" s="552">
        <f>SUMPRODUCT($E5307:$E5315,I5307:I5315)</f>
        <v>0</v>
      </c>
      <c r="J5316" s="440"/>
      <c r="K5316" s="439"/>
      <c r="L5316" s="437"/>
      <c r="M5316" s="440"/>
      <c r="N5316" s="439"/>
      <c r="O5316" s="437"/>
      <c r="P5316" s="440"/>
      <c r="Q5316" s="442"/>
      <c r="R5316" s="443"/>
      <c r="S5316" s="364"/>
      <c r="Z5316" s="609" t="s">
        <v>2158</v>
      </c>
      <c r="AA5316" s="609" t="s">
        <v>19</v>
      </c>
    </row>
    <row r="5317" spans="1:27" ht="18">
      <c r="A5317" s="2714"/>
      <c r="B5317" s="371"/>
      <c r="C5317" s="371" t="s">
        <v>2755</v>
      </c>
      <c r="D5317" s="2716"/>
      <c r="F5317" s="293"/>
      <c r="G5317" s="376"/>
      <c r="H5317" s="315"/>
      <c r="I5317" s="432"/>
      <c r="J5317" s="425"/>
      <c r="K5317" s="426"/>
      <c r="L5317" s="427"/>
      <c r="M5317" s="425"/>
      <c r="N5317" s="426"/>
      <c r="O5317" s="427"/>
      <c r="P5317" s="425"/>
      <c r="Q5317" s="442"/>
      <c r="R5317" s="443"/>
      <c r="S5317" s="364"/>
      <c r="Z5317" s="609" t="s">
        <v>2158</v>
      </c>
      <c r="AA5317" s="609" t="s">
        <v>19</v>
      </c>
    </row>
    <row r="5318" spans="1:27" ht="18">
      <c r="A5318" s="2714">
        <v>9325</v>
      </c>
      <c r="B5318" s="371" t="s">
        <v>6569</v>
      </c>
      <c r="C5318" s="2716" t="str">
        <f>VLOOKUP($A5318,Sheet_Items,2,0)</f>
        <v>与金融工具相关的风险</v>
      </c>
      <c r="D5318" s="371"/>
      <c r="E5318" s="2716" t="s">
        <v>2739</v>
      </c>
      <c r="F5318" s="294"/>
      <c r="G5318" s="305" t="str">
        <f>B5318&amp;" "&amp;C5318</f>
        <v>八 与金融工具相关的风险</v>
      </c>
      <c r="H5318" s="306"/>
      <c r="I5318" s="306"/>
      <c r="J5318" s="306"/>
      <c r="K5318" s="539"/>
      <c r="L5318" s="342"/>
      <c r="M5318" s="306"/>
      <c r="N5318" s="539"/>
      <c r="O5318" s="306"/>
      <c r="P5318" s="301"/>
      <c r="S5318" s="364"/>
      <c r="Z5318" s="609" t="s">
        <v>2105</v>
      </c>
      <c r="AA5318" s="609"/>
    </row>
    <row r="5319" spans="1:27" ht="24">
      <c r="A5319" s="2714" t="s">
        <v>2111</v>
      </c>
      <c r="B5319" s="371">
        <v>1</v>
      </c>
      <c r="C5319" s="371"/>
      <c r="D5319" s="2716" t="str">
        <f>VLOOKUP($A5319,Sheet_NoteList,2,0)</f>
        <v>本期末金融负债到期期限</v>
      </c>
      <c r="E5319" s="2716" t="s">
        <v>2742</v>
      </c>
      <c r="F5319" s="293"/>
      <c r="G5319" s="372" t="str">
        <f>"("&amp;B5319&amp;")"&amp;D5319</f>
        <v>(1)本期末金融负债到期期限</v>
      </c>
      <c r="H5319" s="1517" t="str">
        <f>$A5319</f>
        <v>9325g</v>
      </c>
      <c r="I5319" s="343" t="s">
        <v>2743</v>
      </c>
      <c r="J5319" s="301" t="s">
        <v>2744</v>
      </c>
      <c r="K5319" s="2210">
        <f>H5334</f>
        <v>0</v>
      </c>
      <c r="L5319" s="349"/>
      <c r="M5319" s="301" t="s">
        <v>2745</v>
      </c>
      <c r="N5319" s="2210">
        <f>I5334</f>
        <v>0</v>
      </c>
      <c r="O5319" s="349"/>
      <c r="P5319" s="301"/>
      <c r="S5319" s="364"/>
      <c r="Z5319" s="609" t="s">
        <v>2105</v>
      </c>
      <c r="AA5319" s="609" t="s">
        <v>19</v>
      </c>
    </row>
    <row r="5320" spans="1:27" ht="0.75" customHeight="1">
      <c r="A5320" s="2714"/>
      <c r="B5320" s="371"/>
      <c r="C5320" s="371"/>
      <c r="D5320" s="2716"/>
      <c r="F5320" s="371"/>
      <c r="G5320" s="405" t="s">
        <v>4485</v>
      </c>
      <c r="H5320" s="371" t="s">
        <v>2747</v>
      </c>
      <c r="I5320" s="371" t="s">
        <v>2748</v>
      </c>
      <c r="J5320" s="371" t="s">
        <v>2948</v>
      </c>
      <c r="K5320" s="547" t="s">
        <v>3034</v>
      </c>
      <c r="L5320" s="547" t="s">
        <v>3035</v>
      </c>
      <c r="M5320" s="433"/>
      <c r="N5320" s="428"/>
      <c r="O5320" s="428"/>
      <c r="P5320" s="433"/>
      <c r="Q5320" s="442"/>
      <c r="R5320" s="443"/>
      <c r="S5320" s="364"/>
      <c r="Z5320" s="609" t="s">
        <v>2105</v>
      </c>
      <c r="AA5320" s="609" t="s">
        <v>19</v>
      </c>
    </row>
    <row r="5321" spans="1:27" ht="0.75" customHeight="1" thickBot="1">
      <c r="A5321" s="2714"/>
      <c r="B5321" s="371"/>
      <c r="C5321" s="371"/>
      <c r="D5321" s="2716"/>
      <c r="F5321" s="371"/>
      <c r="G5321" s="405"/>
      <c r="H5321" s="371" t="s">
        <v>4486</v>
      </c>
      <c r="I5321" s="371" t="s">
        <v>4487</v>
      </c>
      <c r="J5321" s="371" t="s">
        <v>4488</v>
      </c>
      <c r="K5321" s="547" t="s">
        <v>4489</v>
      </c>
      <c r="L5321" s="547" t="s">
        <v>4490</v>
      </c>
      <c r="M5321" s="433"/>
      <c r="N5321" s="428"/>
      <c r="O5321" s="428"/>
      <c r="P5321" s="433"/>
      <c r="Q5321" s="442"/>
      <c r="R5321" s="443"/>
      <c r="S5321" s="364"/>
      <c r="Z5321" s="609" t="s">
        <v>2105</v>
      </c>
      <c r="AA5321" s="609" t="s">
        <v>19</v>
      </c>
    </row>
    <row r="5322" spans="1:27" ht="18" customHeight="1" thickTop="1">
      <c r="A5322" s="2714"/>
      <c r="B5322" s="371"/>
      <c r="C5322" s="371"/>
      <c r="D5322" s="2716"/>
      <c r="E5322" s="2716" t="s">
        <v>2749</v>
      </c>
      <c r="F5322" s="293"/>
      <c r="G5322" s="3187" t="s">
        <v>47</v>
      </c>
      <c r="H5322" s="3278" t="str">
        <f>$V$2</f>
        <v>2019年12月31日</v>
      </c>
      <c r="I5322" s="3279"/>
      <c r="J5322" s="3279"/>
      <c r="K5322" s="3279"/>
      <c r="L5322" s="3279"/>
      <c r="M5322" s="355" t="s">
        <v>5348</v>
      </c>
      <c r="N5322" s="1536" t="s">
        <v>5541</v>
      </c>
      <c r="O5322" s="1536" t="s">
        <v>5542</v>
      </c>
      <c r="P5322" s="433"/>
      <c r="Q5322" s="442"/>
      <c r="R5322" s="443"/>
      <c r="S5322" s="364"/>
      <c r="Z5322" s="609" t="s">
        <v>2105</v>
      </c>
      <c r="AA5322" s="609" t="s">
        <v>19</v>
      </c>
    </row>
    <row r="5323" spans="1:27" ht="18">
      <c r="A5323" s="2714"/>
      <c r="B5323" s="371"/>
      <c r="C5323" s="371"/>
      <c r="D5323" s="2716"/>
      <c r="E5323" s="2716" t="s">
        <v>2749</v>
      </c>
      <c r="F5323" s="293"/>
      <c r="G5323" s="3226"/>
      <c r="H5323" s="2490" t="s">
        <v>4491</v>
      </c>
      <c r="I5323" s="2490" t="s">
        <v>4492</v>
      </c>
      <c r="J5323" s="2490" t="s">
        <v>2962</v>
      </c>
      <c r="K5323" s="2491" t="s">
        <v>2963</v>
      </c>
      <c r="L5323" s="2492" t="s">
        <v>3108</v>
      </c>
      <c r="M5323" s="435"/>
      <c r="N5323" s="1611"/>
      <c r="O5323" s="1611"/>
      <c r="P5323" s="435"/>
      <c r="Q5323" s="442"/>
      <c r="R5323" s="443"/>
      <c r="S5323" s="364"/>
      <c r="Z5323" s="609" t="s">
        <v>2105</v>
      </c>
      <c r="AA5323" s="609" t="s">
        <v>19</v>
      </c>
    </row>
    <row r="5324" spans="1:27" ht="18">
      <c r="A5324" s="2714"/>
      <c r="B5324" s="371">
        <v>101</v>
      </c>
      <c r="C5324" s="371"/>
      <c r="D5324" s="2716">
        <f t="shared" ref="D5324:D5334" si="566">IF(OR(G5324="*",G5324="",G5324=0),0,COUNTIF($G$5324:$G$5334,G5324))</f>
        <v>1</v>
      </c>
      <c r="E5324" s="2721">
        <v>1</v>
      </c>
      <c r="F5324" s="293"/>
      <c r="G5324" s="308" t="s">
        <v>454</v>
      </c>
      <c r="H5324" s="309"/>
      <c r="I5324" s="422"/>
      <c r="J5324" s="309"/>
      <c r="K5324" s="320"/>
      <c r="L5324" s="346"/>
      <c r="M5324" s="438"/>
      <c r="N5324" s="1588">
        <f ca="1">HYPERLINK("#'"&amp;$G$1&amp;"'!"&amp;ADDRESS(ROW(Notes!H3327),COLUMN(Notes!H3327),4),H3327)</f>
        <v>0</v>
      </c>
      <c r="O5324" s="1544">
        <f ca="1">N5324-SUM(H5324:L5324)</f>
        <v>0</v>
      </c>
      <c r="P5324" s="438"/>
      <c r="Q5324" s="442"/>
      <c r="R5324" s="443"/>
      <c r="S5324" s="364"/>
      <c r="Z5324" s="609" t="s">
        <v>2105</v>
      </c>
      <c r="AA5324" s="609" t="s">
        <v>19</v>
      </c>
    </row>
    <row r="5325" spans="1:27" ht="18">
      <c r="A5325" s="2714"/>
      <c r="B5325" s="371">
        <v>102</v>
      </c>
      <c r="C5325" s="371"/>
      <c r="D5325" s="2716">
        <f t="shared" si="566"/>
        <v>1</v>
      </c>
      <c r="E5325" s="2721">
        <v>1</v>
      </c>
      <c r="F5325" s="293"/>
      <c r="G5325" s="308" t="s">
        <v>462</v>
      </c>
      <c r="H5325" s="309"/>
      <c r="I5325" s="422"/>
      <c r="J5325" s="309"/>
      <c r="K5325" s="320"/>
      <c r="L5325" s="346"/>
      <c r="M5325" s="438"/>
      <c r="N5325" s="1588">
        <f ca="1">HYPERLINK("#'"&amp;$G$1&amp;"'!"&amp;ADDRESS(ROW(Notes!K3392),COLUMN(Notes!K3392),4),K3392)</f>
        <v>0</v>
      </c>
      <c r="O5325" s="1544">
        <f t="shared" ref="O5325:O5332" ca="1" si="567">N5325-SUM(H5325:L5325)</f>
        <v>0</v>
      </c>
      <c r="P5325" s="438"/>
      <c r="Q5325" s="442"/>
      <c r="R5325" s="443"/>
      <c r="S5325" s="364"/>
      <c r="Z5325" s="609" t="s">
        <v>2105</v>
      </c>
      <c r="AA5325" s="609" t="s">
        <v>19</v>
      </c>
    </row>
    <row r="5326" spans="1:27" ht="18">
      <c r="A5326" s="2714"/>
      <c r="B5326" s="371">
        <v>103</v>
      </c>
      <c r="C5326" s="371"/>
      <c r="D5326" s="2716">
        <f t="shared" si="566"/>
        <v>1</v>
      </c>
      <c r="E5326" s="2721">
        <v>1</v>
      </c>
      <c r="F5326" s="293"/>
      <c r="G5326" s="308" t="s">
        <v>471</v>
      </c>
      <c r="H5326" s="309"/>
      <c r="I5326" s="422"/>
      <c r="J5326" s="309"/>
      <c r="K5326" s="320"/>
      <c r="L5326" s="346"/>
      <c r="M5326" s="438"/>
      <c r="N5326" s="1588">
        <f ca="1">HYPERLINK("#'"&amp;$G$1&amp;"'!"&amp;ADDRESS(ROW(Notes!H3439),COLUMN(Notes!H3439),4),H3439)</f>
        <v>0</v>
      </c>
      <c r="O5326" s="1544">
        <f t="shared" ca="1" si="567"/>
        <v>0</v>
      </c>
      <c r="P5326" s="438"/>
      <c r="Q5326" s="442"/>
      <c r="R5326" s="443"/>
      <c r="S5326" s="364"/>
      <c r="Z5326" s="609" t="s">
        <v>2105</v>
      </c>
      <c r="AA5326" s="609" t="s">
        <v>19</v>
      </c>
    </row>
    <row r="5327" spans="1:27" ht="18">
      <c r="A5327" s="2714"/>
      <c r="B5327" s="371">
        <v>104</v>
      </c>
      <c r="C5327" s="371"/>
      <c r="D5327" s="2716">
        <f t="shared" si="566"/>
        <v>1</v>
      </c>
      <c r="E5327" s="2721">
        <v>1</v>
      </c>
      <c r="F5327" s="293"/>
      <c r="G5327" s="308" t="s">
        <v>476</v>
      </c>
      <c r="H5327" s="309"/>
      <c r="I5327" s="422"/>
      <c r="J5327" s="309"/>
      <c r="K5327" s="320"/>
      <c r="L5327" s="346"/>
      <c r="M5327" s="438"/>
      <c r="N5327" s="1588">
        <f ca="1">HYPERLINK("#'"&amp;$G$1&amp;"'!"&amp;ADDRESS(ROW(Notes!H3452),COLUMN(Notes!H3452),4),H3452)</f>
        <v>0</v>
      </c>
      <c r="O5327" s="1544">
        <f t="shared" ca="1" si="567"/>
        <v>0</v>
      </c>
      <c r="P5327" s="438"/>
      <c r="Q5327" s="442"/>
      <c r="R5327" s="443"/>
      <c r="S5327" s="364"/>
      <c r="Z5327" s="609" t="s">
        <v>2105</v>
      </c>
      <c r="AA5327" s="609" t="s">
        <v>19</v>
      </c>
    </row>
    <row r="5328" spans="1:27" ht="18">
      <c r="A5328" s="2714"/>
      <c r="B5328" s="371">
        <v>105</v>
      </c>
      <c r="C5328" s="371"/>
      <c r="D5328" s="2716">
        <f t="shared" si="566"/>
        <v>1</v>
      </c>
      <c r="E5328" s="2721">
        <v>1</v>
      </c>
      <c r="F5328" s="293"/>
      <c r="G5328" s="308" t="s">
        <v>499</v>
      </c>
      <c r="H5328" s="309"/>
      <c r="I5328" s="422"/>
      <c r="J5328" s="309"/>
      <c r="K5328" s="320"/>
      <c r="L5328" s="346"/>
      <c r="M5328" s="438"/>
      <c r="N5328" s="1588">
        <f ca="1">HYPERLINK("#'"&amp;$G$1&amp;"'!"&amp;ADDRESS(ROW(Notes!H3788),COLUMN(Notes!H3788),4),H3788)</f>
        <v>0</v>
      </c>
      <c r="O5328" s="1544">
        <f t="shared" ca="1" si="567"/>
        <v>0</v>
      </c>
      <c r="P5328" s="438"/>
      <c r="Q5328" s="442"/>
      <c r="R5328" s="443"/>
      <c r="S5328" s="364"/>
      <c r="Z5328" s="609" t="s">
        <v>2105</v>
      </c>
      <c r="AA5328" s="609" t="s">
        <v>19</v>
      </c>
    </row>
    <row r="5329" spans="1:27" ht="18">
      <c r="A5329" s="2714"/>
      <c r="B5329" s="371">
        <v>106</v>
      </c>
      <c r="C5329" s="371"/>
      <c r="D5329" s="2716">
        <f t="shared" si="566"/>
        <v>1</v>
      </c>
      <c r="E5329" s="2721">
        <v>1</v>
      </c>
      <c r="F5329" s="293"/>
      <c r="G5329" s="308" t="s">
        <v>513</v>
      </c>
      <c r="H5329" s="309"/>
      <c r="I5329" s="422"/>
      <c r="J5329" s="309"/>
      <c r="K5329" s="320"/>
      <c r="L5329" s="346"/>
      <c r="M5329" s="438"/>
      <c r="N5329" s="1588">
        <f ca="1">HYPERLINK("#'"&amp;$G$1&amp;"'!"&amp;ADDRESS(ROW(Notes!H3837),COLUMN(Notes!H3837),4),H3837)</f>
        <v>0</v>
      </c>
      <c r="O5329" s="1544">
        <f t="shared" ca="1" si="567"/>
        <v>0</v>
      </c>
      <c r="P5329" s="438"/>
      <c r="Q5329" s="442"/>
      <c r="R5329" s="443"/>
      <c r="S5329" s="364"/>
      <c r="Z5329" s="609" t="s">
        <v>2105</v>
      </c>
      <c r="AA5329" s="609" t="s">
        <v>19</v>
      </c>
    </row>
    <row r="5330" spans="1:27" ht="18">
      <c r="A5330" s="2714"/>
      <c r="B5330" s="371">
        <v>107</v>
      </c>
      <c r="C5330" s="371"/>
      <c r="D5330" s="2716">
        <f t="shared" si="566"/>
        <v>1</v>
      </c>
      <c r="E5330" s="2721">
        <v>1</v>
      </c>
      <c r="F5330" s="293"/>
      <c r="G5330" s="308" t="s">
        <v>546</v>
      </c>
      <c r="H5330" s="309"/>
      <c r="I5330" s="422"/>
      <c r="J5330" s="309"/>
      <c r="K5330" s="320"/>
      <c r="L5330" s="346"/>
      <c r="M5330" s="438"/>
      <c r="N5330" s="1588">
        <f ca="1">HYPERLINK("#'"&amp;$G$1&amp;"'!"&amp;ADDRESS(ROW(Notes!H4008),COLUMN(Notes!H4008),4),H4008)</f>
        <v>0</v>
      </c>
      <c r="O5330" s="1544">
        <f t="shared" ca="1" si="567"/>
        <v>0</v>
      </c>
      <c r="P5330" s="438"/>
      <c r="Q5330" s="442"/>
      <c r="R5330" s="443"/>
      <c r="S5330" s="364"/>
      <c r="Z5330" s="609" t="s">
        <v>2105</v>
      </c>
      <c r="AA5330" s="609" t="s">
        <v>19</v>
      </c>
    </row>
    <row r="5331" spans="1:27" ht="18">
      <c r="A5331" s="2714"/>
      <c r="B5331" s="371">
        <v>108</v>
      </c>
      <c r="C5331" s="371"/>
      <c r="D5331" s="2716">
        <f t="shared" si="566"/>
        <v>1</v>
      </c>
      <c r="E5331" s="2721">
        <v>1</v>
      </c>
      <c r="F5331" s="293"/>
      <c r="G5331" s="308" t="s">
        <v>550</v>
      </c>
      <c r="H5331" s="309"/>
      <c r="I5331" s="422"/>
      <c r="J5331" s="309"/>
      <c r="K5331" s="320"/>
      <c r="L5331" s="346"/>
      <c r="M5331" s="438"/>
      <c r="N5331" s="1588">
        <f ca="1">HYPERLINK("#'"&amp;$G$1&amp;"'!"&amp;ADDRESS(ROW(Notes!H4059),COLUMN(Notes!H4059),4),H4059)</f>
        <v>0</v>
      </c>
      <c r="O5331" s="1544">
        <f t="shared" ca="1" si="567"/>
        <v>0</v>
      </c>
      <c r="P5331" s="438"/>
      <c r="Q5331" s="442"/>
      <c r="R5331" s="443"/>
      <c r="S5331" s="364"/>
      <c r="Z5331" s="609" t="s">
        <v>2105</v>
      </c>
      <c r="AA5331" s="609" t="s">
        <v>19</v>
      </c>
    </row>
    <row r="5332" spans="1:27" ht="18">
      <c r="A5332" s="2714"/>
      <c r="B5332" s="371">
        <v>109</v>
      </c>
      <c r="C5332" s="371"/>
      <c r="D5332" s="2716">
        <f t="shared" si="566"/>
        <v>1</v>
      </c>
      <c r="E5332" s="2721">
        <v>1</v>
      </c>
      <c r="F5332" s="293"/>
      <c r="G5332" s="308" t="s">
        <v>554</v>
      </c>
      <c r="H5332" s="309"/>
      <c r="I5332" s="422"/>
      <c r="J5332" s="309"/>
      <c r="K5332" s="320"/>
      <c r="L5332" s="346"/>
      <c r="M5332" s="438"/>
      <c r="N5332" s="1588">
        <f ca="1">HYPERLINK("#'"&amp;$G$1&amp;"'!"&amp;ADDRESS(ROW(Notes!H4127),COLUMN(Notes!H4127),4),H4127)</f>
        <v>0</v>
      </c>
      <c r="O5332" s="1544">
        <f t="shared" ca="1" si="567"/>
        <v>0</v>
      </c>
      <c r="P5332" s="438"/>
      <c r="Q5332" s="442"/>
      <c r="R5332" s="443"/>
      <c r="S5332" s="364"/>
      <c r="Z5332" s="609" t="s">
        <v>2105</v>
      </c>
      <c r="AA5332" s="609" t="s">
        <v>19</v>
      </c>
    </row>
    <row r="5333" spans="1:27" ht="18">
      <c r="A5333" s="2714"/>
      <c r="B5333" s="371">
        <v>110</v>
      </c>
      <c r="C5333" s="371" t="s">
        <v>6536</v>
      </c>
      <c r="D5333" s="2716">
        <f t="shared" si="566"/>
        <v>0</v>
      </c>
      <c r="E5333" s="2721">
        <v>1</v>
      </c>
      <c r="F5333" s="293"/>
      <c r="G5333" s="1484" t="s">
        <v>2792</v>
      </c>
      <c r="H5333" s="309"/>
      <c r="I5333" s="422"/>
      <c r="J5333" s="309"/>
      <c r="K5333" s="320"/>
      <c r="L5333" s="346"/>
      <c r="M5333" s="438"/>
      <c r="O5333" s="1544"/>
      <c r="P5333" s="438"/>
      <c r="Q5333" s="442"/>
      <c r="R5333" s="443"/>
      <c r="S5333" s="364"/>
      <c r="Z5333" s="609" t="s">
        <v>2105</v>
      </c>
      <c r="AA5333" s="609" t="s">
        <v>19</v>
      </c>
    </row>
    <row r="5334" spans="1:27" ht="18.75" thickBot="1">
      <c r="A5334" s="2714"/>
      <c r="B5334" s="371"/>
      <c r="C5334" s="371"/>
      <c r="D5334" s="2716">
        <f t="shared" si="566"/>
        <v>1</v>
      </c>
      <c r="E5334" s="2721" t="s">
        <v>2751</v>
      </c>
      <c r="F5334" s="293"/>
      <c r="G5334" s="2234" t="s">
        <v>2752</v>
      </c>
      <c r="H5334" s="2235">
        <f>SUMPRODUCT($E5323:$E5333,H5323:H5333)</f>
        <v>0</v>
      </c>
      <c r="I5334" s="2235">
        <f>SUMPRODUCT($E5323:$E5333,I5323:I5333)</f>
        <v>0</v>
      </c>
      <c r="J5334" s="2235">
        <f>SUMPRODUCT($E5323:$E5333,J5323:J5333)</f>
        <v>0</v>
      </c>
      <c r="K5334" s="2235">
        <f>SUMPRODUCT($E5323:$E5333,K5323:K5333)</f>
        <v>0</v>
      </c>
      <c r="L5334" s="2236">
        <f>SUMPRODUCT($E5323:$E5333,L5323:L5333)</f>
        <v>0</v>
      </c>
      <c r="M5334" s="440"/>
      <c r="O5334" s="1557">
        <f ca="1">SUM(O5324:O5333)</f>
        <v>0</v>
      </c>
      <c r="P5334" s="440"/>
      <c r="Q5334" s="442"/>
      <c r="R5334" s="443"/>
      <c r="S5334" s="364"/>
      <c r="Z5334" s="609" t="s">
        <v>2105</v>
      </c>
      <c r="AA5334" s="609" t="s">
        <v>19</v>
      </c>
    </row>
    <row r="5335" spans="1:27" ht="18">
      <c r="A5335" s="2714"/>
      <c r="B5335" s="371"/>
      <c r="C5335" s="371" t="s">
        <v>2755</v>
      </c>
      <c r="D5335" s="2716"/>
      <c r="F5335" s="293"/>
      <c r="G5335" s="376"/>
      <c r="H5335" s="315"/>
      <c r="I5335" s="396"/>
      <c r="J5335" s="315"/>
      <c r="K5335" s="423"/>
      <c r="L5335" s="315"/>
      <c r="M5335" s="425"/>
      <c r="N5335" s="1585" t="s">
        <v>5495</v>
      </c>
      <c r="O5335" s="427"/>
      <c r="P5335" s="425"/>
      <c r="Q5335" s="442"/>
      <c r="R5335" s="443"/>
      <c r="S5335" s="364"/>
      <c r="Z5335" s="609" t="s">
        <v>2105</v>
      </c>
      <c r="AA5335" s="609" t="s">
        <v>19</v>
      </c>
    </row>
    <row r="5336" spans="1:27" ht="24">
      <c r="A5336" s="2714" t="s">
        <v>2113</v>
      </c>
      <c r="B5336" s="371">
        <v>2</v>
      </c>
      <c r="C5336" s="371"/>
      <c r="D5336" s="2716" t="str">
        <f>VLOOKUP($A5336,Sheet_NoteList,2,0)</f>
        <v>上期末金融负债到期期限</v>
      </c>
      <c r="E5336" s="2716" t="s">
        <v>2742</v>
      </c>
      <c r="F5336" s="293"/>
      <c r="G5336" s="372" t="str">
        <f>"("&amp;B5336&amp;")"&amp;D5336</f>
        <v>(2)上期末金融负债到期期限</v>
      </c>
      <c r="H5336" s="1517" t="str">
        <f>$A5336</f>
        <v>9325h</v>
      </c>
      <c r="I5336" s="343" t="s">
        <v>2743</v>
      </c>
      <c r="J5336" s="301" t="s">
        <v>2744</v>
      </c>
      <c r="K5336" s="2210">
        <f>H5351</f>
        <v>0</v>
      </c>
      <c r="L5336" s="349"/>
      <c r="M5336" s="301" t="s">
        <v>2745</v>
      </c>
      <c r="N5336" s="2210">
        <f>I5351</f>
        <v>0</v>
      </c>
      <c r="O5336" s="349"/>
      <c r="P5336" s="301"/>
      <c r="S5336" s="364"/>
      <c r="Z5336" s="609" t="s">
        <v>2105</v>
      </c>
      <c r="AA5336" s="609" t="s">
        <v>19</v>
      </c>
    </row>
    <row r="5337" spans="1:27" ht="0.75" customHeight="1">
      <c r="A5337" s="2714"/>
      <c r="B5337" s="371"/>
      <c r="C5337" s="371"/>
      <c r="D5337" s="2716"/>
      <c r="F5337" s="371"/>
      <c r="G5337" s="405" t="s">
        <v>4493</v>
      </c>
      <c r="H5337" s="371" t="s">
        <v>2747</v>
      </c>
      <c r="I5337" s="371" t="s">
        <v>2748</v>
      </c>
      <c r="J5337" s="371" t="s">
        <v>2948</v>
      </c>
      <c r="K5337" s="547" t="s">
        <v>3034</v>
      </c>
      <c r="L5337" s="547" t="s">
        <v>3035</v>
      </c>
      <c r="M5337" s="433"/>
      <c r="N5337" s="428"/>
      <c r="O5337" s="428"/>
      <c r="P5337" s="433"/>
      <c r="Q5337" s="442"/>
      <c r="R5337" s="443"/>
      <c r="S5337" s="364"/>
      <c r="Z5337" s="609" t="s">
        <v>2105</v>
      </c>
      <c r="AA5337" s="609" t="s">
        <v>19</v>
      </c>
    </row>
    <row r="5338" spans="1:27" ht="0.75" customHeight="1" thickBot="1">
      <c r="A5338" s="2714"/>
      <c r="B5338" s="371"/>
      <c r="C5338" s="371"/>
      <c r="D5338" s="2716"/>
      <c r="F5338" s="371"/>
      <c r="G5338" s="405"/>
      <c r="H5338" s="371" t="s">
        <v>4494</v>
      </c>
      <c r="I5338" s="371" t="s">
        <v>4495</v>
      </c>
      <c r="J5338" s="371" t="s">
        <v>4496</v>
      </c>
      <c r="K5338" s="547" t="s">
        <v>4497</v>
      </c>
      <c r="L5338" s="547" t="s">
        <v>4498</v>
      </c>
      <c r="M5338" s="433"/>
      <c r="N5338" s="428"/>
      <c r="O5338" s="428"/>
      <c r="P5338" s="433"/>
      <c r="Q5338" s="442"/>
      <c r="R5338" s="443"/>
      <c r="S5338" s="364"/>
      <c r="Z5338" s="609" t="s">
        <v>2105</v>
      </c>
      <c r="AA5338" s="609" t="s">
        <v>19</v>
      </c>
    </row>
    <row r="5339" spans="1:27" ht="18" customHeight="1" thickTop="1">
      <c r="A5339" s="2714"/>
      <c r="B5339" s="371"/>
      <c r="C5339" s="371"/>
      <c r="D5339" s="2716"/>
      <c r="E5339" s="2716" t="s">
        <v>2749</v>
      </c>
      <c r="F5339" s="293"/>
      <c r="G5339" s="3187" t="s">
        <v>47</v>
      </c>
      <c r="H5339" s="3278" t="str">
        <f>$V$3</f>
        <v>2018年12月31日</v>
      </c>
      <c r="I5339" s="3279"/>
      <c r="J5339" s="3279"/>
      <c r="K5339" s="3279"/>
      <c r="L5339" s="3279"/>
      <c r="M5339" s="355" t="s">
        <v>5348</v>
      </c>
      <c r="N5339" s="1536" t="s">
        <v>5543</v>
      </c>
      <c r="O5339" s="1536" t="s">
        <v>5542</v>
      </c>
      <c r="P5339" s="435"/>
      <c r="Q5339" s="442"/>
      <c r="R5339" s="443"/>
      <c r="S5339" s="364"/>
      <c r="Z5339" s="609" t="s">
        <v>2105</v>
      </c>
      <c r="AA5339" s="609" t="s">
        <v>19</v>
      </c>
    </row>
    <row r="5340" spans="1:27" ht="18">
      <c r="A5340" s="2714"/>
      <c r="B5340" s="371"/>
      <c r="C5340" s="371"/>
      <c r="D5340" s="2716"/>
      <c r="E5340" s="2716" t="s">
        <v>2749</v>
      </c>
      <c r="F5340" s="293"/>
      <c r="G5340" s="3226"/>
      <c r="H5340" s="2490" t="s">
        <v>4491</v>
      </c>
      <c r="I5340" s="2490" t="s">
        <v>4492</v>
      </c>
      <c r="J5340" s="2490" t="s">
        <v>2962</v>
      </c>
      <c r="K5340" s="2491" t="s">
        <v>2963</v>
      </c>
      <c r="L5340" s="2492" t="s">
        <v>3108</v>
      </c>
      <c r="M5340" s="435"/>
      <c r="N5340" s="1611"/>
      <c r="O5340" s="1611"/>
      <c r="P5340" s="435"/>
      <c r="Q5340" s="442"/>
      <c r="R5340" s="443"/>
      <c r="S5340" s="364"/>
      <c r="Z5340" s="609" t="s">
        <v>2105</v>
      </c>
      <c r="AA5340" s="609" t="s">
        <v>19</v>
      </c>
    </row>
    <row r="5341" spans="1:27" ht="18">
      <c r="A5341" s="2714"/>
      <c r="B5341" s="371">
        <v>101</v>
      </c>
      <c r="C5341" s="371"/>
      <c r="D5341" s="2716">
        <f t="shared" ref="D5341:D5351" si="568">IF(OR(G5341="*",G5341="",G5341=0),0,COUNTIF($G$5341:$G$5351,G5341))</f>
        <v>1</v>
      </c>
      <c r="E5341" s="2721">
        <v>1</v>
      </c>
      <c r="F5341" s="293"/>
      <c r="G5341" s="319" t="s">
        <v>454</v>
      </c>
      <c r="H5341" s="309"/>
      <c r="I5341" s="422"/>
      <c r="J5341" s="309"/>
      <c r="K5341" s="320"/>
      <c r="L5341" s="346"/>
      <c r="M5341" s="438"/>
      <c r="N5341" s="1588">
        <f ca="1">HYPERLINK("#'"&amp;$G$1&amp;"'!"&amp;ADDRESS(ROW(Notes!I3327),COLUMN(Notes!I3327),4),I3327)</f>
        <v>0</v>
      </c>
      <c r="O5341" s="1544">
        <f ca="1">N5341-SUM(H5341:L5341)</f>
        <v>0</v>
      </c>
      <c r="P5341" s="438"/>
      <c r="Q5341" s="442"/>
      <c r="R5341" s="443"/>
      <c r="S5341" s="364"/>
      <c r="Z5341" s="609" t="s">
        <v>2105</v>
      </c>
      <c r="AA5341" s="609" t="s">
        <v>19</v>
      </c>
    </row>
    <row r="5342" spans="1:27" ht="18">
      <c r="A5342" s="2714"/>
      <c r="B5342" s="371">
        <v>102</v>
      </c>
      <c r="C5342" s="371"/>
      <c r="D5342" s="2716">
        <f t="shared" si="568"/>
        <v>1</v>
      </c>
      <c r="E5342" s="2721">
        <v>1</v>
      </c>
      <c r="F5342" s="293"/>
      <c r="G5342" s="319" t="s">
        <v>471</v>
      </c>
      <c r="H5342" s="309"/>
      <c r="I5342" s="422"/>
      <c r="J5342" s="309"/>
      <c r="K5342" s="320"/>
      <c r="L5342" s="346"/>
      <c r="M5342" s="438"/>
      <c r="N5342" s="1588">
        <f ca="1">HYPERLINK("#'"&amp;$G$1&amp;"'!"&amp;ADDRESS(ROW(Notes!I3439),COLUMN(Notes!I3439),4),I3439)</f>
        <v>0</v>
      </c>
      <c r="O5342" s="1544">
        <f t="shared" ref="O5342:O5348" ca="1" si="569">N5342-SUM(H5342:L5342)</f>
        <v>0</v>
      </c>
      <c r="P5342" s="438"/>
      <c r="Q5342" s="442"/>
      <c r="R5342" s="443"/>
      <c r="S5342" s="364"/>
      <c r="Z5342" s="609" t="s">
        <v>2105</v>
      </c>
      <c r="AA5342" s="609" t="s">
        <v>19</v>
      </c>
    </row>
    <row r="5343" spans="1:27" ht="18">
      <c r="A5343" s="2714"/>
      <c r="B5343" s="371">
        <v>103</v>
      </c>
      <c r="C5343" s="371"/>
      <c r="D5343" s="2716">
        <f t="shared" si="568"/>
        <v>1</v>
      </c>
      <c r="E5343" s="2721">
        <v>1</v>
      </c>
      <c r="F5343" s="293"/>
      <c r="G5343" s="319" t="s">
        <v>476</v>
      </c>
      <c r="H5343" s="309"/>
      <c r="I5343" s="422"/>
      <c r="J5343" s="309"/>
      <c r="K5343" s="320"/>
      <c r="L5343" s="346"/>
      <c r="M5343" s="438"/>
      <c r="N5343" s="1588">
        <f ca="1">HYPERLINK("#'"&amp;$G$1&amp;"'!"&amp;ADDRESS(ROW(Notes!I3452),COLUMN(Notes!I3452),4),I3452)</f>
        <v>0</v>
      </c>
      <c r="O5343" s="1544">
        <f t="shared" ca="1" si="569"/>
        <v>0</v>
      </c>
      <c r="P5343" s="438"/>
      <c r="Q5343" s="442"/>
      <c r="R5343" s="443"/>
      <c r="S5343" s="364"/>
      <c r="Z5343" s="609" t="s">
        <v>2105</v>
      </c>
      <c r="AA5343" s="609" t="s">
        <v>19</v>
      </c>
    </row>
    <row r="5344" spans="1:27" ht="18">
      <c r="A5344" s="2714"/>
      <c r="B5344" s="371">
        <v>104</v>
      </c>
      <c r="C5344" s="371"/>
      <c r="D5344" s="2716">
        <f t="shared" si="568"/>
        <v>1</v>
      </c>
      <c r="E5344" s="2721">
        <v>1</v>
      </c>
      <c r="F5344" s="293"/>
      <c r="G5344" s="319" t="s">
        <v>499</v>
      </c>
      <c r="H5344" s="309"/>
      <c r="I5344" s="422"/>
      <c r="J5344" s="309"/>
      <c r="K5344" s="320"/>
      <c r="L5344" s="346"/>
      <c r="M5344" s="438"/>
      <c r="N5344" s="1588">
        <f ca="1">HYPERLINK("#'"&amp;$G$1&amp;"'!"&amp;ADDRESS(ROW(Notes!I3788),COLUMN(Notes!I3788),4),I3788)</f>
        <v>0</v>
      </c>
      <c r="O5344" s="1544">
        <f t="shared" ca="1" si="569"/>
        <v>0</v>
      </c>
      <c r="P5344" s="438"/>
      <c r="Q5344" s="442"/>
      <c r="R5344" s="443"/>
      <c r="S5344" s="364"/>
      <c r="Z5344" s="609" t="s">
        <v>2105</v>
      </c>
      <c r="AA5344" s="609" t="s">
        <v>19</v>
      </c>
    </row>
    <row r="5345" spans="1:27" ht="18">
      <c r="A5345" s="2714"/>
      <c r="B5345" s="371">
        <v>105</v>
      </c>
      <c r="C5345" s="371"/>
      <c r="D5345" s="2716">
        <f t="shared" si="568"/>
        <v>1</v>
      </c>
      <c r="E5345" s="2721">
        <v>1</v>
      </c>
      <c r="F5345" s="293"/>
      <c r="G5345" s="319" t="s">
        <v>513</v>
      </c>
      <c r="H5345" s="309"/>
      <c r="I5345" s="422"/>
      <c r="J5345" s="309"/>
      <c r="K5345" s="320"/>
      <c r="L5345" s="346"/>
      <c r="M5345" s="438"/>
      <c r="N5345" s="1588">
        <f ca="1">HYPERLINK("#'"&amp;$G$1&amp;"'!"&amp;ADDRESS(ROW(Notes!I3837),COLUMN(Notes!I3837),4),I3837)</f>
        <v>0</v>
      </c>
      <c r="O5345" s="1544">
        <f t="shared" ca="1" si="569"/>
        <v>0</v>
      </c>
      <c r="P5345" s="438"/>
      <c r="Q5345" s="442"/>
      <c r="R5345" s="443"/>
      <c r="S5345" s="364"/>
      <c r="Z5345" s="609" t="s">
        <v>2105</v>
      </c>
      <c r="AA5345" s="609" t="s">
        <v>19</v>
      </c>
    </row>
    <row r="5346" spans="1:27" ht="18">
      <c r="A5346" s="2714"/>
      <c r="B5346" s="371">
        <v>106</v>
      </c>
      <c r="C5346" s="371"/>
      <c r="D5346" s="2716">
        <f t="shared" si="568"/>
        <v>1</v>
      </c>
      <c r="E5346" s="2721">
        <v>1</v>
      </c>
      <c r="F5346" s="293"/>
      <c r="G5346" s="319" t="s">
        <v>546</v>
      </c>
      <c r="H5346" s="309"/>
      <c r="I5346" s="422"/>
      <c r="J5346" s="309"/>
      <c r="K5346" s="320"/>
      <c r="L5346" s="346"/>
      <c r="M5346" s="438"/>
      <c r="N5346" s="1588">
        <f ca="1">HYPERLINK("#'"&amp;$G$1&amp;"'!"&amp;ADDRESS(ROW(Notes!I4008),COLUMN(Notes!I4008),4),I4008)</f>
        <v>0</v>
      </c>
      <c r="O5346" s="1544">
        <f t="shared" ca="1" si="569"/>
        <v>0</v>
      </c>
      <c r="P5346" s="438"/>
      <c r="Q5346" s="442"/>
      <c r="R5346" s="443"/>
      <c r="S5346" s="364"/>
      <c r="Z5346" s="609" t="s">
        <v>2105</v>
      </c>
      <c r="AA5346" s="609" t="s">
        <v>19</v>
      </c>
    </row>
    <row r="5347" spans="1:27" ht="18">
      <c r="A5347" s="2714"/>
      <c r="B5347" s="371">
        <v>107</v>
      </c>
      <c r="C5347" s="371"/>
      <c r="D5347" s="2716">
        <f t="shared" si="568"/>
        <v>1</v>
      </c>
      <c r="E5347" s="2721">
        <v>1</v>
      </c>
      <c r="F5347" s="293"/>
      <c r="G5347" s="319" t="s">
        <v>550</v>
      </c>
      <c r="H5347" s="309"/>
      <c r="I5347" s="422"/>
      <c r="J5347" s="309"/>
      <c r="K5347" s="320"/>
      <c r="L5347" s="346"/>
      <c r="M5347" s="438"/>
      <c r="N5347" s="1588">
        <f ca="1">HYPERLINK("#'"&amp;$G$1&amp;"'!"&amp;ADDRESS(ROW(Notes!I4059),COLUMN(Notes!I4059),4),I4059)</f>
        <v>0</v>
      </c>
      <c r="O5347" s="1544">
        <f t="shared" ca="1" si="569"/>
        <v>0</v>
      </c>
      <c r="P5347" s="438"/>
      <c r="Q5347" s="442"/>
      <c r="R5347" s="443"/>
      <c r="S5347" s="364"/>
      <c r="Z5347" s="609" t="s">
        <v>2105</v>
      </c>
      <c r="AA5347" s="609" t="s">
        <v>19</v>
      </c>
    </row>
    <row r="5348" spans="1:27" ht="18">
      <c r="A5348" s="2714"/>
      <c r="B5348" s="371">
        <v>108</v>
      </c>
      <c r="C5348" s="371"/>
      <c r="D5348" s="2716">
        <f t="shared" si="568"/>
        <v>1</v>
      </c>
      <c r="E5348" s="2721">
        <v>1</v>
      </c>
      <c r="F5348" s="293"/>
      <c r="G5348" s="319" t="s">
        <v>554</v>
      </c>
      <c r="H5348" s="309"/>
      <c r="I5348" s="422"/>
      <c r="J5348" s="309"/>
      <c r="K5348" s="320"/>
      <c r="L5348" s="346"/>
      <c r="M5348" s="438"/>
      <c r="N5348" s="1588">
        <f ca="1">HYPERLINK("#'"&amp;$G$1&amp;"'!"&amp;ADDRESS(ROW(Notes!I4127),COLUMN(Notes!I4127),4),I4127)</f>
        <v>0</v>
      </c>
      <c r="O5348" s="1544">
        <f t="shared" ca="1" si="569"/>
        <v>0</v>
      </c>
      <c r="P5348" s="438"/>
      <c r="Q5348" s="442"/>
      <c r="R5348" s="443"/>
      <c r="S5348" s="364"/>
      <c r="Z5348" s="609" t="s">
        <v>2105</v>
      </c>
      <c r="AA5348" s="609" t="s">
        <v>19</v>
      </c>
    </row>
    <row r="5349" spans="1:27" ht="18">
      <c r="A5349" s="2714"/>
      <c r="B5349" s="371">
        <v>109</v>
      </c>
      <c r="C5349" s="371" t="s">
        <v>2791</v>
      </c>
      <c r="D5349" s="2716">
        <f t="shared" si="568"/>
        <v>0</v>
      </c>
      <c r="E5349" s="2721">
        <v>1</v>
      </c>
      <c r="F5349" s="293"/>
      <c r="G5349" s="319" t="s">
        <v>2792</v>
      </c>
      <c r="H5349" s="309"/>
      <c r="I5349" s="422"/>
      <c r="J5349" s="309"/>
      <c r="K5349" s="320"/>
      <c r="L5349" s="346"/>
      <c r="M5349" s="438"/>
      <c r="O5349" s="1544"/>
      <c r="P5349" s="438"/>
      <c r="Q5349" s="442"/>
      <c r="R5349" s="443"/>
      <c r="S5349" s="364"/>
      <c r="Z5349" s="609" t="s">
        <v>2105</v>
      </c>
      <c r="AA5349" s="609" t="s">
        <v>19</v>
      </c>
    </row>
    <row r="5350" spans="1:27" ht="18">
      <c r="A5350" s="2714"/>
      <c r="B5350" s="371">
        <v>110</v>
      </c>
      <c r="C5350" s="371" t="s">
        <v>2791</v>
      </c>
      <c r="D5350" s="2716">
        <f t="shared" si="568"/>
        <v>0</v>
      </c>
      <c r="E5350" s="2721">
        <v>1</v>
      </c>
      <c r="F5350" s="293"/>
      <c r="G5350" s="319" t="s">
        <v>2792</v>
      </c>
      <c r="H5350" s="309"/>
      <c r="I5350" s="422"/>
      <c r="J5350" s="309"/>
      <c r="K5350" s="320"/>
      <c r="L5350" s="346"/>
      <c r="M5350" s="438"/>
      <c r="O5350" s="1544"/>
      <c r="P5350" s="438"/>
      <c r="Q5350" s="442"/>
      <c r="R5350" s="443"/>
      <c r="S5350" s="364"/>
      <c r="Z5350" s="609" t="s">
        <v>2105</v>
      </c>
      <c r="AA5350" s="609" t="s">
        <v>19</v>
      </c>
    </row>
    <row r="5351" spans="1:27" ht="18.75" thickBot="1">
      <c r="A5351" s="2714"/>
      <c r="B5351" s="371"/>
      <c r="C5351" s="371"/>
      <c r="D5351" s="2716">
        <f t="shared" si="568"/>
        <v>1</v>
      </c>
      <c r="E5351" s="2721" t="s">
        <v>2751</v>
      </c>
      <c r="F5351" s="293"/>
      <c r="G5351" s="2234" t="s">
        <v>2752</v>
      </c>
      <c r="H5351" s="2325">
        <f>SUMPRODUCT($E5340:$E5350,H5340:H5350)</f>
        <v>0</v>
      </c>
      <c r="I5351" s="2325">
        <f>SUMPRODUCT($E5340:$E5350,I5340:I5350)</f>
        <v>0</v>
      </c>
      <c r="J5351" s="2325">
        <f>SUMPRODUCT($E5340:$E5350,J5340:J5350)</f>
        <v>0</v>
      </c>
      <c r="K5351" s="2325">
        <f>SUMPRODUCT($E5340:$E5350,K5340:K5350)</f>
        <v>0</v>
      </c>
      <c r="L5351" s="2342">
        <f>SUMPRODUCT($E5340:$E5350,L5340:L5350)</f>
        <v>0</v>
      </c>
      <c r="M5351" s="440"/>
      <c r="O5351" s="1557">
        <f ca="1">SUM(O5341:O5350)</f>
        <v>0</v>
      </c>
      <c r="P5351" s="440"/>
      <c r="Q5351" s="442"/>
      <c r="R5351" s="443"/>
      <c r="S5351" s="364"/>
      <c r="Z5351" s="609" t="s">
        <v>2105</v>
      </c>
      <c r="AA5351" s="609" t="s">
        <v>19</v>
      </c>
    </row>
    <row r="5352" spans="1:27" ht="18">
      <c r="A5352" s="2714"/>
      <c r="B5352" s="371"/>
      <c r="C5352" s="371" t="s">
        <v>2755</v>
      </c>
      <c r="D5352" s="2716"/>
      <c r="F5352" s="293"/>
      <c r="G5352" s="376"/>
      <c r="H5352" s="315"/>
      <c r="I5352" s="396"/>
      <c r="J5352" s="315"/>
      <c r="K5352" s="423"/>
      <c r="L5352" s="315"/>
      <c r="M5352" s="425"/>
      <c r="N5352" s="1585" t="s">
        <v>5495</v>
      </c>
      <c r="O5352" s="427"/>
      <c r="P5352" s="425"/>
      <c r="Q5352" s="442"/>
      <c r="R5352" s="443"/>
      <c r="S5352" s="364"/>
      <c r="Z5352" s="609" t="s">
        <v>2105</v>
      </c>
      <c r="AA5352" s="609" t="s">
        <v>19</v>
      </c>
    </row>
    <row r="5353" spans="1:27" ht="24">
      <c r="A5353" s="2714" t="s">
        <v>2115</v>
      </c>
      <c r="B5353" s="371">
        <v>3</v>
      </c>
      <c r="C5353" s="371"/>
      <c r="D5353" s="2716" t="str">
        <f>VLOOKUP($A5353,Sheet_NoteList,2,0)</f>
        <v>本期末金融资产的到期期限分析</v>
      </c>
      <c r="E5353" s="2716" t="s">
        <v>2742</v>
      </c>
      <c r="F5353" s="293"/>
      <c r="G5353" s="372" t="str">
        <f>"("&amp;B5353&amp;")"&amp;D5353</f>
        <v>(3)本期末金融资产的到期期限分析</v>
      </c>
      <c r="H5353" s="1517" t="str">
        <f>$A5353</f>
        <v>9325i</v>
      </c>
      <c r="I5353" s="343" t="s">
        <v>2743</v>
      </c>
      <c r="J5353" s="301" t="s">
        <v>2744</v>
      </c>
      <c r="K5353" s="2210">
        <f>H5367</f>
        <v>0</v>
      </c>
      <c r="L5353" s="349"/>
      <c r="M5353" s="301" t="s">
        <v>2745</v>
      </c>
      <c r="N5353" s="2210">
        <f>I5367</f>
        <v>0</v>
      </c>
      <c r="O5353" s="349"/>
      <c r="P5353" s="301"/>
      <c r="S5353" s="364"/>
      <c r="Z5353" s="609" t="s">
        <v>2105</v>
      </c>
      <c r="AA5353" s="609" t="s">
        <v>19</v>
      </c>
    </row>
    <row r="5354" spans="1:27" ht="0.75" customHeight="1">
      <c r="A5354" s="2714"/>
      <c r="B5354" s="371"/>
      <c r="C5354" s="371"/>
      <c r="D5354" s="2716"/>
      <c r="F5354" s="371"/>
      <c r="G5354" s="405" t="s">
        <v>4499</v>
      </c>
      <c r="H5354" s="371" t="s">
        <v>2747</v>
      </c>
      <c r="I5354" s="371" t="s">
        <v>2748</v>
      </c>
      <c r="J5354" s="371" t="s">
        <v>2948</v>
      </c>
      <c r="K5354" s="547" t="s">
        <v>3034</v>
      </c>
      <c r="L5354" s="547" t="s">
        <v>3035</v>
      </c>
      <c r="M5354" s="371" t="s">
        <v>3036</v>
      </c>
      <c r="N5354" s="428"/>
      <c r="O5354" s="428"/>
      <c r="P5354" s="433"/>
      <c r="Q5354" s="442"/>
      <c r="R5354" s="443"/>
      <c r="S5354" s="364"/>
      <c r="Z5354" s="609" t="s">
        <v>2105</v>
      </c>
      <c r="AA5354" s="609" t="s">
        <v>19</v>
      </c>
    </row>
    <row r="5355" spans="1:27" ht="0.75" customHeight="1" thickBot="1">
      <c r="A5355" s="2714"/>
      <c r="B5355" s="371"/>
      <c r="C5355" s="371"/>
      <c r="D5355" s="2716"/>
      <c r="F5355" s="371"/>
      <c r="G5355" s="405"/>
      <c r="H5355" s="371" t="s">
        <v>4500</v>
      </c>
      <c r="I5355" s="371" t="s">
        <v>4501</v>
      </c>
      <c r="J5355" s="371" t="s">
        <v>4502</v>
      </c>
      <c r="K5355" s="547" t="s">
        <v>4503</v>
      </c>
      <c r="L5355" s="547" t="s">
        <v>4504</v>
      </c>
      <c r="M5355" s="371" t="s">
        <v>4505</v>
      </c>
      <c r="N5355" s="428"/>
      <c r="O5355" s="428"/>
      <c r="P5355" s="433"/>
      <c r="Q5355" s="442"/>
      <c r="R5355" s="443"/>
      <c r="S5355" s="364"/>
      <c r="Z5355" s="609" t="s">
        <v>2105</v>
      </c>
      <c r="AA5355" s="609" t="s">
        <v>19</v>
      </c>
    </row>
    <row r="5356" spans="1:27" ht="18" customHeight="1" thickTop="1">
      <c r="A5356" s="2714"/>
      <c r="B5356" s="371"/>
      <c r="C5356" s="371"/>
      <c r="D5356" s="2716"/>
      <c r="E5356" s="2716" t="s">
        <v>2749</v>
      </c>
      <c r="F5356" s="293"/>
      <c r="G5356" s="3187" t="s">
        <v>47</v>
      </c>
      <c r="H5356" s="3278" t="str">
        <f>$V$2</f>
        <v>2019年12月31日</v>
      </c>
      <c r="I5356" s="3279"/>
      <c r="J5356" s="3279"/>
      <c r="K5356" s="3279"/>
      <c r="L5356" s="3279"/>
      <c r="M5356" s="3279"/>
      <c r="N5356" s="355" t="s">
        <v>5348</v>
      </c>
      <c r="O5356" s="1536" t="s">
        <v>5541</v>
      </c>
      <c r="P5356" s="1536" t="s">
        <v>5542</v>
      </c>
      <c r="Q5356" s="442"/>
      <c r="R5356" s="443"/>
      <c r="S5356" s="364"/>
      <c r="Z5356" s="609" t="s">
        <v>2105</v>
      </c>
      <c r="AA5356" s="609" t="s">
        <v>19</v>
      </c>
    </row>
    <row r="5357" spans="1:27" ht="18">
      <c r="A5357" s="2714"/>
      <c r="B5357" s="371"/>
      <c r="C5357" s="371"/>
      <c r="D5357" s="2716"/>
      <c r="E5357" s="2716" t="s">
        <v>2749</v>
      </c>
      <c r="F5357" s="293"/>
      <c r="G5357" s="3226"/>
      <c r="H5357" s="2490" t="s">
        <v>4506</v>
      </c>
      <c r="I5357" s="2490" t="s">
        <v>4507</v>
      </c>
      <c r="J5357" s="2490" t="s">
        <v>4508</v>
      </c>
      <c r="K5357" s="2491" t="s">
        <v>4509</v>
      </c>
      <c r="L5357" s="2491" t="s">
        <v>2944</v>
      </c>
      <c r="M5357" s="2493" t="s">
        <v>3351</v>
      </c>
      <c r="N5357" s="434"/>
      <c r="O5357" s="1611"/>
      <c r="P5357" s="1611"/>
      <c r="Q5357" s="442"/>
      <c r="R5357" s="443"/>
      <c r="S5357" s="364"/>
      <c r="Z5357" s="609" t="s">
        <v>2105</v>
      </c>
      <c r="AA5357" s="609" t="s">
        <v>19</v>
      </c>
    </row>
    <row r="5358" spans="1:27" ht="18">
      <c r="A5358" s="2714"/>
      <c r="B5358" s="371">
        <v>101</v>
      </c>
      <c r="C5358" s="371"/>
      <c r="D5358" s="2716">
        <f t="shared" ref="D5358:D5367" si="570">IF(OR(G5358="*",G5358="",G5358=0),0,COUNTIF($G$5358:$G$5367,G5358))</f>
        <v>1</v>
      </c>
      <c r="E5358" s="2721">
        <v>1</v>
      </c>
      <c r="F5358" s="293"/>
      <c r="G5358" s="319" t="s">
        <v>10</v>
      </c>
      <c r="H5358" s="309"/>
      <c r="I5358" s="422"/>
      <c r="J5358" s="309"/>
      <c r="K5358" s="320"/>
      <c r="L5358" s="309"/>
      <c r="M5358" s="346"/>
      <c r="N5358" s="439"/>
      <c r="O5358" s="1588">
        <f ca="1">HYPERLINK("#'"&amp;$G$1&amp;"'!"&amp;ADDRESS(ROW(Notes!H17),COLUMN(Notes!H17),4),H17)</f>
        <v>0</v>
      </c>
      <c r="P5358" s="1544">
        <f ca="1">O5358-M5358</f>
        <v>0</v>
      </c>
      <c r="Q5358" s="442"/>
      <c r="R5358" s="443"/>
      <c r="S5358" s="364"/>
      <c r="Z5358" s="609" t="s">
        <v>2105</v>
      </c>
      <c r="AA5358" s="609" t="s">
        <v>19</v>
      </c>
    </row>
    <row r="5359" spans="1:27" ht="18">
      <c r="A5359" s="2714"/>
      <c r="B5359" s="371">
        <v>102</v>
      </c>
      <c r="C5359" s="371"/>
      <c r="D5359" s="2716">
        <f t="shared" si="570"/>
        <v>1</v>
      </c>
      <c r="E5359" s="2721">
        <v>1</v>
      </c>
      <c r="F5359" s="293"/>
      <c r="G5359" s="319" t="s">
        <v>109</v>
      </c>
      <c r="H5359" s="309"/>
      <c r="I5359" s="422"/>
      <c r="J5359" s="309"/>
      <c r="K5359" s="320"/>
      <c r="L5359" s="309"/>
      <c r="M5359" s="346"/>
      <c r="N5359" s="439"/>
      <c r="O5359" s="1588">
        <f ca="1">HYPERLINK("#'"&amp;$G$1&amp;"'!"&amp;ADDRESS(ROW(Notes!J128),COLUMN(Notes!J128),4),J128)</f>
        <v>0</v>
      </c>
      <c r="P5359" s="1544">
        <f t="shared" ref="P5359:P5365" ca="1" si="571">O5359-M5359</f>
        <v>0</v>
      </c>
      <c r="Q5359" s="442"/>
      <c r="R5359" s="443"/>
      <c r="S5359" s="364"/>
      <c r="Z5359" s="609" t="s">
        <v>2105</v>
      </c>
      <c r="AA5359" s="609" t="s">
        <v>19</v>
      </c>
    </row>
    <row r="5360" spans="1:27" ht="18">
      <c r="A5360" s="2714"/>
      <c r="B5360" s="371">
        <v>103</v>
      </c>
      <c r="C5360" s="371"/>
      <c r="D5360" s="2716">
        <f t="shared" si="570"/>
        <v>1</v>
      </c>
      <c r="E5360" s="2721">
        <v>1</v>
      </c>
      <c r="F5360" s="293"/>
      <c r="G5360" s="319" t="s">
        <v>124</v>
      </c>
      <c r="H5360" s="309"/>
      <c r="I5360" s="422"/>
      <c r="J5360" s="309"/>
      <c r="K5360" s="320"/>
      <c r="L5360" s="309"/>
      <c r="M5360" s="346"/>
      <c r="N5360" s="439"/>
      <c r="O5360" s="1588">
        <f ca="1">HYPERLINK("#'"&amp;$G$1&amp;"'!"&amp;ADDRESS(ROW(Notes!H332),COLUMN(Notes!H332),4),H332)</f>
        <v>0</v>
      </c>
      <c r="P5360" s="1544">
        <f t="shared" ca="1" si="571"/>
        <v>0</v>
      </c>
      <c r="Q5360" s="442"/>
      <c r="R5360" s="443"/>
      <c r="S5360" s="364"/>
      <c r="Z5360" s="609" t="s">
        <v>2105</v>
      </c>
      <c r="AA5360" s="609" t="s">
        <v>19</v>
      </c>
    </row>
    <row r="5361" spans="1:27" ht="18">
      <c r="A5361" s="2714"/>
      <c r="B5361" s="371">
        <v>104</v>
      </c>
      <c r="C5361" s="371"/>
      <c r="D5361" s="2716">
        <f t="shared" si="570"/>
        <v>1</v>
      </c>
      <c r="E5361" s="2721">
        <v>1</v>
      </c>
      <c r="F5361" s="293"/>
      <c r="G5361" s="319" t="s">
        <v>201</v>
      </c>
      <c r="H5361" s="309"/>
      <c r="I5361" s="422"/>
      <c r="J5361" s="309"/>
      <c r="K5361" s="320"/>
      <c r="L5361" s="309"/>
      <c r="M5361" s="346"/>
      <c r="N5361" s="439"/>
      <c r="O5361" s="1588">
        <f ca="1">HYPERLINK("#'"&amp;$G$1&amp;"'!"&amp;ADDRESS(ROW(Notes!H1004),COLUMN(Notes!H1004),4),H1004)</f>
        <v>0</v>
      </c>
      <c r="P5361" s="1544">
        <f t="shared" ca="1" si="571"/>
        <v>0</v>
      </c>
      <c r="Q5361" s="442"/>
      <c r="R5361" s="443"/>
      <c r="S5361" s="364"/>
      <c r="Z5361" s="609" t="s">
        <v>2105</v>
      </c>
      <c r="AA5361" s="609" t="s">
        <v>19</v>
      </c>
    </row>
    <row r="5362" spans="1:27" ht="18">
      <c r="A5362" s="2714"/>
      <c r="B5362" s="371">
        <v>105</v>
      </c>
      <c r="C5362" s="371"/>
      <c r="D5362" s="2716">
        <f t="shared" si="570"/>
        <v>1</v>
      </c>
      <c r="E5362" s="2721">
        <v>1</v>
      </c>
      <c r="F5362" s="293"/>
      <c r="G5362" s="319" t="s">
        <v>317</v>
      </c>
      <c r="H5362" s="309"/>
      <c r="I5362" s="422"/>
      <c r="J5362" s="309"/>
      <c r="K5362" s="320"/>
      <c r="L5362" s="309"/>
      <c r="M5362" s="346"/>
      <c r="N5362" s="439"/>
      <c r="O5362" s="1588">
        <f ca="1">HYPERLINK("#'"&amp;$G$1&amp;"'!"&amp;ADDRESS(ROW(Notes!J2216),COLUMN(Notes!J2216),4),J2216)</f>
        <v>0</v>
      </c>
      <c r="P5362" s="1544">
        <f t="shared" ca="1" si="571"/>
        <v>0</v>
      </c>
      <c r="Q5362" s="442"/>
      <c r="R5362" s="443"/>
      <c r="S5362" s="364"/>
      <c r="Z5362" s="609" t="s">
        <v>2105</v>
      </c>
      <c r="AA5362" s="609" t="s">
        <v>19</v>
      </c>
    </row>
    <row r="5363" spans="1:27" ht="18">
      <c r="A5363" s="2714"/>
      <c r="B5363" s="371">
        <v>106</v>
      </c>
      <c r="C5363" s="371"/>
      <c r="D5363" s="2716">
        <f t="shared" si="570"/>
        <v>1</v>
      </c>
      <c r="E5363" s="2721">
        <v>1</v>
      </c>
      <c r="F5363" s="293"/>
      <c r="G5363" s="319" t="s">
        <v>247</v>
      </c>
      <c r="H5363" s="309"/>
      <c r="I5363" s="422"/>
      <c r="J5363" s="309"/>
      <c r="K5363" s="320"/>
      <c r="L5363" s="309"/>
      <c r="M5363" s="346"/>
      <c r="N5363" s="439"/>
      <c r="O5363" s="1588">
        <f ca="1">HYPERLINK("#'"&amp;$G$1&amp;"'!"&amp;ADDRESS(ROW(Notes!H1820),COLUMN(Notes!H1820),4),H1820)</f>
        <v>0</v>
      </c>
      <c r="P5363" s="1544">
        <f t="shared" ca="1" si="571"/>
        <v>0</v>
      </c>
      <c r="Q5363" s="442"/>
      <c r="R5363" s="443"/>
      <c r="S5363" s="364"/>
      <c r="Z5363" s="609" t="s">
        <v>2105</v>
      </c>
      <c r="AA5363" s="609" t="s">
        <v>19</v>
      </c>
    </row>
    <row r="5364" spans="1:27" ht="18">
      <c r="A5364" s="2714"/>
      <c r="B5364" s="371">
        <v>107</v>
      </c>
      <c r="C5364" s="371"/>
      <c r="D5364" s="2716">
        <f t="shared" si="570"/>
        <v>1</v>
      </c>
      <c r="E5364" s="2721">
        <v>1</v>
      </c>
      <c r="F5364" s="293"/>
      <c r="G5364" s="319" t="s">
        <v>237</v>
      </c>
      <c r="H5364" s="309"/>
      <c r="I5364" s="422"/>
      <c r="J5364" s="309"/>
      <c r="K5364" s="320"/>
      <c r="L5364" s="309"/>
      <c r="M5364" s="346"/>
      <c r="N5364" s="439"/>
      <c r="O5364" s="1588">
        <f ca="1">HYPERLINK("#'"&amp;$G$1&amp;"'!"&amp;ADDRESS(ROW(Notes!H1797),COLUMN(Notes!H1797),4),H1797)</f>
        <v>0</v>
      </c>
      <c r="P5364" s="1544">
        <f t="shared" ca="1" si="571"/>
        <v>0</v>
      </c>
      <c r="Q5364" s="442"/>
      <c r="R5364" s="443"/>
      <c r="S5364" s="364"/>
      <c r="Z5364" s="609" t="s">
        <v>2105</v>
      </c>
      <c r="AA5364" s="609" t="s">
        <v>19</v>
      </c>
    </row>
    <row r="5365" spans="1:27" ht="18">
      <c r="A5365" s="2714"/>
      <c r="B5365" s="371">
        <v>108</v>
      </c>
      <c r="C5365" s="371"/>
      <c r="D5365" s="2716">
        <f t="shared" si="570"/>
        <v>1</v>
      </c>
      <c r="E5365" s="2721">
        <v>1</v>
      </c>
      <c r="F5365" s="293"/>
      <c r="G5365" s="319" t="s">
        <v>429</v>
      </c>
      <c r="H5365" s="309"/>
      <c r="I5365" s="422"/>
      <c r="J5365" s="309"/>
      <c r="K5365" s="320"/>
      <c r="L5365" s="309"/>
      <c r="M5365" s="346"/>
      <c r="N5365" s="439"/>
      <c r="O5365" s="1588">
        <f ca="1">HYPERLINK("#'"&amp;$G$1&amp;"'!"&amp;ADDRESS(ROW(Notes!H3316),COLUMN(Notes!H3316),4),H3316)</f>
        <v>0</v>
      </c>
      <c r="P5365" s="1544">
        <f t="shared" ca="1" si="571"/>
        <v>0</v>
      </c>
      <c r="Q5365" s="442"/>
      <c r="R5365" s="443"/>
      <c r="S5365" s="364"/>
      <c r="Z5365" s="609" t="s">
        <v>2105</v>
      </c>
      <c r="AA5365" s="609" t="s">
        <v>19</v>
      </c>
    </row>
    <row r="5366" spans="1:27" ht="18">
      <c r="A5366" s="2714"/>
      <c r="B5366" s="371">
        <v>109</v>
      </c>
      <c r="C5366" s="371" t="s">
        <v>2791</v>
      </c>
      <c r="D5366" s="2716">
        <f t="shared" si="570"/>
        <v>0</v>
      </c>
      <c r="E5366" s="2721">
        <v>1</v>
      </c>
      <c r="F5366" s="293"/>
      <c r="G5366" s="319" t="s">
        <v>2792</v>
      </c>
      <c r="H5366" s="309"/>
      <c r="I5366" s="422"/>
      <c r="J5366" s="309"/>
      <c r="K5366" s="320"/>
      <c r="L5366" s="309"/>
      <c r="M5366" s="346"/>
      <c r="N5366" s="439"/>
      <c r="P5366" s="1544"/>
      <c r="Q5366" s="442"/>
      <c r="R5366" s="443"/>
      <c r="S5366" s="364"/>
      <c r="Z5366" s="609" t="s">
        <v>2105</v>
      </c>
      <c r="AA5366" s="609" t="s">
        <v>19</v>
      </c>
    </row>
    <row r="5367" spans="1:27" ht="18.75" thickBot="1">
      <c r="A5367" s="2714"/>
      <c r="B5367" s="371"/>
      <c r="C5367" s="371"/>
      <c r="D5367" s="2716">
        <f t="shared" si="570"/>
        <v>1</v>
      </c>
      <c r="E5367" s="2721" t="s">
        <v>2751</v>
      </c>
      <c r="F5367" s="293"/>
      <c r="G5367" s="2234" t="s">
        <v>2752</v>
      </c>
      <c r="H5367" s="2325">
        <f t="shared" ref="H5367:M5367" si="572">SUMPRODUCT($E5357:$E5366,H5357:H5366)</f>
        <v>0</v>
      </c>
      <c r="I5367" s="2325">
        <f t="shared" si="572"/>
        <v>0</v>
      </c>
      <c r="J5367" s="2325">
        <f t="shared" si="572"/>
        <v>0</v>
      </c>
      <c r="K5367" s="2325">
        <f t="shared" si="572"/>
        <v>0</v>
      </c>
      <c r="L5367" s="2325">
        <f t="shared" si="572"/>
        <v>0</v>
      </c>
      <c r="M5367" s="2342">
        <f t="shared" si="572"/>
        <v>0</v>
      </c>
      <c r="N5367" s="439"/>
      <c r="P5367" s="1557">
        <f ca="1">SUM(P5358:P5366)</f>
        <v>0</v>
      </c>
      <c r="Q5367" s="442"/>
      <c r="R5367" s="443"/>
      <c r="S5367" s="364"/>
      <c r="Z5367" s="609" t="s">
        <v>2105</v>
      </c>
      <c r="AA5367" s="609" t="s">
        <v>19</v>
      </c>
    </row>
    <row r="5368" spans="1:27" ht="18">
      <c r="A5368" s="2714"/>
      <c r="B5368" s="371"/>
      <c r="C5368" s="371" t="s">
        <v>2755</v>
      </c>
      <c r="D5368" s="2716"/>
      <c r="F5368" s="293"/>
      <c r="G5368" s="376"/>
      <c r="H5368" s="315"/>
      <c r="I5368" s="396"/>
      <c r="J5368" s="315"/>
      <c r="K5368" s="423"/>
      <c r="L5368" s="315"/>
      <c r="M5368" s="315"/>
      <c r="N5368" s="426"/>
      <c r="O5368" s="1585" t="s">
        <v>5495</v>
      </c>
      <c r="P5368" s="425"/>
      <c r="Q5368" s="442"/>
      <c r="R5368" s="443"/>
      <c r="S5368" s="364"/>
      <c r="Z5368" s="609" t="s">
        <v>2105</v>
      </c>
      <c r="AA5368" s="609" t="s">
        <v>19</v>
      </c>
    </row>
    <row r="5369" spans="1:27" ht="24">
      <c r="A5369" s="2714" t="s">
        <v>2117</v>
      </c>
      <c r="B5369" s="371">
        <v>4</v>
      </c>
      <c r="C5369" s="371"/>
      <c r="D5369" s="2716" t="str">
        <f>VLOOKUP($A5369,Sheet_NoteList,2,0)</f>
        <v>上期末金融资产的到期期限分析</v>
      </c>
      <c r="E5369" s="2716" t="s">
        <v>2742</v>
      </c>
      <c r="F5369" s="293"/>
      <c r="G5369" s="372" t="str">
        <f>"("&amp;B5369&amp;")"&amp;D5369</f>
        <v>(4)上期末金融资产的到期期限分析</v>
      </c>
      <c r="H5369" s="1517" t="str">
        <f>$A5369</f>
        <v>9325j</v>
      </c>
      <c r="I5369" s="343" t="s">
        <v>2743</v>
      </c>
      <c r="J5369" s="301" t="s">
        <v>2744</v>
      </c>
      <c r="K5369" s="2210">
        <f>H5383</f>
        <v>0</v>
      </c>
      <c r="L5369" s="349"/>
      <c r="M5369" s="301" t="s">
        <v>2745</v>
      </c>
      <c r="N5369" s="2210">
        <f>I5383</f>
        <v>0</v>
      </c>
      <c r="O5369" s="349"/>
      <c r="P5369" s="301"/>
      <c r="S5369" s="364"/>
      <c r="Z5369" s="609" t="s">
        <v>2105</v>
      </c>
      <c r="AA5369" s="609" t="s">
        <v>19</v>
      </c>
    </row>
    <row r="5370" spans="1:27" ht="0.75" customHeight="1">
      <c r="A5370" s="2714"/>
      <c r="B5370" s="371"/>
      <c r="C5370" s="371"/>
      <c r="D5370" s="2716"/>
      <c r="F5370" s="371"/>
      <c r="G5370" s="405" t="s">
        <v>4510</v>
      </c>
      <c r="H5370" s="371" t="s">
        <v>2747</v>
      </c>
      <c r="I5370" s="371" t="s">
        <v>2748</v>
      </c>
      <c r="J5370" s="371" t="s">
        <v>2948</v>
      </c>
      <c r="K5370" s="547" t="s">
        <v>3034</v>
      </c>
      <c r="L5370" s="547" t="s">
        <v>3035</v>
      </c>
      <c r="M5370" s="371" t="s">
        <v>3036</v>
      </c>
      <c r="N5370" s="428"/>
      <c r="O5370" s="428"/>
      <c r="P5370" s="433"/>
      <c r="Q5370" s="442"/>
      <c r="R5370" s="443"/>
      <c r="S5370" s="364"/>
      <c r="Z5370" s="609" t="s">
        <v>2105</v>
      </c>
      <c r="AA5370" s="609" t="s">
        <v>19</v>
      </c>
    </row>
    <row r="5371" spans="1:27" ht="0.75" customHeight="1" thickBot="1">
      <c r="A5371" s="2714"/>
      <c r="B5371" s="371"/>
      <c r="C5371" s="371"/>
      <c r="D5371" s="2716"/>
      <c r="F5371" s="371"/>
      <c r="G5371" s="405"/>
      <c r="H5371" s="371" t="s">
        <v>4511</v>
      </c>
      <c r="I5371" s="371" t="s">
        <v>4512</v>
      </c>
      <c r="J5371" s="371" t="s">
        <v>4513</v>
      </c>
      <c r="K5371" s="547" t="s">
        <v>4514</v>
      </c>
      <c r="L5371" s="547" t="s">
        <v>4515</v>
      </c>
      <c r="M5371" s="371" t="s">
        <v>4516</v>
      </c>
      <c r="N5371" s="428"/>
      <c r="O5371" s="428"/>
      <c r="P5371" s="433"/>
      <c r="Q5371" s="442"/>
      <c r="R5371" s="443"/>
      <c r="S5371" s="364"/>
      <c r="Z5371" s="609" t="s">
        <v>2105</v>
      </c>
      <c r="AA5371" s="609" t="s">
        <v>19</v>
      </c>
    </row>
    <row r="5372" spans="1:27" ht="18" customHeight="1" thickTop="1">
      <c r="A5372" s="2714"/>
      <c r="B5372" s="371"/>
      <c r="C5372" s="371"/>
      <c r="D5372" s="2716"/>
      <c r="E5372" s="2716" t="s">
        <v>2749</v>
      </c>
      <c r="F5372" s="293"/>
      <c r="G5372" s="3187" t="s">
        <v>47</v>
      </c>
      <c r="H5372" s="3278" t="str">
        <f>$V$3</f>
        <v>2018年12月31日</v>
      </c>
      <c r="I5372" s="3279"/>
      <c r="J5372" s="3279"/>
      <c r="K5372" s="3279"/>
      <c r="L5372" s="3279"/>
      <c r="M5372" s="3279"/>
      <c r="N5372" s="355" t="s">
        <v>5348</v>
      </c>
      <c r="O5372" s="1536" t="s">
        <v>5543</v>
      </c>
      <c r="P5372" s="1536" t="s">
        <v>5542</v>
      </c>
      <c r="Q5372" s="442"/>
      <c r="R5372" s="443"/>
      <c r="S5372" s="364"/>
      <c r="Z5372" s="609" t="s">
        <v>2105</v>
      </c>
      <c r="AA5372" s="609" t="s">
        <v>19</v>
      </c>
    </row>
    <row r="5373" spans="1:27" ht="18">
      <c r="A5373" s="2714"/>
      <c r="B5373" s="371"/>
      <c r="C5373" s="371"/>
      <c r="D5373" s="2716"/>
      <c r="E5373" s="2716" t="s">
        <v>2749</v>
      </c>
      <c r="F5373" s="293"/>
      <c r="G5373" s="3226"/>
      <c r="H5373" s="2490" t="s">
        <v>4506</v>
      </c>
      <c r="I5373" s="2490" t="s">
        <v>4507</v>
      </c>
      <c r="J5373" s="2490" t="s">
        <v>4508</v>
      </c>
      <c r="K5373" s="2491" t="s">
        <v>4509</v>
      </c>
      <c r="L5373" s="2491" t="s">
        <v>2944</v>
      </c>
      <c r="M5373" s="2493" t="s">
        <v>3351</v>
      </c>
      <c r="N5373" s="434"/>
      <c r="O5373" s="1611"/>
      <c r="P5373" s="1611"/>
      <c r="Q5373" s="442"/>
      <c r="R5373" s="443"/>
      <c r="S5373" s="364"/>
      <c r="Z5373" s="609" t="s">
        <v>2105</v>
      </c>
      <c r="AA5373" s="609" t="s">
        <v>19</v>
      </c>
    </row>
    <row r="5374" spans="1:27" ht="18">
      <c r="A5374" s="2714"/>
      <c r="B5374" s="371">
        <v>101</v>
      </c>
      <c r="C5374" s="371"/>
      <c r="D5374" s="2716">
        <f t="shared" ref="D5374:D5383" si="573">IF(OR(G5374="*",G5374="",G5374=0),0,COUNTIF($G$5374:$G$5383,G5374))</f>
        <v>1</v>
      </c>
      <c r="E5374" s="2721">
        <v>1</v>
      </c>
      <c r="F5374" s="293"/>
      <c r="G5374" s="319" t="s">
        <v>10</v>
      </c>
      <c r="H5374" s="309"/>
      <c r="I5374" s="422"/>
      <c r="J5374" s="309"/>
      <c r="K5374" s="320"/>
      <c r="L5374" s="309"/>
      <c r="M5374" s="346"/>
      <c r="N5374" s="439"/>
      <c r="O5374" s="1588">
        <f ca="1">HYPERLINK("#'"&amp;$G$1&amp;"'!"&amp;ADDRESS(ROW(Notes!I17),COLUMN(Notes!I17),4),I17)</f>
        <v>0</v>
      </c>
      <c r="P5374" s="1544">
        <f ca="1">O5374-M5374</f>
        <v>0</v>
      </c>
      <c r="Q5374" s="442"/>
      <c r="R5374" s="443"/>
      <c r="S5374" s="364"/>
      <c r="Z5374" s="609" t="s">
        <v>2105</v>
      </c>
      <c r="AA5374" s="609" t="s">
        <v>19</v>
      </c>
    </row>
    <row r="5375" spans="1:27" ht="18">
      <c r="A5375" s="2714"/>
      <c r="B5375" s="371">
        <v>102</v>
      </c>
      <c r="C5375" s="371"/>
      <c r="D5375" s="2716">
        <f t="shared" si="573"/>
        <v>1</v>
      </c>
      <c r="E5375" s="2721">
        <v>1</v>
      </c>
      <c r="F5375" s="293"/>
      <c r="G5375" s="319" t="s">
        <v>109</v>
      </c>
      <c r="H5375" s="309"/>
      <c r="I5375" s="422"/>
      <c r="J5375" s="309"/>
      <c r="K5375" s="320"/>
      <c r="L5375" s="309"/>
      <c r="M5375" s="346"/>
      <c r="N5375" s="439"/>
      <c r="O5375" s="1588">
        <f ca="1">HYPERLINK("#'"&amp;$G$1&amp;"'!"&amp;ADDRESS(ROW(Notes!M128),COLUMN(Notes!M128),4),M128)</f>
        <v>0</v>
      </c>
      <c r="P5375" s="1544">
        <f t="shared" ref="P5375:P5381" ca="1" si="574">O5375-M5375</f>
        <v>0</v>
      </c>
      <c r="Q5375" s="442"/>
      <c r="R5375" s="443"/>
      <c r="S5375" s="364"/>
      <c r="Z5375" s="609" t="s">
        <v>2105</v>
      </c>
      <c r="AA5375" s="609" t="s">
        <v>19</v>
      </c>
    </row>
    <row r="5376" spans="1:27" ht="18">
      <c r="A5376" s="2714"/>
      <c r="B5376" s="371">
        <v>103</v>
      </c>
      <c r="C5376" s="371"/>
      <c r="D5376" s="2716">
        <f t="shared" si="573"/>
        <v>1</v>
      </c>
      <c r="E5376" s="2721">
        <v>1</v>
      </c>
      <c r="F5376" s="293"/>
      <c r="G5376" s="319" t="s">
        <v>124</v>
      </c>
      <c r="H5376" s="309"/>
      <c r="I5376" s="422"/>
      <c r="J5376" s="309"/>
      <c r="K5376" s="320"/>
      <c r="L5376" s="309"/>
      <c r="M5376" s="346"/>
      <c r="N5376" s="439"/>
      <c r="O5376" s="1588">
        <f ca="1">HYPERLINK("#'"&amp;$G$1&amp;"'!"&amp;ADDRESS(ROW(Notes!I332),COLUMN(Notes!I332),4),I332)</f>
        <v>0</v>
      </c>
      <c r="P5376" s="1544">
        <f t="shared" ca="1" si="574"/>
        <v>0</v>
      </c>
      <c r="Q5376" s="442"/>
      <c r="R5376" s="443"/>
      <c r="S5376" s="364"/>
      <c r="Z5376" s="609" t="s">
        <v>2105</v>
      </c>
      <c r="AA5376" s="609" t="s">
        <v>19</v>
      </c>
    </row>
    <row r="5377" spans="1:27" ht="18">
      <c r="A5377" s="2714"/>
      <c r="B5377" s="371">
        <v>104</v>
      </c>
      <c r="C5377" s="371"/>
      <c r="D5377" s="2716">
        <f t="shared" si="573"/>
        <v>1</v>
      </c>
      <c r="E5377" s="2721">
        <v>1</v>
      </c>
      <c r="F5377" s="293"/>
      <c r="G5377" s="319" t="s">
        <v>201</v>
      </c>
      <c r="H5377" s="309"/>
      <c r="I5377" s="422"/>
      <c r="J5377" s="309"/>
      <c r="K5377" s="320"/>
      <c r="L5377" s="309"/>
      <c r="M5377" s="346"/>
      <c r="N5377" s="439"/>
      <c r="O5377" s="1588">
        <f ca="1">HYPERLINK("#'"&amp;$G$1&amp;"'!"&amp;ADDRESS(ROW(Notes!I1004),COLUMN(Notes!I1004),4),I1004)</f>
        <v>0</v>
      </c>
      <c r="P5377" s="1544">
        <f t="shared" ca="1" si="574"/>
        <v>0</v>
      </c>
      <c r="Q5377" s="442"/>
      <c r="R5377" s="443"/>
      <c r="S5377" s="364"/>
      <c r="Z5377" s="609" t="s">
        <v>2105</v>
      </c>
      <c r="AA5377" s="609" t="s">
        <v>19</v>
      </c>
    </row>
    <row r="5378" spans="1:27" ht="18">
      <c r="A5378" s="2714"/>
      <c r="B5378" s="371">
        <v>105</v>
      </c>
      <c r="C5378" s="371"/>
      <c r="D5378" s="2716">
        <f t="shared" si="573"/>
        <v>1</v>
      </c>
      <c r="E5378" s="2721">
        <v>1</v>
      </c>
      <c r="F5378" s="293"/>
      <c r="G5378" s="319" t="s">
        <v>317</v>
      </c>
      <c r="H5378" s="309"/>
      <c r="I5378" s="422"/>
      <c r="J5378" s="309"/>
      <c r="K5378" s="320"/>
      <c r="L5378" s="309"/>
      <c r="M5378" s="346"/>
      <c r="N5378" s="439"/>
      <c r="O5378" s="1588">
        <f ca="1">HYPERLINK("#'"&amp;$G$1&amp;"'!"&amp;ADDRESS(ROW(Notes!M2216),COLUMN(Notes!M2216),4),M2216)</f>
        <v>0</v>
      </c>
      <c r="P5378" s="1544">
        <f t="shared" ca="1" si="574"/>
        <v>0</v>
      </c>
      <c r="Q5378" s="442"/>
      <c r="R5378" s="443"/>
      <c r="S5378" s="364"/>
      <c r="Z5378" s="609" t="s">
        <v>2105</v>
      </c>
      <c r="AA5378" s="609" t="s">
        <v>19</v>
      </c>
    </row>
    <row r="5379" spans="1:27" ht="18">
      <c r="A5379" s="2714"/>
      <c r="B5379" s="371">
        <v>106</v>
      </c>
      <c r="C5379" s="371"/>
      <c r="D5379" s="2716">
        <f t="shared" si="573"/>
        <v>1</v>
      </c>
      <c r="E5379" s="2721">
        <v>1</v>
      </c>
      <c r="F5379" s="293"/>
      <c r="G5379" s="319" t="s">
        <v>247</v>
      </c>
      <c r="H5379" s="309"/>
      <c r="I5379" s="422"/>
      <c r="J5379" s="309"/>
      <c r="K5379" s="320"/>
      <c r="L5379" s="309"/>
      <c r="M5379" s="346"/>
      <c r="N5379" s="439"/>
      <c r="O5379" s="1588">
        <f ca="1">HYPERLINK("#'"&amp;$G$1&amp;"'!"&amp;ADDRESS(ROW(Notes!I1820),COLUMN(Notes!I1820),4),I1820)</f>
        <v>0</v>
      </c>
      <c r="P5379" s="1544">
        <f t="shared" ca="1" si="574"/>
        <v>0</v>
      </c>
      <c r="Q5379" s="442"/>
      <c r="R5379" s="443"/>
      <c r="S5379" s="364"/>
      <c r="Z5379" s="609" t="s">
        <v>2105</v>
      </c>
      <c r="AA5379" s="609" t="s">
        <v>19</v>
      </c>
    </row>
    <row r="5380" spans="1:27" ht="18">
      <c r="A5380" s="2714"/>
      <c r="B5380" s="371">
        <v>107</v>
      </c>
      <c r="C5380" s="371"/>
      <c r="D5380" s="2716">
        <f t="shared" si="573"/>
        <v>1</v>
      </c>
      <c r="E5380" s="2721">
        <v>1</v>
      </c>
      <c r="F5380" s="293"/>
      <c r="G5380" s="319" t="s">
        <v>237</v>
      </c>
      <c r="H5380" s="309"/>
      <c r="I5380" s="422"/>
      <c r="J5380" s="309"/>
      <c r="K5380" s="320"/>
      <c r="L5380" s="309"/>
      <c r="M5380" s="346"/>
      <c r="N5380" s="439"/>
      <c r="O5380" s="1588">
        <f ca="1">HYPERLINK("#'"&amp;$G$1&amp;"'!"&amp;ADDRESS(ROW(Notes!I1797),COLUMN(Notes!I1797),4),I1797)</f>
        <v>0</v>
      </c>
      <c r="P5380" s="1544">
        <f t="shared" ca="1" si="574"/>
        <v>0</v>
      </c>
      <c r="Q5380" s="442"/>
      <c r="R5380" s="443"/>
      <c r="S5380" s="364"/>
      <c r="Z5380" s="609" t="s">
        <v>2105</v>
      </c>
      <c r="AA5380" s="609" t="s">
        <v>19</v>
      </c>
    </row>
    <row r="5381" spans="1:27" ht="18">
      <c r="A5381" s="2714"/>
      <c r="B5381" s="371">
        <v>108</v>
      </c>
      <c r="C5381" s="371"/>
      <c r="D5381" s="2716">
        <f t="shared" si="573"/>
        <v>1</v>
      </c>
      <c r="E5381" s="2721">
        <v>1</v>
      </c>
      <c r="F5381" s="293"/>
      <c r="G5381" s="319" t="s">
        <v>429</v>
      </c>
      <c r="H5381" s="309"/>
      <c r="I5381" s="422"/>
      <c r="J5381" s="309"/>
      <c r="K5381" s="320"/>
      <c r="L5381" s="309"/>
      <c r="M5381" s="346"/>
      <c r="N5381" s="439"/>
      <c r="O5381" s="1588">
        <f ca="1">HYPERLINK("#'"&amp;$G$1&amp;"'!"&amp;ADDRESS(ROW(Notes!I3316),COLUMN(Notes!I3316),4),I3316)</f>
        <v>0</v>
      </c>
      <c r="P5381" s="1544">
        <f t="shared" ca="1" si="574"/>
        <v>0</v>
      </c>
      <c r="Q5381" s="442"/>
      <c r="R5381" s="443"/>
      <c r="S5381" s="364"/>
      <c r="Z5381" s="609" t="s">
        <v>2105</v>
      </c>
      <c r="AA5381" s="609" t="s">
        <v>19</v>
      </c>
    </row>
    <row r="5382" spans="1:27" ht="18">
      <c r="A5382" s="2714"/>
      <c r="B5382" s="371">
        <v>109</v>
      </c>
      <c r="C5382" s="371" t="s">
        <v>2791</v>
      </c>
      <c r="D5382" s="2716">
        <f t="shared" si="573"/>
        <v>0</v>
      </c>
      <c r="E5382" s="2721">
        <v>1</v>
      </c>
      <c r="F5382" s="293"/>
      <c r="G5382" s="319" t="s">
        <v>2792</v>
      </c>
      <c r="H5382" s="309"/>
      <c r="I5382" s="422"/>
      <c r="J5382" s="309"/>
      <c r="K5382" s="320"/>
      <c r="L5382" s="309"/>
      <c r="M5382" s="346"/>
      <c r="N5382" s="439"/>
      <c r="P5382" s="1544"/>
      <c r="Q5382" s="442"/>
      <c r="R5382" s="443"/>
      <c r="S5382" s="364"/>
      <c r="Z5382" s="609" t="s">
        <v>2105</v>
      </c>
      <c r="AA5382" s="609" t="s">
        <v>19</v>
      </c>
    </row>
    <row r="5383" spans="1:27" ht="18.75" thickBot="1">
      <c r="A5383" s="2714"/>
      <c r="B5383" s="371"/>
      <c r="C5383" s="371"/>
      <c r="D5383" s="2716">
        <f t="shared" si="573"/>
        <v>1</v>
      </c>
      <c r="E5383" s="2721" t="s">
        <v>2751</v>
      </c>
      <c r="F5383" s="293"/>
      <c r="G5383" s="2234" t="s">
        <v>2752</v>
      </c>
      <c r="H5383" s="2325">
        <f t="shared" ref="H5383:M5383" si="575">SUMPRODUCT($E5373:$E5382,H5373:H5382)</f>
        <v>0</v>
      </c>
      <c r="I5383" s="2325">
        <f t="shared" si="575"/>
        <v>0</v>
      </c>
      <c r="J5383" s="2325">
        <f t="shared" si="575"/>
        <v>0</v>
      </c>
      <c r="K5383" s="2325">
        <f t="shared" si="575"/>
        <v>0</v>
      </c>
      <c r="L5383" s="2325">
        <f t="shared" si="575"/>
        <v>0</v>
      </c>
      <c r="M5383" s="2342">
        <f t="shared" si="575"/>
        <v>0</v>
      </c>
      <c r="N5383" s="439"/>
      <c r="P5383" s="1557">
        <f ca="1">SUM(P5374:P5382)</f>
        <v>0</v>
      </c>
      <c r="Q5383" s="442"/>
      <c r="R5383" s="443"/>
      <c r="S5383" s="364"/>
      <c r="Z5383" s="609" t="s">
        <v>2105</v>
      </c>
      <c r="AA5383" s="609" t="s">
        <v>19</v>
      </c>
    </row>
    <row r="5384" spans="1:27" ht="18">
      <c r="A5384" s="2714"/>
      <c r="B5384" s="371"/>
      <c r="C5384" s="371" t="s">
        <v>2755</v>
      </c>
      <c r="D5384" s="2716"/>
      <c r="F5384" s="293"/>
      <c r="G5384" s="376"/>
      <c r="H5384" s="315"/>
      <c r="I5384" s="396"/>
      <c r="J5384" s="315"/>
      <c r="K5384" s="423"/>
      <c r="L5384" s="315"/>
      <c r="M5384" s="315"/>
      <c r="N5384" s="426"/>
      <c r="O5384" s="1585" t="s">
        <v>5495</v>
      </c>
      <c r="P5384" s="425"/>
      <c r="Q5384" s="442"/>
      <c r="R5384" s="443"/>
      <c r="S5384" s="364"/>
      <c r="Z5384" s="609" t="s">
        <v>2105</v>
      </c>
      <c r="AA5384" s="609" t="s">
        <v>19</v>
      </c>
    </row>
    <row r="5385" spans="1:27" ht="24">
      <c r="A5385" s="2714" t="s">
        <v>2120</v>
      </c>
      <c r="B5385" s="371">
        <v>5</v>
      </c>
      <c r="C5385" s="371"/>
      <c r="D5385" s="2716" t="str">
        <f>VLOOKUP($A5385,Sheet_NoteList,2,0)</f>
        <v>本期末各外币资产负债项目的主要外汇风险敞口</v>
      </c>
      <c r="E5385" s="2716" t="s">
        <v>2742</v>
      </c>
      <c r="F5385" s="293"/>
      <c r="G5385" s="372" t="str">
        <f>"("&amp;B5385&amp;")"&amp;D5385</f>
        <v>(5)本期末各外币资产负债项目的主要外汇风险敞口</v>
      </c>
      <c r="H5385" s="1517" t="str">
        <f>$A5385</f>
        <v>9325k</v>
      </c>
      <c r="I5385" s="343" t="s">
        <v>2743</v>
      </c>
      <c r="J5385" s="301" t="s">
        <v>2744</v>
      </c>
      <c r="K5385" s="2210">
        <f>H5417</f>
        <v>0</v>
      </c>
      <c r="L5385" s="349"/>
      <c r="M5385" s="301" t="s">
        <v>2745</v>
      </c>
      <c r="N5385" s="2210">
        <f>I5417</f>
        <v>0</v>
      </c>
      <c r="O5385" s="349"/>
      <c r="P5385" s="301"/>
      <c r="S5385" s="364"/>
      <c r="Z5385" s="609" t="s">
        <v>2105</v>
      </c>
      <c r="AA5385" s="609" t="s">
        <v>19</v>
      </c>
    </row>
    <row r="5386" spans="1:27" ht="0.75" customHeight="1">
      <c r="A5386" s="2714"/>
      <c r="B5386" s="371"/>
      <c r="C5386" s="371"/>
      <c r="D5386" s="2716"/>
      <c r="F5386" s="371"/>
      <c r="G5386" s="405" t="s">
        <v>4517</v>
      </c>
      <c r="H5386" s="371" t="s">
        <v>5388</v>
      </c>
      <c r="I5386" s="371" t="s">
        <v>5530</v>
      </c>
      <c r="J5386" s="612" t="s">
        <v>5531</v>
      </c>
      <c r="K5386" s="1604"/>
      <c r="L5386" s="1604"/>
      <c r="M5386" s="1604"/>
      <c r="N5386" s="1604"/>
      <c r="O5386" s="1604"/>
      <c r="P5386" s="1604"/>
      <c r="Q5386" s="1604"/>
      <c r="R5386" s="1604"/>
      <c r="S5386" s="364"/>
      <c r="Z5386" s="609" t="s">
        <v>2105</v>
      </c>
      <c r="AA5386" s="609" t="s">
        <v>19</v>
      </c>
    </row>
    <row r="5387" spans="1:27" ht="0.75" customHeight="1" thickBot="1">
      <c r="A5387" s="2714"/>
      <c r="B5387" s="371"/>
      <c r="C5387" s="371"/>
      <c r="D5387" s="2716"/>
      <c r="F5387" s="371"/>
      <c r="G5387" s="405"/>
      <c r="H5387" s="371" t="s">
        <v>5462</v>
      </c>
      <c r="I5387" s="371" t="s">
        <v>5528</v>
      </c>
      <c r="J5387" s="612" t="s">
        <v>5529</v>
      </c>
      <c r="K5387" s="1604"/>
      <c r="L5387" s="1604"/>
      <c r="M5387" s="1604"/>
      <c r="N5387" s="1604"/>
      <c r="O5387" s="1604"/>
      <c r="P5387" s="1604"/>
      <c r="Q5387" s="1604"/>
      <c r="R5387" s="1604"/>
      <c r="S5387" s="364"/>
      <c r="Z5387" s="609" t="s">
        <v>2105</v>
      </c>
      <c r="AA5387" s="609" t="s">
        <v>19</v>
      </c>
    </row>
    <row r="5388" spans="1:27" ht="18" customHeight="1">
      <c r="A5388" s="2714"/>
      <c r="B5388" s="371"/>
      <c r="C5388" s="371"/>
      <c r="D5388" s="2716"/>
      <c r="E5388" s="2716" t="s">
        <v>2749</v>
      </c>
      <c r="F5388" s="293"/>
      <c r="G5388" s="3187" t="s">
        <v>47</v>
      </c>
      <c r="H5388" s="3186" t="str">
        <f>$W$2&amp;"余额"</f>
        <v>2019年12月31日余额</v>
      </c>
      <c r="I5388" s="3282"/>
      <c r="J5388" s="3282"/>
      <c r="K5388" s="355" t="s">
        <v>5348</v>
      </c>
      <c r="L5388" s="1604"/>
      <c r="M5388" s="1604"/>
      <c r="N5388" s="1604"/>
      <c r="O5388" s="1604"/>
      <c r="P5388" s="1604"/>
      <c r="Q5388" s="1604"/>
      <c r="R5388" s="1604"/>
      <c r="S5388" s="364"/>
      <c r="Z5388" s="609" t="s">
        <v>2105</v>
      </c>
      <c r="AA5388" s="609" t="s">
        <v>19</v>
      </c>
    </row>
    <row r="5389" spans="1:27" ht="18">
      <c r="A5389" s="2714"/>
      <c r="B5389" s="371"/>
      <c r="C5389" s="371"/>
      <c r="D5389" s="2716"/>
      <c r="E5389" s="2716" t="s">
        <v>2749</v>
      </c>
      <c r="F5389" s="293"/>
      <c r="G5389" s="3226"/>
      <c r="H5389" s="2463" t="s">
        <v>4518</v>
      </c>
      <c r="I5389" s="2463" t="s">
        <v>2459</v>
      </c>
      <c r="J5389" s="1603" t="s">
        <v>5525</v>
      </c>
      <c r="K5389" s="355" t="s">
        <v>5532</v>
      </c>
      <c r="L5389" s="1604"/>
      <c r="M5389" s="1604"/>
      <c r="N5389" s="1604"/>
      <c r="O5389" s="1604"/>
      <c r="P5389" s="1604"/>
      <c r="Q5389" s="1604"/>
      <c r="R5389" s="1604"/>
      <c r="S5389" s="364"/>
      <c r="Z5389" s="609" t="s">
        <v>2105</v>
      </c>
      <c r="AA5389" s="609" t="s">
        <v>19</v>
      </c>
    </row>
    <row r="5390" spans="1:27" ht="18">
      <c r="A5390" s="2714"/>
      <c r="B5390" s="371">
        <v>101</v>
      </c>
      <c r="C5390" s="371"/>
      <c r="D5390" s="2716">
        <f t="shared" ref="D5390:D5417" si="576">IF(OR(G5390="*",G5390="",G5390=0),0,COUNTIF($G$5390:$G$5417,G5390))</f>
        <v>1</v>
      </c>
      <c r="E5390" s="2721" t="s">
        <v>41</v>
      </c>
      <c r="F5390" s="293"/>
      <c r="G5390" s="308" t="s">
        <v>10</v>
      </c>
      <c r="H5390" s="309"/>
      <c r="I5390" s="422"/>
      <c r="J5390" s="388"/>
      <c r="K5390" s="1604"/>
      <c r="L5390" s="1604"/>
      <c r="M5390" s="1604"/>
      <c r="N5390" s="1604"/>
      <c r="O5390" s="1604"/>
      <c r="P5390" s="1604"/>
      <c r="Q5390" s="1604"/>
      <c r="R5390" s="1604"/>
      <c r="S5390" s="364"/>
      <c r="Z5390" s="609" t="s">
        <v>2105</v>
      </c>
      <c r="AA5390" s="609" t="s">
        <v>19</v>
      </c>
    </row>
    <row r="5391" spans="1:27" ht="18">
      <c r="A5391" s="2714"/>
      <c r="B5391" s="371">
        <v>102</v>
      </c>
      <c r="C5391" s="371" t="s">
        <v>2791</v>
      </c>
      <c r="D5391" s="2716">
        <f t="shared" si="576"/>
        <v>1</v>
      </c>
      <c r="E5391" s="2721">
        <v>1</v>
      </c>
      <c r="F5391" s="293"/>
      <c r="G5391" s="1591" t="str">
        <f>"其中："&amp;G5390&amp;"（美元）"</f>
        <v>其中：货币资金（美元）</v>
      </c>
      <c r="H5391" s="309"/>
      <c r="I5391" s="422"/>
      <c r="J5391" s="388"/>
      <c r="K5391" s="1604"/>
      <c r="L5391" s="1604"/>
      <c r="M5391" s="1604"/>
      <c r="N5391" s="1604"/>
      <c r="O5391" s="1604"/>
      <c r="P5391" s="1604"/>
      <c r="Q5391" s="1604"/>
      <c r="R5391" s="1604"/>
      <c r="S5391" s="364"/>
      <c r="Z5391" s="609" t="s">
        <v>2105</v>
      </c>
      <c r="AA5391" s="609" t="s">
        <v>19</v>
      </c>
    </row>
    <row r="5392" spans="1:27" ht="18">
      <c r="A5392" s="2714"/>
      <c r="B5392" s="371">
        <v>103</v>
      </c>
      <c r="C5392" s="371" t="s">
        <v>2791</v>
      </c>
      <c r="D5392" s="2716">
        <f t="shared" si="576"/>
        <v>1</v>
      </c>
      <c r="E5392" s="2721">
        <v>1</v>
      </c>
      <c r="F5392" s="293"/>
      <c r="G5392" s="1591" t="str">
        <f>G5390&amp;"（欧元）"</f>
        <v>货币资金（欧元）</v>
      </c>
      <c r="H5392" s="309"/>
      <c r="I5392" s="422"/>
      <c r="J5392" s="388"/>
      <c r="K5392" s="1604"/>
      <c r="L5392" s="1604"/>
      <c r="M5392" s="1604"/>
      <c r="N5392" s="1604"/>
      <c r="O5392" s="1604"/>
      <c r="P5392" s="1604"/>
      <c r="Q5392" s="1604"/>
      <c r="R5392" s="1604"/>
      <c r="S5392" s="364"/>
      <c r="Z5392" s="609" t="s">
        <v>2105</v>
      </c>
      <c r="AA5392" s="609" t="s">
        <v>19</v>
      </c>
    </row>
    <row r="5393" spans="1:27" ht="18">
      <c r="A5393" s="2714"/>
      <c r="B5393" s="371">
        <v>104</v>
      </c>
      <c r="C5393" s="371" t="s">
        <v>2791</v>
      </c>
      <c r="D5393" s="2716">
        <f t="shared" si="576"/>
        <v>1</v>
      </c>
      <c r="E5393" s="2721">
        <v>1</v>
      </c>
      <c r="F5393" s="293"/>
      <c r="G5393" s="1591" t="str">
        <f>G5390&amp;"（港币）"</f>
        <v>货币资金（港币）</v>
      </c>
      <c r="H5393" s="309"/>
      <c r="I5393" s="422"/>
      <c r="J5393" s="388"/>
      <c r="K5393" s="1604"/>
      <c r="L5393" s="1604"/>
      <c r="M5393" s="1604"/>
      <c r="N5393" s="1604"/>
      <c r="O5393" s="1604"/>
      <c r="P5393" s="1604"/>
      <c r="Q5393" s="1604"/>
      <c r="R5393" s="1604"/>
      <c r="S5393" s="364"/>
      <c r="Z5393" s="609" t="s">
        <v>2105</v>
      </c>
      <c r="AA5393" s="609" t="s">
        <v>19</v>
      </c>
    </row>
    <row r="5394" spans="1:27" ht="18">
      <c r="A5394" s="2714"/>
      <c r="B5394" s="371">
        <v>105</v>
      </c>
      <c r="C5394" s="371" t="s">
        <v>2791</v>
      </c>
      <c r="D5394" s="2716">
        <f t="shared" si="576"/>
        <v>0</v>
      </c>
      <c r="E5394" s="2721">
        <v>1</v>
      </c>
      <c r="F5394" s="293"/>
      <c r="G5394" s="1504" t="s">
        <v>2792</v>
      </c>
      <c r="H5394" s="309"/>
      <c r="I5394" s="422"/>
      <c r="J5394" s="388"/>
      <c r="K5394" s="1604"/>
      <c r="L5394" s="1604"/>
      <c r="M5394" s="1604"/>
      <c r="N5394" s="1604"/>
      <c r="O5394" s="1604"/>
      <c r="P5394" s="1604"/>
      <c r="Q5394" s="1604"/>
      <c r="R5394" s="1604"/>
      <c r="S5394" s="364"/>
      <c r="Z5394" s="609" t="s">
        <v>2105</v>
      </c>
      <c r="AA5394" s="609" t="s">
        <v>19</v>
      </c>
    </row>
    <row r="5395" spans="1:27" ht="18">
      <c r="A5395" s="2714"/>
      <c r="B5395" s="371">
        <v>106</v>
      </c>
      <c r="C5395" s="371"/>
      <c r="D5395" s="2716">
        <f t="shared" si="576"/>
        <v>1</v>
      </c>
      <c r="E5395" s="2721" t="s">
        <v>41</v>
      </c>
      <c r="F5395" s="293"/>
      <c r="G5395" s="308" t="s">
        <v>124</v>
      </c>
      <c r="H5395" s="309"/>
      <c r="I5395" s="422"/>
      <c r="J5395" s="388"/>
      <c r="K5395" s="1604"/>
      <c r="L5395" s="1604"/>
      <c r="M5395" s="1604"/>
      <c r="N5395" s="1604"/>
      <c r="O5395" s="1604"/>
      <c r="P5395" s="1604"/>
      <c r="Q5395" s="1604"/>
      <c r="R5395" s="1604"/>
      <c r="S5395" s="364"/>
      <c r="Z5395" s="609" t="s">
        <v>2105</v>
      </c>
      <c r="AA5395" s="609" t="s">
        <v>19</v>
      </c>
    </row>
    <row r="5396" spans="1:27" ht="18">
      <c r="A5396" s="2714"/>
      <c r="B5396" s="371">
        <v>107</v>
      </c>
      <c r="C5396" s="371" t="s">
        <v>2791</v>
      </c>
      <c r="D5396" s="2716">
        <f t="shared" si="576"/>
        <v>1</v>
      </c>
      <c r="E5396" s="2721">
        <v>1</v>
      </c>
      <c r="F5396" s="293"/>
      <c r="G5396" s="1591" t="str">
        <f>"其中："&amp;G5395&amp;"（美元）"</f>
        <v>其中：应收账款（美元）</v>
      </c>
      <c r="H5396" s="309"/>
      <c r="I5396" s="422"/>
      <c r="J5396" s="388"/>
      <c r="K5396" s="1604"/>
      <c r="L5396" s="1604"/>
      <c r="M5396" s="1604"/>
      <c r="N5396" s="1604"/>
      <c r="O5396" s="1604"/>
      <c r="P5396" s="1604"/>
      <c r="Q5396" s="1604"/>
      <c r="R5396" s="1604"/>
      <c r="S5396" s="364"/>
      <c r="Z5396" s="609" t="s">
        <v>2105</v>
      </c>
      <c r="AA5396" s="609" t="s">
        <v>19</v>
      </c>
    </row>
    <row r="5397" spans="1:27" ht="18">
      <c r="A5397" s="2714"/>
      <c r="B5397" s="371">
        <v>108</v>
      </c>
      <c r="C5397" s="371" t="s">
        <v>2791</v>
      </c>
      <c r="D5397" s="2716">
        <f t="shared" si="576"/>
        <v>1</v>
      </c>
      <c r="E5397" s="2721">
        <v>1</v>
      </c>
      <c r="F5397" s="293"/>
      <c r="G5397" s="1591" t="str">
        <f>G5395&amp;"（欧元）"</f>
        <v>应收账款（欧元）</v>
      </c>
      <c r="H5397" s="309"/>
      <c r="I5397" s="422"/>
      <c r="J5397" s="388"/>
      <c r="K5397" s="1604"/>
      <c r="L5397" s="1604"/>
      <c r="M5397" s="1604"/>
      <c r="N5397" s="1604"/>
      <c r="O5397" s="1604"/>
      <c r="P5397" s="1604"/>
      <c r="Q5397" s="1604"/>
      <c r="R5397" s="1604"/>
      <c r="S5397" s="364"/>
      <c r="Z5397" s="609" t="s">
        <v>2105</v>
      </c>
      <c r="AA5397" s="609" t="s">
        <v>19</v>
      </c>
    </row>
    <row r="5398" spans="1:27" ht="18">
      <c r="A5398" s="2714"/>
      <c r="B5398" s="371">
        <v>109</v>
      </c>
      <c r="C5398" s="371" t="s">
        <v>2791</v>
      </c>
      <c r="D5398" s="2716">
        <f t="shared" si="576"/>
        <v>1</v>
      </c>
      <c r="E5398" s="2721">
        <v>1</v>
      </c>
      <c r="F5398" s="293"/>
      <c r="G5398" s="1591" t="str">
        <f>G5395&amp;"（港币）"</f>
        <v>应收账款（港币）</v>
      </c>
      <c r="H5398" s="309"/>
      <c r="I5398" s="422"/>
      <c r="J5398" s="388"/>
      <c r="K5398" s="1604"/>
      <c r="L5398" s="1604"/>
      <c r="M5398" s="1604"/>
      <c r="N5398" s="1604"/>
      <c r="O5398" s="1604"/>
      <c r="P5398" s="1604"/>
      <c r="Q5398" s="1604"/>
      <c r="R5398" s="1604"/>
      <c r="S5398" s="364"/>
      <c r="Z5398" s="609" t="s">
        <v>2105</v>
      </c>
      <c r="AA5398" s="609" t="s">
        <v>19</v>
      </c>
    </row>
    <row r="5399" spans="1:27" ht="18">
      <c r="A5399" s="2714"/>
      <c r="B5399" s="371">
        <v>110</v>
      </c>
      <c r="C5399" s="371" t="s">
        <v>2791</v>
      </c>
      <c r="D5399" s="2716">
        <f t="shared" si="576"/>
        <v>0</v>
      </c>
      <c r="E5399" s="2721">
        <v>1</v>
      </c>
      <c r="F5399" s="293"/>
      <c r="G5399" s="1504" t="s">
        <v>2792</v>
      </c>
      <c r="H5399" s="309"/>
      <c r="I5399" s="422"/>
      <c r="J5399" s="388"/>
      <c r="K5399" s="1604"/>
      <c r="L5399" s="1604"/>
      <c r="M5399" s="1604"/>
      <c r="N5399" s="1604"/>
      <c r="O5399" s="1604"/>
      <c r="P5399" s="1604"/>
      <c r="Q5399" s="1604"/>
      <c r="R5399" s="1604"/>
      <c r="S5399" s="364"/>
      <c r="Z5399" s="609" t="s">
        <v>2105</v>
      </c>
      <c r="AA5399" s="609" t="s">
        <v>19</v>
      </c>
    </row>
    <row r="5400" spans="1:27" ht="18">
      <c r="A5400" s="2714"/>
      <c r="B5400" s="371">
        <v>111</v>
      </c>
      <c r="C5400" s="371"/>
      <c r="D5400" s="2716">
        <f t="shared" si="576"/>
        <v>1</v>
      </c>
      <c r="E5400" s="2721" t="s">
        <v>41</v>
      </c>
      <c r="F5400" s="293"/>
      <c r="G5400" s="308" t="s">
        <v>201</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112</v>
      </c>
      <c r="C5401" s="371" t="s">
        <v>2791</v>
      </c>
      <c r="D5401" s="2716">
        <f t="shared" si="576"/>
        <v>1</v>
      </c>
      <c r="E5401" s="2721">
        <v>1</v>
      </c>
      <c r="F5401" s="293"/>
      <c r="G5401" s="1591" t="str">
        <f>"其中："&amp;G5400&amp;"（美元）"</f>
        <v>其中：其他应收款（美元）</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113</v>
      </c>
      <c r="C5402" s="371" t="s">
        <v>2791</v>
      </c>
      <c r="D5402" s="2716">
        <f t="shared" si="576"/>
        <v>1</v>
      </c>
      <c r="E5402" s="2721">
        <v>1</v>
      </c>
      <c r="F5402" s="293"/>
      <c r="G5402" s="1591" t="str">
        <f>G5400&amp;"（欧元）"</f>
        <v>其他应收款（欧元）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114</v>
      </c>
      <c r="C5403" s="371" t="s">
        <v>2791</v>
      </c>
      <c r="D5403" s="2716">
        <f t="shared" si="576"/>
        <v>1</v>
      </c>
      <c r="E5403" s="2721">
        <v>1</v>
      </c>
      <c r="F5403" s="293"/>
      <c r="G5403" s="1591" t="str">
        <f>G5400&amp;"（港币）"</f>
        <v>其他应收款（港币）</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115</v>
      </c>
      <c r="C5404" s="371" t="s">
        <v>2791</v>
      </c>
      <c r="D5404" s="2716">
        <f t="shared" si="576"/>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116</v>
      </c>
      <c r="C5405" s="371"/>
      <c r="D5405" s="2716">
        <f t="shared" si="576"/>
        <v>1</v>
      </c>
      <c r="E5405" s="2721" t="s">
        <v>41</v>
      </c>
      <c r="F5405" s="293"/>
      <c r="G5405" s="308" t="s">
        <v>546</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117</v>
      </c>
      <c r="C5406" s="371" t="s">
        <v>2791</v>
      </c>
      <c r="D5406" s="2716">
        <f t="shared" si="576"/>
        <v>1</v>
      </c>
      <c r="E5406" s="2721">
        <v>1</v>
      </c>
      <c r="F5406" s="293"/>
      <c r="G5406" s="1591" t="str">
        <f>"其中："&amp;G5405&amp;"（美元）"</f>
        <v>其中：长期借款（美元）</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118</v>
      </c>
      <c r="C5407" s="371" t="s">
        <v>2791</v>
      </c>
      <c r="D5407" s="2716">
        <f t="shared" si="576"/>
        <v>1</v>
      </c>
      <c r="E5407" s="2721">
        <v>1</v>
      </c>
      <c r="F5407" s="293"/>
      <c r="G5407" s="1591" t="str">
        <f>G5405&amp;"（欧元）"</f>
        <v>长期借款（欧元）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119</v>
      </c>
      <c r="C5408" s="371" t="s">
        <v>2791</v>
      </c>
      <c r="D5408" s="2716">
        <f t="shared" si="576"/>
        <v>1</v>
      </c>
      <c r="E5408" s="2721">
        <v>1</v>
      </c>
      <c r="F5408" s="293"/>
      <c r="G5408" s="1591" t="str">
        <f>G5405&amp;"（港币）"</f>
        <v>长期借款（港币）</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120</v>
      </c>
      <c r="C5409" s="371" t="s">
        <v>2791</v>
      </c>
      <c r="D5409" s="2716">
        <f t="shared" si="576"/>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121</v>
      </c>
      <c r="C5410" s="371"/>
      <c r="D5410" s="2716">
        <f t="shared" si="576"/>
        <v>1</v>
      </c>
      <c r="E5410" s="2721" t="s">
        <v>41</v>
      </c>
      <c r="F5410" s="293"/>
      <c r="G5410" s="308" t="s">
        <v>550</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122</v>
      </c>
      <c r="C5411" s="371" t="s">
        <v>2791</v>
      </c>
      <c r="D5411" s="2716">
        <f t="shared" si="576"/>
        <v>1</v>
      </c>
      <c r="E5411" s="2721">
        <v>1</v>
      </c>
      <c r="F5411" s="293"/>
      <c r="G5411" s="1591" t="str">
        <f>"其中："&amp;G5410&amp;"（美元）"</f>
        <v>其中：应付债券（美元）</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123</v>
      </c>
      <c r="C5412" s="371" t="s">
        <v>2791</v>
      </c>
      <c r="D5412" s="2716">
        <f t="shared" si="576"/>
        <v>1</v>
      </c>
      <c r="E5412" s="2721">
        <v>1</v>
      </c>
      <c r="F5412" s="293"/>
      <c r="G5412" s="1591" t="str">
        <f>G5410&amp;"（欧元）"</f>
        <v>应付债券（欧元）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124</v>
      </c>
      <c r="C5413" s="371" t="s">
        <v>2791</v>
      </c>
      <c r="D5413" s="2716">
        <f t="shared" si="576"/>
        <v>1</v>
      </c>
      <c r="E5413" s="2721">
        <v>1</v>
      </c>
      <c r="F5413" s="293"/>
      <c r="G5413" s="1591" t="str">
        <f>G5410&amp;"（港币）"</f>
        <v>应付债券（港币）</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125</v>
      </c>
      <c r="C5414" s="371" t="s">
        <v>2791</v>
      </c>
      <c r="D5414" s="2716">
        <f t="shared" si="576"/>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126</v>
      </c>
      <c r="C5415" s="371" t="s">
        <v>2791</v>
      </c>
      <c r="D5415" s="2716">
        <f t="shared" si="576"/>
        <v>0</v>
      </c>
      <c r="E5415" s="2721">
        <v>1</v>
      </c>
      <c r="F5415" s="293"/>
      <c r="G5415" s="1591" t="s">
        <v>2792</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127</v>
      </c>
      <c r="C5416" s="371" t="s">
        <v>6533</v>
      </c>
      <c r="D5416" s="2716">
        <f t="shared" si="576"/>
        <v>0</v>
      </c>
      <c r="E5416" s="2721">
        <v>1</v>
      </c>
      <c r="F5416" s="293"/>
      <c r="G5416" s="1591" t="s">
        <v>5146</v>
      </c>
      <c r="H5416" s="309"/>
      <c r="I5416" s="422"/>
      <c r="J5416" s="388"/>
      <c r="K5416" s="1604"/>
      <c r="L5416" s="1604"/>
      <c r="M5416" s="1604"/>
      <c r="N5416" s="1604"/>
      <c r="O5416" s="1604"/>
      <c r="P5416" s="1604"/>
      <c r="Q5416" s="1604"/>
      <c r="R5416" s="1604"/>
      <c r="S5416" s="364"/>
      <c r="Z5416" s="609" t="s">
        <v>2105</v>
      </c>
      <c r="AA5416" s="609" t="s">
        <v>19</v>
      </c>
    </row>
    <row r="5417" spans="1:27" ht="18.75" thickBot="1">
      <c r="A5417" s="2714"/>
      <c r="B5417" s="371"/>
      <c r="C5417" s="371"/>
      <c r="D5417" s="2716">
        <f t="shared" si="576"/>
        <v>1</v>
      </c>
      <c r="E5417" s="2721" t="s">
        <v>2751</v>
      </c>
      <c r="F5417" s="293"/>
      <c r="G5417" s="2234" t="s">
        <v>2752</v>
      </c>
      <c r="H5417" s="2430"/>
      <c r="I5417" s="2235">
        <f>SUMPRODUCT($E5389:$E5416,I5389:I5416)</f>
        <v>0</v>
      </c>
      <c r="J5417" s="2488"/>
      <c r="K5417" s="1604"/>
      <c r="L5417" s="1604"/>
      <c r="M5417" s="1604"/>
      <c r="N5417" s="1604"/>
      <c r="O5417" s="1604"/>
      <c r="P5417" s="1604"/>
      <c r="Q5417" s="1604"/>
      <c r="R5417" s="1604"/>
      <c r="S5417" s="364"/>
      <c r="Z5417" s="609" t="s">
        <v>2105</v>
      </c>
      <c r="AA5417" s="609" t="s">
        <v>19</v>
      </c>
    </row>
    <row r="5418" spans="1:27" ht="18">
      <c r="A5418" s="2714"/>
      <c r="B5418" s="371"/>
      <c r="C5418" s="371" t="s">
        <v>2755</v>
      </c>
      <c r="D5418" s="2716"/>
      <c r="F5418" s="293"/>
      <c r="G5418" s="376"/>
      <c r="H5418" s="315"/>
      <c r="I5418" s="396"/>
      <c r="J5418" s="427"/>
      <c r="K5418" s="1604"/>
      <c r="L5418" s="1604"/>
      <c r="M5418" s="1604"/>
      <c r="N5418" s="1604"/>
      <c r="O5418" s="1604"/>
      <c r="P5418" s="1604"/>
      <c r="Q5418" s="1604"/>
      <c r="R5418" s="1604"/>
      <c r="S5418" s="364"/>
      <c r="Z5418" s="609" t="s">
        <v>2105</v>
      </c>
      <c r="AA5418" s="609" t="s">
        <v>19</v>
      </c>
    </row>
    <row r="5419" spans="1:27" ht="24">
      <c r="A5419" s="2714" t="s">
        <v>2125</v>
      </c>
      <c r="B5419" s="371">
        <v>5</v>
      </c>
      <c r="C5419" s="371"/>
      <c r="D5419" s="2716" t="str">
        <f>VLOOKUP($A5419,Sheet_NoteList,2,0)</f>
        <v>上期末各外币资产负债项目的主要外汇风险敞口</v>
      </c>
      <c r="E5419" s="2716" t="s">
        <v>2742</v>
      </c>
      <c r="F5419" s="293"/>
      <c r="G5419" s="372" t="str">
        <f>"("&amp;B5419&amp;")"&amp;D5419</f>
        <v>(5)上期末各外币资产负债项目的主要外汇风险敞口</v>
      </c>
      <c r="H5419" s="1517" t="str">
        <f>$A5419</f>
        <v>9325m</v>
      </c>
      <c r="I5419" s="343" t="s">
        <v>2743</v>
      </c>
      <c r="J5419" s="301" t="s">
        <v>2744</v>
      </c>
      <c r="K5419" s="2210">
        <f>H5451</f>
        <v>0</v>
      </c>
      <c r="L5419" s="349"/>
      <c r="M5419" s="301" t="s">
        <v>2745</v>
      </c>
      <c r="N5419" s="2210">
        <f>I5451</f>
        <v>0</v>
      </c>
      <c r="O5419" s="349"/>
      <c r="P5419" s="301"/>
      <c r="S5419" s="364"/>
      <c r="Z5419" s="609" t="s">
        <v>2105</v>
      </c>
      <c r="AA5419" s="609" t="s">
        <v>19</v>
      </c>
    </row>
    <row r="5420" spans="1:27" ht="0.75" customHeight="1">
      <c r="A5420" s="2714"/>
      <c r="B5420" s="371"/>
      <c r="C5420" s="371"/>
      <c r="D5420" s="2716"/>
      <c r="F5420" s="371"/>
      <c r="G5420" s="405" t="s">
        <v>4519</v>
      </c>
      <c r="H5420" s="371" t="s">
        <v>5537</v>
      </c>
      <c r="I5420" s="371" t="s">
        <v>5534</v>
      </c>
      <c r="J5420" s="612" t="s">
        <v>5535</v>
      </c>
      <c r="K5420" s="428"/>
      <c r="L5420" s="428"/>
      <c r="M5420" s="433"/>
      <c r="N5420" s="428"/>
      <c r="O5420" s="428"/>
      <c r="P5420" s="433"/>
      <c r="Q5420" s="442"/>
      <c r="R5420" s="443"/>
      <c r="S5420" s="364"/>
      <c r="Z5420" s="609" t="s">
        <v>2105</v>
      </c>
      <c r="AA5420" s="609" t="s">
        <v>19</v>
      </c>
    </row>
    <row r="5421" spans="1:27" ht="0.75" customHeight="1" thickBot="1">
      <c r="A5421" s="2714"/>
      <c r="B5421" s="371"/>
      <c r="C5421" s="371"/>
      <c r="D5421" s="2716"/>
      <c r="F5421" s="371"/>
      <c r="G5421" s="405"/>
      <c r="H5421" s="371" t="s">
        <v>5526</v>
      </c>
      <c r="I5421" s="371" t="s">
        <v>5527</v>
      </c>
      <c r="J5421" s="612" t="s">
        <v>5533</v>
      </c>
      <c r="K5421" s="428"/>
      <c r="L5421" s="428"/>
      <c r="M5421" s="433"/>
      <c r="N5421" s="428"/>
      <c r="O5421" s="428"/>
      <c r="P5421" s="433"/>
      <c r="Q5421" s="442"/>
      <c r="R5421" s="443"/>
      <c r="S5421" s="364"/>
      <c r="Z5421" s="609" t="s">
        <v>2105</v>
      </c>
      <c r="AA5421" s="609" t="s">
        <v>19</v>
      </c>
    </row>
    <row r="5422" spans="1:27" ht="18" customHeight="1">
      <c r="A5422" s="2714"/>
      <c r="B5422" s="371"/>
      <c r="C5422" s="371"/>
      <c r="D5422" s="2716"/>
      <c r="E5422" s="2716" t="s">
        <v>2749</v>
      </c>
      <c r="F5422" s="293"/>
      <c r="G5422" s="3187" t="s">
        <v>47</v>
      </c>
      <c r="H5422" s="3186" t="str">
        <f>$W$3&amp;"余额"</f>
        <v>2018年12月31日余额</v>
      </c>
      <c r="I5422" s="3282"/>
      <c r="J5422" s="3282"/>
      <c r="K5422" s="355" t="s">
        <v>5348</v>
      </c>
      <c r="L5422" s="1512"/>
      <c r="M5422" s="1512"/>
      <c r="N5422" s="428"/>
      <c r="O5422" s="428"/>
      <c r="P5422" s="433"/>
      <c r="Q5422" s="442"/>
      <c r="R5422" s="443"/>
      <c r="S5422" s="364"/>
      <c r="Z5422" s="609" t="s">
        <v>2105</v>
      </c>
      <c r="AA5422" s="609" t="s">
        <v>19</v>
      </c>
    </row>
    <row r="5423" spans="1:27" ht="18">
      <c r="A5423" s="2714"/>
      <c r="B5423" s="371"/>
      <c r="C5423" s="371"/>
      <c r="D5423" s="2716"/>
      <c r="E5423" s="2716" t="s">
        <v>2749</v>
      </c>
      <c r="F5423" s="293"/>
      <c r="G5423" s="3226"/>
      <c r="H5423" s="2463" t="s">
        <v>4518</v>
      </c>
      <c r="I5423" s="2463" t="s">
        <v>2459</v>
      </c>
      <c r="J5423" s="1603" t="s">
        <v>5536</v>
      </c>
      <c r="K5423" s="355" t="s">
        <v>5532</v>
      </c>
      <c r="L5423" s="434"/>
      <c r="M5423" s="1511"/>
      <c r="N5423" s="434"/>
      <c r="O5423" s="434"/>
      <c r="P5423" s="435"/>
      <c r="Q5423" s="442"/>
      <c r="R5423" s="443"/>
      <c r="S5423" s="364"/>
      <c r="Z5423" s="609" t="s">
        <v>2105</v>
      </c>
      <c r="AA5423" s="609" t="s">
        <v>19</v>
      </c>
    </row>
    <row r="5424" spans="1:27" ht="18">
      <c r="A5424" s="2714"/>
      <c r="B5424" s="371">
        <v>101</v>
      </c>
      <c r="C5424" s="371"/>
      <c r="D5424" s="2716">
        <f t="shared" ref="D5424:D5451" si="577">IF(OR(G5424="*",G5424="",G5424=0),0,COUNTIF($G$5424:$G$5451,G5424))</f>
        <v>1</v>
      </c>
      <c r="E5424" s="2721" t="s">
        <v>41</v>
      </c>
      <c r="F5424" s="293"/>
      <c r="G5424" s="308" t="s">
        <v>10</v>
      </c>
      <c r="H5424" s="309"/>
      <c r="I5424" s="422"/>
      <c r="J5424" s="388"/>
      <c r="L5424" s="438"/>
      <c r="M5424" s="438"/>
      <c r="N5424" s="439"/>
      <c r="O5424" s="437"/>
      <c r="P5424" s="438"/>
      <c r="Q5424" s="442"/>
      <c r="R5424" s="443"/>
      <c r="S5424" s="364"/>
      <c r="Z5424" s="609" t="s">
        <v>2105</v>
      </c>
      <c r="AA5424" s="609" t="s">
        <v>19</v>
      </c>
    </row>
    <row r="5425" spans="1:27" ht="18">
      <c r="A5425" s="2714"/>
      <c r="B5425" s="371">
        <v>102</v>
      </c>
      <c r="C5425" s="371" t="s">
        <v>2791</v>
      </c>
      <c r="D5425" s="2716">
        <f t="shared" si="577"/>
        <v>1</v>
      </c>
      <c r="E5425" s="2721">
        <v>1</v>
      </c>
      <c r="F5425" s="293"/>
      <c r="G5425" s="1599" t="str">
        <f>"其中："&amp;G5424&amp;"（美元）"</f>
        <v>其中：货币资金（美元）</v>
      </c>
      <c r="H5425" s="309"/>
      <c r="I5425" s="422"/>
      <c r="J5425" s="388"/>
      <c r="K5425" s="520"/>
      <c r="L5425" s="438"/>
      <c r="M5425" s="438"/>
      <c r="N5425" s="439"/>
      <c r="O5425" s="437"/>
      <c r="P5425" s="438"/>
      <c r="Q5425" s="442"/>
      <c r="R5425" s="443"/>
      <c r="S5425" s="364"/>
      <c r="Z5425" s="609" t="s">
        <v>2105</v>
      </c>
      <c r="AA5425" s="609" t="s">
        <v>19</v>
      </c>
    </row>
    <row r="5426" spans="1:27" ht="18">
      <c r="A5426" s="2714"/>
      <c r="B5426" s="371">
        <v>103</v>
      </c>
      <c r="C5426" s="371" t="s">
        <v>2791</v>
      </c>
      <c r="D5426" s="2716">
        <f t="shared" si="577"/>
        <v>1</v>
      </c>
      <c r="E5426" s="2721">
        <v>1</v>
      </c>
      <c r="F5426" s="293"/>
      <c r="G5426" s="1599" t="str">
        <f>G5424&amp;"（欧元）"</f>
        <v>货币资金（欧元）</v>
      </c>
      <c r="H5426" s="309"/>
      <c r="I5426" s="422"/>
      <c r="J5426" s="388"/>
      <c r="K5426" s="520"/>
      <c r="L5426" s="438"/>
      <c r="M5426" s="438"/>
      <c r="N5426" s="439"/>
      <c r="O5426" s="437"/>
      <c r="P5426" s="438"/>
      <c r="Q5426" s="442"/>
      <c r="R5426" s="443"/>
      <c r="S5426" s="364"/>
      <c r="Z5426" s="609" t="s">
        <v>2105</v>
      </c>
      <c r="AA5426" s="609" t="s">
        <v>19</v>
      </c>
    </row>
    <row r="5427" spans="1:27" ht="18">
      <c r="A5427" s="2714"/>
      <c r="B5427" s="371">
        <v>104</v>
      </c>
      <c r="C5427" s="371" t="s">
        <v>2791</v>
      </c>
      <c r="D5427" s="2716">
        <f t="shared" si="577"/>
        <v>1</v>
      </c>
      <c r="E5427" s="2721">
        <v>1</v>
      </c>
      <c r="F5427" s="293"/>
      <c r="G5427" s="1599" t="str">
        <f>G5424&amp;"（港币）"</f>
        <v>货币资金（港币）</v>
      </c>
      <c r="H5427" s="309"/>
      <c r="I5427" s="422"/>
      <c r="J5427" s="388"/>
      <c r="K5427" s="520"/>
      <c r="L5427" s="438"/>
      <c r="M5427" s="438"/>
      <c r="N5427" s="439"/>
      <c r="O5427" s="437"/>
      <c r="P5427" s="438"/>
      <c r="Q5427" s="442"/>
      <c r="R5427" s="443"/>
      <c r="S5427" s="364"/>
      <c r="Z5427" s="609" t="s">
        <v>2105</v>
      </c>
      <c r="AA5427" s="609" t="s">
        <v>19</v>
      </c>
    </row>
    <row r="5428" spans="1:27" ht="18">
      <c r="A5428" s="2714"/>
      <c r="B5428" s="371">
        <v>105</v>
      </c>
      <c r="C5428" s="371" t="s">
        <v>2791</v>
      </c>
      <c r="D5428" s="2716">
        <f t="shared" si="577"/>
        <v>0</v>
      </c>
      <c r="E5428" s="2721">
        <v>1</v>
      </c>
      <c r="F5428" s="293"/>
      <c r="G5428" s="1504" t="s">
        <v>2792</v>
      </c>
      <c r="H5428" s="309"/>
      <c r="I5428" s="422"/>
      <c r="J5428" s="388"/>
      <c r="K5428" s="520"/>
      <c r="L5428" s="438"/>
      <c r="M5428" s="438"/>
      <c r="N5428" s="439"/>
      <c r="O5428" s="437"/>
      <c r="P5428" s="438"/>
      <c r="Q5428" s="442"/>
      <c r="R5428" s="443"/>
      <c r="S5428" s="364"/>
      <c r="Z5428" s="609" t="s">
        <v>2105</v>
      </c>
      <c r="AA5428" s="609" t="s">
        <v>19</v>
      </c>
    </row>
    <row r="5429" spans="1:27" ht="18">
      <c r="A5429" s="2714"/>
      <c r="B5429" s="371">
        <v>106</v>
      </c>
      <c r="C5429" s="371"/>
      <c r="D5429" s="2716">
        <f t="shared" si="577"/>
        <v>1</v>
      </c>
      <c r="E5429" s="2721" t="s">
        <v>41</v>
      </c>
      <c r="F5429" s="293"/>
      <c r="G5429" s="308" t="s">
        <v>124</v>
      </c>
      <c r="H5429" s="309"/>
      <c r="I5429" s="422"/>
      <c r="J5429" s="388"/>
      <c r="K5429" s="520"/>
      <c r="L5429" s="438"/>
      <c r="M5429" s="438"/>
      <c r="N5429" s="439"/>
      <c r="O5429" s="437"/>
      <c r="P5429" s="438"/>
      <c r="Q5429" s="442"/>
      <c r="R5429" s="443"/>
      <c r="S5429" s="364"/>
      <c r="Z5429" s="609" t="s">
        <v>2105</v>
      </c>
      <c r="AA5429" s="609" t="s">
        <v>19</v>
      </c>
    </row>
    <row r="5430" spans="1:27" ht="18">
      <c r="A5430" s="2714"/>
      <c r="B5430" s="371">
        <v>107</v>
      </c>
      <c r="C5430" s="371" t="s">
        <v>2791</v>
      </c>
      <c r="D5430" s="2716">
        <f t="shared" si="577"/>
        <v>1</v>
      </c>
      <c r="E5430" s="2721">
        <v>1</v>
      </c>
      <c r="F5430" s="293"/>
      <c r="G5430" s="1599" t="str">
        <f>"其中："&amp;G5429&amp;"（美元）"</f>
        <v>其中：应收账款（美元）</v>
      </c>
      <c r="H5430" s="309"/>
      <c r="I5430" s="422"/>
      <c r="J5430" s="388"/>
      <c r="K5430" s="520"/>
      <c r="L5430" s="438"/>
      <c r="M5430" s="438"/>
      <c r="N5430" s="439"/>
      <c r="O5430" s="437"/>
      <c r="P5430" s="438"/>
      <c r="Q5430" s="442"/>
      <c r="R5430" s="443"/>
      <c r="S5430" s="364"/>
      <c r="Z5430" s="609" t="s">
        <v>2105</v>
      </c>
      <c r="AA5430" s="609" t="s">
        <v>19</v>
      </c>
    </row>
    <row r="5431" spans="1:27" ht="18">
      <c r="A5431" s="2714"/>
      <c r="B5431" s="371">
        <v>108</v>
      </c>
      <c r="C5431" s="371" t="s">
        <v>2791</v>
      </c>
      <c r="D5431" s="2716">
        <f t="shared" si="577"/>
        <v>1</v>
      </c>
      <c r="E5431" s="2721">
        <v>1</v>
      </c>
      <c r="F5431" s="293"/>
      <c r="G5431" s="1599" t="str">
        <f>G5429&amp;"（欧元）"</f>
        <v>应收账款（欧元）</v>
      </c>
      <c r="H5431" s="309"/>
      <c r="I5431" s="422"/>
      <c r="J5431" s="388"/>
      <c r="K5431" s="520"/>
      <c r="L5431" s="438"/>
      <c r="M5431" s="438"/>
      <c r="N5431" s="439"/>
      <c r="O5431" s="437"/>
      <c r="P5431" s="438"/>
      <c r="Q5431" s="442"/>
      <c r="R5431" s="443"/>
      <c r="S5431" s="364"/>
      <c r="Z5431" s="609" t="s">
        <v>2105</v>
      </c>
      <c r="AA5431" s="609" t="s">
        <v>19</v>
      </c>
    </row>
    <row r="5432" spans="1:27" ht="18">
      <c r="A5432" s="2714"/>
      <c r="B5432" s="371">
        <v>109</v>
      </c>
      <c r="C5432" s="371" t="s">
        <v>2791</v>
      </c>
      <c r="D5432" s="2716">
        <f t="shared" si="577"/>
        <v>1</v>
      </c>
      <c r="E5432" s="2721">
        <v>1</v>
      </c>
      <c r="F5432" s="293"/>
      <c r="G5432" s="1599" t="str">
        <f>G5429&amp;"（港币）"</f>
        <v>应收账款（港币）</v>
      </c>
      <c r="H5432" s="309"/>
      <c r="I5432" s="422"/>
      <c r="J5432" s="388"/>
      <c r="K5432" s="520"/>
      <c r="L5432" s="438"/>
      <c r="M5432" s="438"/>
      <c r="N5432" s="439"/>
      <c r="O5432" s="437"/>
      <c r="P5432" s="438"/>
      <c r="Q5432" s="442"/>
      <c r="R5432" s="443"/>
      <c r="S5432" s="364"/>
      <c r="Z5432" s="609" t="s">
        <v>2105</v>
      </c>
      <c r="AA5432" s="609" t="s">
        <v>19</v>
      </c>
    </row>
    <row r="5433" spans="1:27" ht="18">
      <c r="A5433" s="2714"/>
      <c r="B5433" s="371">
        <v>110</v>
      </c>
      <c r="C5433" s="371" t="s">
        <v>2791</v>
      </c>
      <c r="D5433" s="2716">
        <f t="shared" si="577"/>
        <v>0</v>
      </c>
      <c r="E5433" s="2721">
        <v>1</v>
      </c>
      <c r="F5433" s="293"/>
      <c r="G5433" s="1504" t="s">
        <v>2792</v>
      </c>
      <c r="H5433" s="309"/>
      <c r="I5433" s="422"/>
      <c r="J5433" s="388"/>
      <c r="K5433" s="520"/>
      <c r="L5433" s="438"/>
      <c r="M5433" s="438"/>
      <c r="N5433" s="439"/>
      <c r="O5433" s="437"/>
      <c r="P5433" s="438"/>
      <c r="Q5433" s="442"/>
      <c r="R5433" s="443"/>
      <c r="S5433" s="364"/>
      <c r="Z5433" s="609" t="s">
        <v>2105</v>
      </c>
      <c r="AA5433" s="609" t="s">
        <v>19</v>
      </c>
    </row>
    <row r="5434" spans="1:27" ht="18">
      <c r="A5434" s="2714"/>
      <c r="B5434" s="371">
        <v>111</v>
      </c>
      <c r="C5434" s="371"/>
      <c r="D5434" s="2716">
        <f t="shared" si="577"/>
        <v>1</v>
      </c>
      <c r="E5434" s="2721" t="s">
        <v>41</v>
      </c>
      <c r="F5434" s="293"/>
      <c r="G5434" s="308" t="s">
        <v>201</v>
      </c>
      <c r="H5434" s="309"/>
      <c r="I5434" s="422"/>
      <c r="J5434" s="388"/>
      <c r="K5434" s="520"/>
      <c r="L5434" s="438"/>
      <c r="M5434" s="438"/>
      <c r="N5434" s="439"/>
      <c r="O5434" s="437"/>
      <c r="P5434" s="438"/>
      <c r="Q5434" s="442"/>
      <c r="R5434" s="443"/>
      <c r="S5434" s="364"/>
      <c r="Z5434" s="609" t="s">
        <v>2105</v>
      </c>
      <c r="AA5434" s="609" t="s">
        <v>19</v>
      </c>
    </row>
    <row r="5435" spans="1:27" ht="18">
      <c r="A5435" s="2714"/>
      <c r="B5435" s="371">
        <v>112</v>
      </c>
      <c r="C5435" s="371" t="s">
        <v>2791</v>
      </c>
      <c r="D5435" s="2716">
        <f t="shared" si="577"/>
        <v>1</v>
      </c>
      <c r="E5435" s="2721">
        <v>1</v>
      </c>
      <c r="F5435" s="293"/>
      <c r="G5435" s="1599" t="str">
        <f>"其中："&amp;G5434&amp;"（美元）"</f>
        <v>其中：其他应收款（美元）</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113</v>
      </c>
      <c r="C5436" s="371" t="s">
        <v>2791</v>
      </c>
      <c r="D5436" s="2716">
        <f t="shared" si="577"/>
        <v>1</v>
      </c>
      <c r="E5436" s="2721">
        <v>1</v>
      </c>
      <c r="F5436" s="293"/>
      <c r="G5436" s="1599" t="str">
        <f>G5434&amp;"（欧元）"</f>
        <v>其他应收款（欧元）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114</v>
      </c>
      <c r="C5437" s="371" t="s">
        <v>2791</v>
      </c>
      <c r="D5437" s="2716">
        <f t="shared" si="577"/>
        <v>1</v>
      </c>
      <c r="E5437" s="2721">
        <v>1</v>
      </c>
      <c r="F5437" s="293"/>
      <c r="G5437" s="1599" t="str">
        <f>G5434&amp;"（港币）"</f>
        <v>其他应收款（港币）</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115</v>
      </c>
      <c r="C5438" s="371" t="s">
        <v>2791</v>
      </c>
      <c r="D5438" s="2716">
        <f t="shared" si="577"/>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116</v>
      </c>
      <c r="C5439" s="371"/>
      <c r="D5439" s="2716">
        <f t="shared" si="577"/>
        <v>1</v>
      </c>
      <c r="E5439" s="2721" t="s">
        <v>41</v>
      </c>
      <c r="F5439" s="293"/>
      <c r="G5439" s="308" t="s">
        <v>546</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117</v>
      </c>
      <c r="C5440" s="371" t="s">
        <v>2791</v>
      </c>
      <c r="D5440" s="2716">
        <f t="shared" si="577"/>
        <v>1</v>
      </c>
      <c r="E5440" s="2721">
        <v>1</v>
      </c>
      <c r="F5440" s="293"/>
      <c r="G5440" s="1599" t="str">
        <f>"其中："&amp;G5439&amp;"（美元）"</f>
        <v>其中：长期借款（美元）</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118</v>
      </c>
      <c r="C5441" s="371" t="s">
        <v>2791</v>
      </c>
      <c r="D5441" s="2716">
        <f t="shared" si="577"/>
        <v>1</v>
      </c>
      <c r="E5441" s="2721">
        <v>1</v>
      </c>
      <c r="F5441" s="293"/>
      <c r="G5441" s="1599" t="str">
        <f>G5439&amp;"（欧元）"</f>
        <v>长期借款（欧元）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119</v>
      </c>
      <c r="C5442" s="371" t="s">
        <v>2791</v>
      </c>
      <c r="D5442" s="2716">
        <f t="shared" si="577"/>
        <v>1</v>
      </c>
      <c r="E5442" s="2721">
        <v>1</v>
      </c>
      <c r="F5442" s="293"/>
      <c r="G5442" s="1599" t="str">
        <f>G5439&amp;"（港币）"</f>
        <v>长期借款（港币）</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120</v>
      </c>
      <c r="C5443" s="371" t="s">
        <v>2791</v>
      </c>
      <c r="D5443" s="2716">
        <f t="shared" si="577"/>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121</v>
      </c>
      <c r="C5444" s="371"/>
      <c r="D5444" s="2716">
        <f t="shared" si="577"/>
        <v>1</v>
      </c>
      <c r="E5444" s="2721" t="s">
        <v>41</v>
      </c>
      <c r="F5444" s="293"/>
      <c r="G5444" s="308" t="s">
        <v>550</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122</v>
      </c>
      <c r="C5445" s="371" t="s">
        <v>2791</v>
      </c>
      <c r="D5445" s="2716">
        <f t="shared" si="577"/>
        <v>1</v>
      </c>
      <c r="E5445" s="2721">
        <v>1</v>
      </c>
      <c r="F5445" s="293"/>
      <c r="G5445" s="1599" t="str">
        <f>"其中："&amp;G5444&amp;"（美元）"</f>
        <v>其中：应付债券（美元）</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123</v>
      </c>
      <c r="C5446" s="371" t="s">
        <v>2791</v>
      </c>
      <c r="D5446" s="2716">
        <f t="shared" si="577"/>
        <v>1</v>
      </c>
      <c r="E5446" s="2721">
        <v>1</v>
      </c>
      <c r="F5446" s="293"/>
      <c r="G5446" s="1599" t="str">
        <f>G5444&amp;"（欧元）"</f>
        <v>应付债券（欧元）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124</v>
      </c>
      <c r="C5447" s="371" t="s">
        <v>2791</v>
      </c>
      <c r="D5447" s="2716">
        <f t="shared" si="577"/>
        <v>1</v>
      </c>
      <c r="E5447" s="2721">
        <v>1</v>
      </c>
      <c r="F5447" s="293"/>
      <c r="G5447" s="1599" t="str">
        <f>G5444&amp;"（港币）"</f>
        <v>应付债券（港币）</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125</v>
      </c>
      <c r="C5448" s="371" t="s">
        <v>2791</v>
      </c>
      <c r="D5448" s="2716">
        <f t="shared" si="577"/>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126</v>
      </c>
      <c r="C5449" s="371" t="s">
        <v>2791</v>
      </c>
      <c r="D5449" s="2716">
        <f t="shared" si="577"/>
        <v>0</v>
      </c>
      <c r="E5449" s="2721">
        <v>1</v>
      </c>
      <c r="F5449" s="293"/>
      <c r="G5449" s="1599" t="s">
        <v>2792</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127</v>
      </c>
      <c r="C5450" s="371" t="s">
        <v>6533</v>
      </c>
      <c r="D5450" s="2716">
        <f t="shared" si="577"/>
        <v>0</v>
      </c>
      <c r="E5450" s="2721">
        <v>1</v>
      </c>
      <c r="F5450" s="293"/>
      <c r="G5450" s="1599" t="s">
        <v>5146</v>
      </c>
      <c r="H5450" s="309"/>
      <c r="I5450" s="422"/>
      <c r="J5450" s="388"/>
      <c r="K5450" s="520"/>
      <c r="L5450" s="438"/>
      <c r="M5450" s="438"/>
      <c r="N5450" s="439"/>
      <c r="O5450" s="437"/>
      <c r="P5450" s="438"/>
      <c r="Q5450" s="442"/>
      <c r="R5450" s="443"/>
      <c r="S5450" s="364"/>
      <c r="Z5450" s="609" t="s">
        <v>2105</v>
      </c>
      <c r="AA5450" s="609" t="s">
        <v>19</v>
      </c>
    </row>
    <row r="5451" spans="1:27" ht="18.75" thickBot="1">
      <c r="A5451" s="2714"/>
      <c r="B5451" s="371"/>
      <c r="C5451" s="371"/>
      <c r="D5451" s="2716">
        <f t="shared" si="577"/>
        <v>1</v>
      </c>
      <c r="E5451" s="2721" t="s">
        <v>2751</v>
      </c>
      <c r="F5451" s="293"/>
      <c r="G5451" s="2234" t="s">
        <v>2752</v>
      </c>
      <c r="H5451" s="2430"/>
      <c r="I5451" s="2235">
        <f>SUMPRODUCT($E5423:$E5450,I5423:I5450)</f>
        <v>0</v>
      </c>
      <c r="J5451" s="2489"/>
      <c r="K5451" s="1508"/>
      <c r="L5451" s="1508"/>
      <c r="M5451" s="1508"/>
      <c r="N5451" s="439"/>
      <c r="O5451" s="437"/>
      <c r="P5451" s="440"/>
      <c r="Q5451" s="442"/>
      <c r="R5451" s="443"/>
      <c r="S5451" s="364"/>
      <c r="Z5451" s="609" t="s">
        <v>2105</v>
      </c>
      <c r="AA5451" s="609" t="s">
        <v>19</v>
      </c>
    </row>
    <row r="5452" spans="1:27" ht="18">
      <c r="A5452" s="2714"/>
      <c r="B5452" s="371"/>
      <c r="C5452" s="371" t="s">
        <v>2755</v>
      </c>
      <c r="D5452" s="2716"/>
      <c r="F5452" s="293"/>
      <c r="G5452" s="376"/>
      <c r="H5452" s="315"/>
      <c r="I5452" s="396"/>
      <c r="J5452" s="427"/>
      <c r="K5452" s="577"/>
      <c r="L5452" s="425"/>
      <c r="M5452" s="425"/>
      <c r="N5452" s="426"/>
      <c r="O5452" s="427"/>
      <c r="P5452" s="425"/>
      <c r="Q5452" s="442"/>
      <c r="R5452" s="443"/>
      <c r="S5452" s="364"/>
      <c r="Z5452" s="609" t="s">
        <v>2105</v>
      </c>
      <c r="AA5452" s="609" t="s">
        <v>19</v>
      </c>
    </row>
    <row r="5453" spans="1:27" ht="18">
      <c r="A5453" s="2714">
        <v>9331</v>
      </c>
      <c r="B5453" s="371" t="s">
        <v>6570</v>
      </c>
      <c r="C5453" s="2716" t="str">
        <f>VLOOKUP($A5453,Sheet_Items,2,0)</f>
        <v>公允价值的披露</v>
      </c>
      <c r="D5453" s="371"/>
      <c r="E5453" s="2716" t="s">
        <v>2739</v>
      </c>
      <c r="F5453" s="294"/>
      <c r="G5453" s="305" t="str">
        <f>B5453&amp;" "&amp;C5453</f>
        <v>九 公允价值的披露</v>
      </c>
      <c r="H5453" s="306"/>
      <c r="I5453" s="306"/>
      <c r="J5453" s="306"/>
      <c r="K5453" s="539"/>
      <c r="L5453" s="342"/>
      <c r="M5453" s="306"/>
      <c r="N5453" s="539"/>
      <c r="O5453" s="306"/>
      <c r="P5453" s="301"/>
      <c r="S5453" s="364"/>
      <c r="Z5453" s="609" t="s">
        <v>2129</v>
      </c>
      <c r="AA5453" s="609"/>
    </row>
    <row r="5454" spans="1:27" ht="24">
      <c r="A5454" s="2714" t="s">
        <v>2127</v>
      </c>
      <c r="B5454" s="371">
        <v>1</v>
      </c>
      <c r="C5454" s="371"/>
      <c r="D5454" s="2716" t="str">
        <f>VLOOKUP($A5454,Sheet_NoteList,2,0)</f>
        <v>以公允价值计量的资产和负债的公允价值</v>
      </c>
      <c r="E5454" s="2716" t="s">
        <v>2742</v>
      </c>
      <c r="F5454" s="294"/>
      <c r="G5454" s="372" t="str">
        <f>"("&amp;B5454&amp;")"&amp;D5454</f>
        <v>(1)以公允价值计量的资产和负债的公允价值</v>
      </c>
      <c r="H5454" s="1517" t="str">
        <f>$A5454</f>
        <v>9331a</v>
      </c>
      <c r="I5454" s="343" t="s">
        <v>2743</v>
      </c>
      <c r="J5454" s="301"/>
      <c r="K5454" s="3071"/>
      <c r="L5454" s="315"/>
      <c r="M5454" s="301"/>
      <c r="N5454" s="3071"/>
      <c r="O5454" s="315"/>
      <c r="P5454" s="301"/>
      <c r="S5454" s="364"/>
      <c r="Z5454" s="609" t="s">
        <v>2129</v>
      </c>
      <c r="AA5454" s="609"/>
    </row>
    <row r="5455" spans="1:27" ht="0.75" customHeight="1">
      <c r="A5455" s="2714"/>
      <c r="B5455" s="371"/>
      <c r="C5455" s="371"/>
      <c r="D5455" s="371"/>
      <c r="E5455" s="586"/>
      <c r="F5455" s="586"/>
      <c r="G5455" s="586" t="s">
        <v>4523</v>
      </c>
      <c r="H5455" s="371" t="s">
        <v>2833</v>
      </c>
      <c r="I5455" s="371" t="s">
        <v>4524</v>
      </c>
      <c r="J5455" s="371" t="s">
        <v>4525</v>
      </c>
      <c r="K5455" s="371" t="s">
        <v>4526</v>
      </c>
      <c r="M5455" s="291"/>
      <c r="N5455" s="291"/>
      <c r="O5455" s="291"/>
      <c r="P5455" s="291"/>
      <c r="S5455" s="364"/>
      <c r="Z5455" s="609" t="s">
        <v>2129</v>
      </c>
      <c r="AA5455" s="609"/>
    </row>
    <row r="5456" spans="1:27" ht="0.75" customHeight="1" thickBot="1">
      <c r="A5456" s="2714"/>
      <c r="B5456" s="371"/>
      <c r="C5456" s="371"/>
      <c r="D5456" s="371"/>
      <c r="E5456" s="586"/>
      <c r="F5456" s="586"/>
      <c r="G5456" s="586"/>
      <c r="H5456" s="371" t="s">
        <v>4527</v>
      </c>
      <c r="I5456" s="371" t="s">
        <v>4528</v>
      </c>
      <c r="J5456" s="371" t="s">
        <v>4529</v>
      </c>
      <c r="K5456" s="371" t="s">
        <v>4530</v>
      </c>
      <c r="M5456" s="291"/>
      <c r="N5456" s="291"/>
      <c r="O5456" s="291"/>
      <c r="P5456" s="291"/>
      <c r="S5456" s="364"/>
      <c r="Z5456" s="609" t="s">
        <v>2129</v>
      </c>
      <c r="AA5456" s="609"/>
    </row>
    <row r="5457" spans="1:27" ht="24" customHeight="1">
      <c r="A5457" s="2714"/>
      <c r="B5457" s="371"/>
      <c r="C5457" s="371"/>
      <c r="D5457" s="371"/>
      <c r="E5457" s="586" t="s">
        <v>2749</v>
      </c>
      <c r="F5457" s="414"/>
      <c r="G5457" s="3227" t="s">
        <v>47</v>
      </c>
      <c r="H5457" s="3283" t="str">
        <f>$W$2&amp;"公允价值"</f>
        <v>2019年12月31日公允价值</v>
      </c>
      <c r="I5457" s="3283"/>
      <c r="J5457" s="3283"/>
      <c r="K5457" s="3284"/>
      <c r="L5457" s="355" t="s">
        <v>5349</v>
      </c>
      <c r="M5457" s="291"/>
      <c r="N5457" s="291"/>
      <c r="O5457" s="291"/>
      <c r="P5457" s="291"/>
      <c r="S5457" s="364"/>
      <c r="Z5457" s="609" t="s">
        <v>2129</v>
      </c>
      <c r="AA5457" s="609"/>
    </row>
    <row r="5458" spans="1:27" ht="24">
      <c r="A5458" s="2714"/>
      <c r="B5458" s="371"/>
      <c r="C5458" s="371"/>
      <c r="D5458" s="371"/>
      <c r="E5458" s="586" t="s">
        <v>2749</v>
      </c>
      <c r="F5458" s="363"/>
      <c r="G5458" s="3228"/>
      <c r="H5458" s="2584" t="s">
        <v>4531</v>
      </c>
      <c r="I5458" s="2584" t="s">
        <v>4532</v>
      </c>
      <c r="J5458" s="2584" t="s">
        <v>4533</v>
      </c>
      <c r="K5458" s="2588" t="s">
        <v>3351</v>
      </c>
      <c r="M5458" s="291"/>
      <c r="N5458" s="291"/>
      <c r="O5458" s="291"/>
      <c r="P5458" s="291"/>
      <c r="S5458" s="364"/>
      <c r="Z5458" s="609" t="s">
        <v>2129</v>
      </c>
      <c r="AA5458" s="609"/>
    </row>
    <row r="5459" spans="1:27" ht="18">
      <c r="A5459" s="2714"/>
      <c r="B5459" s="371">
        <v>101</v>
      </c>
      <c r="C5459" s="371"/>
      <c r="D5459" s="2716">
        <f t="shared" ref="D5459:D5498" si="578">IF(OR(G5459="*",G5459="",G5459=0),0,COUNTIF($G$5459:$G$5498,G5459))</f>
        <v>1</v>
      </c>
      <c r="E5459" s="2721" t="s">
        <v>41</v>
      </c>
      <c r="F5459" s="294"/>
      <c r="G5459" s="632" t="s">
        <v>4534</v>
      </c>
      <c r="H5459" s="2275"/>
      <c r="I5459" s="2275"/>
      <c r="J5459" s="2275"/>
      <c r="K5459" s="2296"/>
      <c r="M5459" s="291"/>
      <c r="N5459" s="291"/>
      <c r="O5459" s="291"/>
      <c r="P5459" s="291"/>
      <c r="S5459" s="364"/>
      <c r="Z5459" s="609" t="s">
        <v>2129</v>
      </c>
      <c r="AA5459" s="609"/>
    </row>
    <row r="5460" spans="1:27" ht="18">
      <c r="A5460" s="2714"/>
      <c r="B5460" s="371">
        <v>102</v>
      </c>
      <c r="C5460" s="371"/>
      <c r="D5460" s="2716">
        <f t="shared" si="578"/>
        <v>1</v>
      </c>
      <c r="E5460" s="2721">
        <v>1</v>
      </c>
      <c r="F5460" s="294"/>
      <c r="G5460" s="1474" t="s">
        <v>4535</v>
      </c>
      <c r="H5460" s="1476">
        <f>SUM(H5461,H5466)</f>
        <v>0</v>
      </c>
      <c r="I5460" s="1476">
        <f>SUM(I5461,I5466)</f>
        <v>0</v>
      </c>
      <c r="J5460" s="1476">
        <f>SUM(J5461,J5466)</f>
        <v>0</v>
      </c>
      <c r="K5460" s="1477">
        <f>SUM(H5460:J5460)</f>
        <v>0</v>
      </c>
      <c r="M5460" s="291"/>
      <c r="N5460" s="291"/>
      <c r="O5460" s="291"/>
      <c r="P5460" s="291"/>
      <c r="S5460" s="364"/>
      <c r="Z5460" s="609" t="s">
        <v>2129</v>
      </c>
      <c r="AA5460" s="609"/>
    </row>
    <row r="5461" spans="1:27" ht="24">
      <c r="A5461" s="2714"/>
      <c r="B5461" s="371">
        <v>103</v>
      </c>
      <c r="C5461" s="371"/>
      <c r="D5461" s="2716">
        <f t="shared" si="578"/>
        <v>1</v>
      </c>
      <c r="E5461" s="2721">
        <v>1</v>
      </c>
      <c r="F5461" s="294"/>
      <c r="G5461" s="1474" t="s">
        <v>4536</v>
      </c>
      <c r="H5461" s="1476">
        <f>SUM(H5462:H5465)</f>
        <v>0</v>
      </c>
      <c r="I5461" s="1476">
        <f>SUM(I5462:I5465)</f>
        <v>0</v>
      </c>
      <c r="J5461" s="1476">
        <f>SUM(J5462:J5465)</f>
        <v>0</v>
      </c>
      <c r="K5461" s="1477">
        <f t="shared" ref="K5461:K5497" si="579">SUM(H5461:J5461)</f>
        <v>0</v>
      </c>
      <c r="M5461" s="291"/>
      <c r="N5461" s="291"/>
      <c r="O5461" s="291"/>
      <c r="P5461" s="291"/>
      <c r="S5461" s="364"/>
      <c r="Z5461" s="609" t="s">
        <v>2129</v>
      </c>
      <c r="AA5461" s="609"/>
    </row>
    <row r="5462" spans="1:27" ht="18">
      <c r="A5462" s="2714"/>
      <c r="B5462" s="371">
        <v>104</v>
      </c>
      <c r="C5462" s="371"/>
      <c r="D5462" s="2716">
        <f t="shared" si="578"/>
        <v>1</v>
      </c>
      <c r="E5462" s="2721">
        <v>1</v>
      </c>
      <c r="F5462" s="294"/>
      <c r="G5462" s="1474" t="s">
        <v>6161</v>
      </c>
      <c r="H5462" s="2275"/>
      <c r="I5462" s="2275"/>
      <c r="J5462" s="2275"/>
      <c r="K5462" s="1477">
        <f t="shared" si="579"/>
        <v>0</v>
      </c>
      <c r="M5462" s="291"/>
      <c r="N5462" s="291"/>
      <c r="O5462" s="291"/>
      <c r="P5462" s="291"/>
      <c r="S5462" s="364"/>
      <c r="Z5462" s="609" t="s">
        <v>2129</v>
      </c>
      <c r="AA5462" s="609"/>
    </row>
    <row r="5463" spans="1:27" ht="18">
      <c r="A5463" s="2714"/>
      <c r="B5463" s="371">
        <v>105</v>
      </c>
      <c r="C5463" s="371"/>
      <c r="D5463" s="2716">
        <f t="shared" si="578"/>
        <v>1</v>
      </c>
      <c r="E5463" s="2721">
        <v>1</v>
      </c>
      <c r="F5463" s="294"/>
      <c r="G5463" s="1474" t="s">
        <v>4537</v>
      </c>
      <c r="H5463" s="2275"/>
      <c r="I5463" s="2275"/>
      <c r="J5463" s="2275"/>
      <c r="K5463" s="1477">
        <f t="shared" si="579"/>
        <v>0</v>
      </c>
      <c r="M5463" s="291"/>
      <c r="N5463" s="291"/>
      <c r="O5463" s="291"/>
      <c r="P5463" s="291"/>
      <c r="S5463" s="364"/>
      <c r="Z5463" s="609" t="s">
        <v>2129</v>
      </c>
      <c r="AA5463" s="609"/>
    </row>
    <row r="5464" spans="1:27" ht="18">
      <c r="A5464" s="2714"/>
      <c r="B5464" s="371">
        <v>106</v>
      </c>
      <c r="C5464" s="371"/>
      <c r="D5464" s="2716">
        <f t="shared" si="578"/>
        <v>1</v>
      </c>
      <c r="E5464" s="2721">
        <v>1</v>
      </c>
      <c r="F5464" s="294"/>
      <c r="G5464" s="1474" t="s">
        <v>4538</v>
      </c>
      <c r="H5464" s="2275"/>
      <c r="I5464" s="2275"/>
      <c r="J5464" s="2275"/>
      <c r="K5464" s="1477">
        <f t="shared" ref="K5464" si="580">SUM(H5464:J5464)</f>
        <v>0</v>
      </c>
      <c r="M5464" s="291"/>
      <c r="N5464" s="291"/>
      <c r="O5464" s="291"/>
      <c r="P5464" s="291"/>
      <c r="S5464" s="364"/>
      <c r="Z5464" s="609" t="s">
        <v>2129</v>
      </c>
      <c r="AA5464" s="609"/>
    </row>
    <row r="5465" spans="1:27" ht="18">
      <c r="A5465" s="2714"/>
      <c r="B5465" s="371">
        <v>107</v>
      </c>
      <c r="C5465" s="371" t="s">
        <v>2791</v>
      </c>
      <c r="D5465" s="2716">
        <f t="shared" si="578"/>
        <v>0</v>
      </c>
      <c r="E5465" s="2721">
        <v>1</v>
      </c>
      <c r="F5465" s="294"/>
      <c r="G5465" s="2589" t="s">
        <v>6168</v>
      </c>
      <c r="H5465" s="2275"/>
      <c r="I5465" s="2275"/>
      <c r="J5465" s="2275"/>
      <c r="K5465" s="1477">
        <f t="shared" si="579"/>
        <v>0</v>
      </c>
      <c r="M5465" s="291"/>
      <c r="N5465" s="291"/>
      <c r="O5465" s="291"/>
      <c r="P5465" s="291"/>
      <c r="S5465" s="364"/>
      <c r="Z5465" s="609" t="s">
        <v>2129</v>
      </c>
      <c r="AA5465" s="609"/>
    </row>
    <row r="5466" spans="1:27" ht="24">
      <c r="A5466" s="2714"/>
      <c r="B5466" s="371">
        <v>108</v>
      </c>
      <c r="C5466" s="371"/>
      <c r="D5466" s="2716">
        <f t="shared" si="578"/>
        <v>1</v>
      </c>
      <c r="E5466" s="2721">
        <v>1</v>
      </c>
      <c r="F5466" s="294"/>
      <c r="G5466" s="1474" t="s">
        <v>4539</v>
      </c>
      <c r="H5466" s="1476">
        <f>SUM(H5467:H5469)</f>
        <v>0</v>
      </c>
      <c r="I5466" s="1476">
        <f>SUM(I5467:I5469)</f>
        <v>0</v>
      </c>
      <c r="J5466" s="1476">
        <f>SUM(J5467:J5469)</f>
        <v>0</v>
      </c>
      <c r="K5466" s="1477">
        <f t="shared" si="579"/>
        <v>0</v>
      </c>
      <c r="M5466" s="291"/>
      <c r="N5466" s="291"/>
      <c r="O5466" s="291"/>
      <c r="P5466" s="291"/>
      <c r="S5466" s="364"/>
      <c r="Z5466" s="609" t="s">
        <v>2129</v>
      </c>
      <c r="AA5466" s="609"/>
    </row>
    <row r="5467" spans="1:27" ht="18">
      <c r="A5467" s="2714"/>
      <c r="B5467" s="371">
        <v>109</v>
      </c>
      <c r="C5467" s="371"/>
      <c r="D5467" s="2716">
        <f t="shared" si="578"/>
        <v>1</v>
      </c>
      <c r="E5467" s="2721">
        <v>1</v>
      </c>
      <c r="F5467" s="294"/>
      <c r="G5467" s="1474" t="s">
        <v>6162</v>
      </c>
      <c r="H5467" s="2275"/>
      <c r="I5467" s="2275"/>
      <c r="J5467" s="2275"/>
      <c r="K5467" s="1477">
        <f t="shared" si="579"/>
        <v>0</v>
      </c>
      <c r="M5467" s="291"/>
      <c r="N5467" s="291"/>
      <c r="O5467" s="291"/>
      <c r="P5467" s="291"/>
      <c r="S5467" s="364"/>
      <c r="Z5467" s="609" t="s">
        <v>2129</v>
      </c>
      <c r="AA5467" s="609"/>
    </row>
    <row r="5468" spans="1:27" ht="18">
      <c r="A5468" s="2714"/>
      <c r="B5468" s="371">
        <v>110</v>
      </c>
      <c r="C5468" s="371"/>
      <c r="D5468" s="2716">
        <f t="shared" si="578"/>
        <v>1</v>
      </c>
      <c r="E5468" s="2721">
        <v>1</v>
      </c>
      <c r="F5468" s="294"/>
      <c r="G5468" s="1474" t="s">
        <v>4540</v>
      </c>
      <c r="H5468" s="2275"/>
      <c r="I5468" s="2275"/>
      <c r="J5468" s="2275"/>
      <c r="K5468" s="1477">
        <f t="shared" ref="K5468" si="581">SUM(H5468:J5468)</f>
        <v>0</v>
      </c>
      <c r="M5468" s="291"/>
      <c r="N5468" s="291"/>
      <c r="O5468" s="291"/>
      <c r="P5468" s="291"/>
      <c r="S5468" s="364"/>
      <c r="Z5468" s="609" t="s">
        <v>2129</v>
      </c>
      <c r="AA5468" s="609"/>
    </row>
    <row r="5469" spans="1:27" ht="18">
      <c r="A5469" s="2714"/>
      <c r="B5469" s="371">
        <v>111</v>
      </c>
      <c r="C5469" s="371" t="s">
        <v>2791</v>
      </c>
      <c r="D5469" s="2716">
        <f t="shared" si="578"/>
        <v>0</v>
      </c>
      <c r="E5469" s="2721">
        <v>1</v>
      </c>
      <c r="F5469" s="294"/>
      <c r="G5469" s="2589" t="s">
        <v>6168</v>
      </c>
      <c r="H5469" s="2275"/>
      <c r="I5469" s="2275"/>
      <c r="J5469" s="2275"/>
      <c r="K5469" s="1477">
        <f t="shared" si="579"/>
        <v>0</v>
      </c>
      <c r="M5469" s="291"/>
      <c r="N5469" s="291"/>
      <c r="O5469" s="291"/>
      <c r="P5469" s="291"/>
      <c r="S5469" s="364"/>
      <c r="Z5469" s="609" t="s">
        <v>2129</v>
      </c>
      <c r="AA5469" s="609"/>
    </row>
    <row r="5470" spans="1:27" ht="18">
      <c r="A5470" s="2714"/>
      <c r="B5470" s="371">
        <v>112</v>
      </c>
      <c r="C5470" s="371"/>
      <c r="D5470" s="2716">
        <f t="shared" si="578"/>
        <v>1</v>
      </c>
      <c r="E5470" s="2721">
        <v>1</v>
      </c>
      <c r="F5470" s="294"/>
      <c r="G5470" s="1474" t="s">
        <v>4541</v>
      </c>
      <c r="H5470" s="2275"/>
      <c r="I5470" s="2275"/>
      <c r="J5470" s="2275"/>
      <c r="K5470" s="1477">
        <f t="shared" si="579"/>
        <v>0</v>
      </c>
      <c r="M5470" s="291"/>
      <c r="N5470" s="291"/>
      <c r="O5470" s="291"/>
      <c r="P5470" s="291"/>
      <c r="S5470" s="364"/>
      <c r="Z5470" s="609" t="s">
        <v>2129</v>
      </c>
      <c r="AA5470" s="609"/>
    </row>
    <row r="5471" spans="1:27" ht="18">
      <c r="A5471" s="2714"/>
      <c r="B5471" s="371">
        <v>113</v>
      </c>
      <c r="C5471" s="371"/>
      <c r="D5471" s="2716">
        <f t="shared" si="578"/>
        <v>1</v>
      </c>
      <c r="E5471" s="2721">
        <v>1</v>
      </c>
      <c r="F5471" s="294"/>
      <c r="G5471" s="1474" t="s">
        <v>4542</v>
      </c>
      <c r="H5471" s="2275"/>
      <c r="I5471" s="2275"/>
      <c r="J5471" s="2275"/>
      <c r="K5471" s="1477">
        <f t="shared" si="579"/>
        <v>0</v>
      </c>
      <c r="M5471" s="291"/>
      <c r="N5471" s="291"/>
      <c r="O5471" s="291"/>
      <c r="P5471" s="291"/>
      <c r="S5471" s="364"/>
      <c r="Z5471" s="609" t="s">
        <v>2129</v>
      </c>
      <c r="AA5471" s="609"/>
    </row>
    <row r="5472" spans="1:27" ht="18">
      <c r="A5472" s="2714"/>
      <c r="B5472" s="371">
        <v>114</v>
      </c>
      <c r="C5472" s="371"/>
      <c r="D5472" s="2716">
        <f t="shared" si="578"/>
        <v>1</v>
      </c>
      <c r="E5472" s="2721">
        <v>1</v>
      </c>
      <c r="F5472" s="294"/>
      <c r="G5472" s="1474" t="s">
        <v>4543</v>
      </c>
      <c r="H5472" s="2275"/>
      <c r="I5472" s="2275"/>
      <c r="J5472" s="2275"/>
      <c r="K5472" s="1477">
        <f t="shared" si="579"/>
        <v>0</v>
      </c>
      <c r="M5472" s="291"/>
      <c r="N5472" s="291"/>
      <c r="O5472" s="291"/>
      <c r="P5472" s="291"/>
      <c r="S5472" s="364"/>
      <c r="Z5472" s="609" t="s">
        <v>2129</v>
      </c>
      <c r="AA5472" s="609"/>
    </row>
    <row r="5473" spans="1:27" ht="18">
      <c r="A5473" s="2714"/>
      <c r="B5473" s="371">
        <v>115</v>
      </c>
      <c r="C5473" s="371"/>
      <c r="D5473" s="2716">
        <f t="shared" si="578"/>
        <v>1</v>
      </c>
      <c r="E5473" s="2721">
        <v>1</v>
      </c>
      <c r="F5473" s="294"/>
      <c r="G5473" s="1474" t="s">
        <v>4544</v>
      </c>
      <c r="H5473" s="1476">
        <f>SUM(H5474:H5477)</f>
        <v>0</v>
      </c>
      <c r="I5473" s="1476">
        <f t="shared" ref="I5473:J5473" si="582">SUM(I5474:I5477)</f>
        <v>0</v>
      </c>
      <c r="J5473" s="1476">
        <f t="shared" si="582"/>
        <v>0</v>
      </c>
      <c r="K5473" s="1477">
        <f t="shared" si="579"/>
        <v>0</v>
      </c>
      <c r="M5473" s="291"/>
      <c r="N5473" s="291"/>
      <c r="O5473" s="291"/>
      <c r="P5473" s="291"/>
      <c r="S5473" s="364"/>
      <c r="Z5473" s="609" t="s">
        <v>2129</v>
      </c>
      <c r="AA5473" s="609"/>
    </row>
    <row r="5474" spans="1:27" ht="18">
      <c r="A5474" s="2714"/>
      <c r="B5474" s="371">
        <v>116</v>
      </c>
      <c r="C5474" s="371"/>
      <c r="D5474" s="2716">
        <f t="shared" si="578"/>
        <v>1</v>
      </c>
      <c r="E5474" s="2721">
        <v>1</v>
      </c>
      <c r="F5474" s="294"/>
      <c r="G5474" s="1474" t="s">
        <v>4545</v>
      </c>
      <c r="H5474" s="2275"/>
      <c r="I5474" s="2275"/>
      <c r="J5474" s="2275"/>
      <c r="K5474" s="1477">
        <f t="shared" si="579"/>
        <v>0</v>
      </c>
      <c r="M5474" s="291"/>
      <c r="N5474" s="291"/>
      <c r="O5474" s="291"/>
      <c r="P5474" s="291"/>
      <c r="S5474" s="364"/>
      <c r="Z5474" s="609" t="s">
        <v>2129</v>
      </c>
      <c r="AA5474" s="609"/>
    </row>
    <row r="5475" spans="1:27" ht="18">
      <c r="A5475" s="2714"/>
      <c r="B5475" s="371">
        <v>117</v>
      </c>
      <c r="C5475" s="371"/>
      <c r="D5475" s="2716">
        <f t="shared" si="578"/>
        <v>1</v>
      </c>
      <c r="E5475" s="2721">
        <v>1</v>
      </c>
      <c r="F5475" s="294"/>
      <c r="G5475" s="1474" t="s">
        <v>4546</v>
      </c>
      <c r="H5475" s="2275"/>
      <c r="I5475" s="2275"/>
      <c r="J5475" s="2275"/>
      <c r="K5475" s="1477">
        <f t="shared" si="579"/>
        <v>0</v>
      </c>
      <c r="M5475" s="291"/>
      <c r="N5475" s="291"/>
      <c r="O5475" s="291"/>
      <c r="P5475" s="291"/>
      <c r="S5475" s="364"/>
      <c r="Z5475" s="609" t="s">
        <v>2129</v>
      </c>
      <c r="AA5475" s="609"/>
    </row>
    <row r="5476" spans="1:27" ht="24">
      <c r="A5476" s="2714"/>
      <c r="B5476" s="371">
        <v>118</v>
      </c>
      <c r="C5476" s="371"/>
      <c r="D5476" s="2716">
        <f t="shared" si="578"/>
        <v>1</v>
      </c>
      <c r="E5476" s="2721">
        <v>1</v>
      </c>
      <c r="F5476" s="294"/>
      <c r="G5476" s="1474" t="s">
        <v>4547</v>
      </c>
      <c r="H5476" s="2275"/>
      <c r="I5476" s="2275"/>
      <c r="J5476" s="2275"/>
      <c r="K5476" s="1477">
        <f t="shared" ref="K5476" si="583">SUM(H5476:J5476)</f>
        <v>0</v>
      </c>
      <c r="M5476" s="291"/>
      <c r="N5476" s="291"/>
      <c r="O5476" s="291"/>
      <c r="P5476" s="291"/>
      <c r="S5476" s="364"/>
      <c r="Z5476" s="609" t="s">
        <v>2129</v>
      </c>
      <c r="AA5476" s="609"/>
    </row>
    <row r="5477" spans="1:27" ht="18">
      <c r="A5477" s="2714"/>
      <c r="B5477" s="371">
        <v>119</v>
      </c>
      <c r="C5477" s="371" t="s">
        <v>2791</v>
      </c>
      <c r="D5477" s="2716">
        <f t="shared" si="578"/>
        <v>0</v>
      </c>
      <c r="E5477" s="2721">
        <v>1</v>
      </c>
      <c r="F5477" s="294"/>
      <c r="G5477" s="2589" t="s">
        <v>6168</v>
      </c>
      <c r="H5477" s="2275"/>
      <c r="I5477" s="2275"/>
      <c r="J5477" s="2275"/>
      <c r="K5477" s="1477">
        <f t="shared" si="579"/>
        <v>0</v>
      </c>
      <c r="M5477" s="291"/>
      <c r="N5477" s="291"/>
      <c r="O5477" s="291"/>
      <c r="P5477" s="291"/>
      <c r="S5477" s="364"/>
      <c r="Z5477" s="609" t="s">
        <v>2129</v>
      </c>
      <c r="AA5477" s="609"/>
    </row>
    <row r="5478" spans="1:27" ht="18">
      <c r="A5478" s="2714"/>
      <c r="B5478" s="371">
        <v>120</v>
      </c>
      <c r="C5478" s="371"/>
      <c r="D5478" s="2716">
        <f t="shared" si="578"/>
        <v>1</v>
      </c>
      <c r="E5478" s="2721">
        <v>1</v>
      </c>
      <c r="F5478" s="294"/>
      <c r="G5478" s="1474" t="s">
        <v>4548</v>
      </c>
      <c r="H5478" s="1476">
        <f>SUM(H5479:H5480)</f>
        <v>0</v>
      </c>
      <c r="I5478" s="1476">
        <f t="shared" ref="I5478:J5478" si="584">SUM(I5479:I5480)</f>
        <v>0</v>
      </c>
      <c r="J5478" s="1476">
        <f t="shared" si="584"/>
        <v>0</v>
      </c>
      <c r="K5478" s="1477">
        <f t="shared" si="579"/>
        <v>0</v>
      </c>
      <c r="M5478" s="291"/>
      <c r="N5478" s="291"/>
      <c r="O5478" s="291"/>
      <c r="P5478" s="291"/>
      <c r="S5478" s="364"/>
      <c r="Z5478" s="609" t="s">
        <v>2129</v>
      </c>
      <c r="AA5478" s="609"/>
    </row>
    <row r="5479" spans="1:27" ht="18">
      <c r="A5479" s="2714"/>
      <c r="B5479" s="371">
        <v>121</v>
      </c>
      <c r="C5479" s="371"/>
      <c r="D5479" s="2716">
        <f t="shared" si="578"/>
        <v>1</v>
      </c>
      <c r="E5479" s="2721">
        <v>1</v>
      </c>
      <c r="F5479" s="294"/>
      <c r="G5479" s="1474" t="s">
        <v>4549</v>
      </c>
      <c r="H5479" s="2275"/>
      <c r="I5479" s="2275"/>
      <c r="J5479" s="2275"/>
      <c r="K5479" s="1477">
        <f t="shared" si="579"/>
        <v>0</v>
      </c>
      <c r="M5479" s="291"/>
      <c r="N5479" s="291"/>
      <c r="O5479" s="291"/>
      <c r="P5479" s="291"/>
      <c r="S5479" s="364"/>
      <c r="Z5479" s="609" t="s">
        <v>2129</v>
      </c>
      <c r="AA5479" s="609"/>
    </row>
    <row r="5480" spans="1:27" ht="18">
      <c r="A5480" s="2714"/>
      <c r="B5480" s="371">
        <v>122</v>
      </c>
      <c r="C5480" s="371"/>
      <c r="D5480" s="2716">
        <f t="shared" si="578"/>
        <v>1</v>
      </c>
      <c r="E5480" s="2721">
        <v>1</v>
      </c>
      <c r="F5480" s="294"/>
      <c r="G5480" s="1474" t="s">
        <v>4550</v>
      </c>
      <c r="H5480" s="2275"/>
      <c r="I5480" s="2275"/>
      <c r="J5480" s="2275"/>
      <c r="K5480" s="1477">
        <f t="shared" si="579"/>
        <v>0</v>
      </c>
      <c r="M5480" s="291"/>
      <c r="N5480" s="291"/>
      <c r="O5480" s="291"/>
      <c r="P5480" s="291"/>
      <c r="S5480" s="364"/>
      <c r="Z5480" s="609" t="s">
        <v>2129</v>
      </c>
      <c r="AA5480" s="609"/>
    </row>
    <row r="5481" spans="1:27" ht="18">
      <c r="A5481" s="2714"/>
      <c r="B5481" s="371">
        <v>123</v>
      </c>
      <c r="C5481" s="371" t="s">
        <v>2791</v>
      </c>
      <c r="D5481" s="2716">
        <f t="shared" si="578"/>
        <v>0</v>
      </c>
      <c r="E5481" s="2721">
        <v>1</v>
      </c>
      <c r="F5481" s="294"/>
      <c r="G5481" s="2589" t="s">
        <v>2792</v>
      </c>
      <c r="H5481" s="2275"/>
      <c r="I5481" s="2275"/>
      <c r="J5481" s="2275"/>
      <c r="K5481" s="1477">
        <f t="shared" si="579"/>
        <v>0</v>
      </c>
      <c r="M5481" s="291"/>
      <c r="N5481" s="291"/>
      <c r="O5481" s="291"/>
      <c r="P5481" s="291"/>
      <c r="S5481" s="364"/>
      <c r="Z5481" s="609" t="s">
        <v>2129</v>
      </c>
      <c r="AA5481" s="609"/>
    </row>
    <row r="5482" spans="1:27" ht="24">
      <c r="A5482" s="2714"/>
      <c r="B5482" s="371">
        <v>124</v>
      </c>
      <c r="C5482" s="371"/>
      <c r="D5482" s="2716">
        <f t="shared" si="578"/>
        <v>1</v>
      </c>
      <c r="E5482" s="2721">
        <v>1</v>
      </c>
      <c r="F5482" s="294"/>
      <c r="G5482" s="1474" t="s">
        <v>4551</v>
      </c>
      <c r="H5482" s="1476">
        <f>SUM(H5478,H5473,H5460,H5470,H5471,H5472)</f>
        <v>0</v>
      </c>
      <c r="I5482" s="1476">
        <f t="shared" ref="I5482:J5482" si="585">SUM(I5478,I5473,I5460,I5470,I5471,I5472)</f>
        <v>0</v>
      </c>
      <c r="J5482" s="1476">
        <f t="shared" si="585"/>
        <v>0</v>
      </c>
      <c r="K5482" s="1477">
        <f t="shared" si="579"/>
        <v>0</v>
      </c>
      <c r="M5482" s="291"/>
      <c r="N5482" s="291"/>
      <c r="O5482" s="291"/>
      <c r="P5482" s="291"/>
      <c r="S5482" s="364"/>
      <c r="Z5482" s="609" t="s">
        <v>2129</v>
      </c>
      <c r="AA5482" s="609"/>
    </row>
    <row r="5483" spans="1:27" ht="18">
      <c r="A5483" s="2714"/>
      <c r="B5483" s="371">
        <v>125</v>
      </c>
      <c r="C5483" s="371"/>
      <c r="D5483" s="2716">
        <f t="shared" si="578"/>
        <v>1</v>
      </c>
      <c r="E5483" s="2721">
        <v>1</v>
      </c>
      <c r="F5483" s="294"/>
      <c r="G5483" s="1474" t="s">
        <v>4552</v>
      </c>
      <c r="H5483" s="1476">
        <f>SUM(H5484:H5487)</f>
        <v>0</v>
      </c>
      <c r="I5483" s="1476">
        <f t="shared" ref="I5483:J5483" si="586">SUM(I5484:I5487)</f>
        <v>0</v>
      </c>
      <c r="J5483" s="1476">
        <f t="shared" si="586"/>
        <v>0</v>
      </c>
      <c r="K5483" s="1477">
        <f t="shared" si="579"/>
        <v>0</v>
      </c>
      <c r="M5483" s="291"/>
      <c r="N5483" s="291"/>
      <c r="O5483" s="291"/>
      <c r="P5483" s="291"/>
      <c r="S5483" s="364"/>
      <c r="Z5483" s="609" t="s">
        <v>2129</v>
      </c>
      <c r="AA5483" s="609"/>
    </row>
    <row r="5484" spans="1:27" ht="18">
      <c r="A5484" s="2714"/>
      <c r="B5484" s="371">
        <v>126</v>
      </c>
      <c r="C5484" s="371"/>
      <c r="D5484" s="2716">
        <f t="shared" si="578"/>
        <v>1</v>
      </c>
      <c r="E5484" s="2721">
        <v>1</v>
      </c>
      <c r="F5484" s="294"/>
      <c r="G5484" s="1474" t="s">
        <v>4553</v>
      </c>
      <c r="H5484" s="2275"/>
      <c r="I5484" s="2275"/>
      <c r="J5484" s="2275"/>
      <c r="K5484" s="1477">
        <f t="shared" si="579"/>
        <v>0</v>
      </c>
      <c r="M5484" s="291"/>
      <c r="N5484" s="291"/>
      <c r="O5484" s="291"/>
      <c r="P5484" s="291"/>
      <c r="S5484" s="364"/>
      <c r="Z5484" s="609" t="s">
        <v>2129</v>
      </c>
      <c r="AA5484" s="609"/>
    </row>
    <row r="5485" spans="1:27" ht="18">
      <c r="A5485" s="2714"/>
      <c r="B5485" s="371">
        <v>127</v>
      </c>
      <c r="C5485" s="371"/>
      <c r="D5485" s="2716">
        <f t="shared" si="578"/>
        <v>1</v>
      </c>
      <c r="E5485" s="2721">
        <v>1</v>
      </c>
      <c r="F5485" s="294"/>
      <c r="G5485" s="1474" t="s">
        <v>4554</v>
      </c>
      <c r="H5485" s="2275"/>
      <c r="I5485" s="2275"/>
      <c r="J5485" s="2275"/>
      <c r="K5485" s="1477">
        <f t="shared" si="579"/>
        <v>0</v>
      </c>
      <c r="M5485" s="291"/>
      <c r="N5485" s="291"/>
      <c r="O5485" s="291"/>
      <c r="P5485" s="291"/>
      <c r="S5485" s="364"/>
      <c r="Z5485" s="609" t="s">
        <v>2129</v>
      </c>
      <c r="AA5485" s="609"/>
    </row>
    <row r="5486" spans="1:27" ht="18">
      <c r="A5486" s="2714"/>
      <c r="B5486" s="371">
        <v>128</v>
      </c>
      <c r="C5486" s="371"/>
      <c r="D5486" s="2716">
        <f t="shared" si="578"/>
        <v>1</v>
      </c>
      <c r="E5486" s="2721">
        <v>1</v>
      </c>
      <c r="F5486" s="294"/>
      <c r="G5486" s="1474" t="s">
        <v>4555</v>
      </c>
      <c r="H5486" s="2275"/>
      <c r="I5486" s="2275"/>
      <c r="J5486" s="2275"/>
      <c r="K5486" s="1477">
        <f t="shared" ref="K5486" si="587">SUM(H5486:J5486)</f>
        <v>0</v>
      </c>
      <c r="M5486" s="291"/>
      <c r="N5486" s="291"/>
      <c r="O5486" s="291"/>
      <c r="P5486" s="291"/>
      <c r="S5486" s="364"/>
      <c r="Z5486" s="609" t="s">
        <v>2129</v>
      </c>
      <c r="AA5486" s="609"/>
    </row>
    <row r="5487" spans="1:27" ht="18">
      <c r="A5487" s="2714"/>
      <c r="B5487" s="371">
        <v>129</v>
      </c>
      <c r="C5487" s="371" t="s">
        <v>2791</v>
      </c>
      <c r="D5487" s="2716">
        <f t="shared" si="578"/>
        <v>0</v>
      </c>
      <c r="E5487" s="2721">
        <v>1</v>
      </c>
      <c r="F5487" s="294"/>
      <c r="G5487" s="2589" t="s">
        <v>2792</v>
      </c>
      <c r="H5487" s="2275"/>
      <c r="I5487" s="2275"/>
      <c r="J5487" s="2275"/>
      <c r="K5487" s="1477">
        <f t="shared" si="579"/>
        <v>0</v>
      </c>
      <c r="M5487" s="291"/>
      <c r="N5487" s="291"/>
      <c r="O5487" s="291"/>
      <c r="P5487" s="291"/>
      <c r="S5487" s="364"/>
      <c r="Z5487" s="609" t="s">
        <v>2129</v>
      </c>
      <c r="AA5487" s="609"/>
    </row>
    <row r="5488" spans="1:27" ht="36">
      <c r="A5488" s="2714"/>
      <c r="B5488" s="371">
        <v>130</v>
      </c>
      <c r="C5488" s="371"/>
      <c r="D5488" s="2716">
        <f t="shared" si="578"/>
        <v>1</v>
      </c>
      <c r="E5488" s="2721">
        <v>1</v>
      </c>
      <c r="F5488" s="294"/>
      <c r="G5488" s="1474" t="s">
        <v>4556</v>
      </c>
      <c r="H5488" s="2275"/>
      <c r="I5488" s="2275"/>
      <c r="J5488" s="2275"/>
      <c r="K5488" s="1477">
        <f t="shared" si="579"/>
        <v>0</v>
      </c>
      <c r="M5488" s="291"/>
      <c r="N5488" s="291"/>
      <c r="O5488" s="291"/>
      <c r="P5488" s="291"/>
      <c r="S5488" s="364"/>
      <c r="Z5488" s="609" t="s">
        <v>2129</v>
      </c>
      <c r="AA5488" s="609"/>
    </row>
    <row r="5489" spans="1:31" ht="18">
      <c r="A5489" s="2714"/>
      <c r="B5489" s="371">
        <v>131</v>
      </c>
      <c r="C5489" s="371" t="s">
        <v>2791</v>
      </c>
      <c r="D5489" s="2716">
        <f t="shared" si="578"/>
        <v>0</v>
      </c>
      <c r="E5489" s="2721">
        <v>1</v>
      </c>
      <c r="F5489" s="294"/>
      <c r="G5489" s="2589" t="s">
        <v>2792</v>
      </c>
      <c r="H5489" s="2275"/>
      <c r="I5489" s="2275"/>
      <c r="J5489" s="2275"/>
      <c r="K5489" s="1477">
        <f t="shared" si="579"/>
        <v>0</v>
      </c>
      <c r="M5489" s="291"/>
      <c r="N5489" s="291"/>
      <c r="O5489" s="291"/>
      <c r="P5489" s="291"/>
      <c r="S5489" s="364"/>
      <c r="Z5489" s="609" t="s">
        <v>2129</v>
      </c>
      <c r="AA5489" s="609"/>
    </row>
    <row r="5490" spans="1:31" ht="24">
      <c r="A5490" s="2714"/>
      <c r="B5490" s="371">
        <v>132</v>
      </c>
      <c r="C5490" s="371"/>
      <c r="D5490" s="2716">
        <f t="shared" si="578"/>
        <v>1</v>
      </c>
      <c r="E5490" s="2721">
        <v>1</v>
      </c>
      <c r="F5490" s="294"/>
      <c r="G5490" s="1474" t="s">
        <v>4557</v>
      </c>
      <c r="H5490" s="1476">
        <f>SUM(H5483,H5488,H5489)</f>
        <v>0</v>
      </c>
      <c r="I5490" s="1476">
        <f t="shared" ref="I5490:J5490" si="588">SUM(I5483,I5488,I5489)</f>
        <v>0</v>
      </c>
      <c r="J5490" s="1476">
        <f t="shared" si="588"/>
        <v>0</v>
      </c>
      <c r="K5490" s="1477">
        <f t="shared" si="579"/>
        <v>0</v>
      </c>
      <c r="M5490" s="291"/>
      <c r="N5490" s="291"/>
      <c r="O5490" s="291"/>
      <c r="P5490" s="291"/>
      <c r="S5490" s="364"/>
      <c r="Z5490" s="609" t="s">
        <v>2129</v>
      </c>
      <c r="AA5490" s="609"/>
    </row>
    <row r="5491" spans="1:31" ht="18">
      <c r="A5491" s="2714"/>
      <c r="B5491" s="371">
        <v>133</v>
      </c>
      <c r="C5491" s="371"/>
      <c r="D5491" s="2716">
        <f t="shared" si="578"/>
        <v>1</v>
      </c>
      <c r="E5491" s="2721" t="s">
        <v>41</v>
      </c>
      <c r="F5491" s="294"/>
      <c r="G5491" s="632" t="s">
        <v>4558</v>
      </c>
      <c r="H5491" s="2275"/>
      <c r="I5491" s="2275"/>
      <c r="J5491" s="2275"/>
      <c r="K5491" s="2296"/>
      <c r="M5491" s="291"/>
      <c r="N5491" s="291"/>
      <c r="O5491" s="291"/>
      <c r="P5491" s="291"/>
      <c r="S5491" s="364"/>
      <c r="Z5491" s="609" t="s">
        <v>2129</v>
      </c>
      <c r="AA5491" s="609"/>
    </row>
    <row r="5492" spans="1:31" ht="18">
      <c r="A5492" s="2714"/>
      <c r="B5492" s="371">
        <v>134</v>
      </c>
      <c r="C5492" s="371"/>
      <c r="D5492" s="2716">
        <f t="shared" si="578"/>
        <v>1</v>
      </c>
      <c r="E5492" s="2721">
        <v>1</v>
      </c>
      <c r="F5492" s="294"/>
      <c r="G5492" s="1474" t="s">
        <v>4559</v>
      </c>
      <c r="H5492" s="2275"/>
      <c r="I5492" s="2275"/>
      <c r="J5492" s="2275"/>
      <c r="K5492" s="1477">
        <f t="shared" si="579"/>
        <v>0</v>
      </c>
      <c r="M5492" s="291"/>
      <c r="N5492" s="291"/>
      <c r="O5492" s="291"/>
      <c r="P5492" s="291"/>
      <c r="S5492" s="364"/>
      <c r="Z5492" s="609" t="s">
        <v>2129</v>
      </c>
      <c r="AA5492" s="609"/>
    </row>
    <row r="5493" spans="1:31" ht="18">
      <c r="A5493" s="2714"/>
      <c r="B5493" s="371">
        <v>135</v>
      </c>
      <c r="C5493" s="371" t="s">
        <v>2791</v>
      </c>
      <c r="D5493" s="2716">
        <f t="shared" si="578"/>
        <v>0</v>
      </c>
      <c r="E5493" s="2721">
        <v>1</v>
      </c>
      <c r="F5493" s="294"/>
      <c r="G5493" s="2589" t="s">
        <v>2792</v>
      </c>
      <c r="H5493" s="2275"/>
      <c r="I5493" s="2275"/>
      <c r="J5493" s="2275"/>
      <c r="K5493" s="1477">
        <f t="shared" si="579"/>
        <v>0</v>
      </c>
      <c r="M5493" s="291"/>
      <c r="N5493" s="291"/>
      <c r="O5493" s="291"/>
      <c r="P5493" s="291"/>
      <c r="S5493" s="364"/>
      <c r="Z5493" s="609" t="s">
        <v>2129</v>
      </c>
      <c r="AA5493" s="609"/>
    </row>
    <row r="5494" spans="1:31" ht="24">
      <c r="A5494" s="2714"/>
      <c r="B5494" s="371">
        <v>136</v>
      </c>
      <c r="C5494" s="371"/>
      <c r="D5494" s="2716">
        <f t="shared" si="578"/>
        <v>1</v>
      </c>
      <c r="E5494" s="2721">
        <v>1</v>
      </c>
      <c r="F5494" s="294"/>
      <c r="G5494" s="1474" t="s">
        <v>4560</v>
      </c>
      <c r="H5494" s="1476">
        <f>SUM(H5492:H5493)</f>
        <v>0</v>
      </c>
      <c r="I5494" s="1476">
        <f>SUM(I5492:I5493)</f>
        <v>0</v>
      </c>
      <c r="J5494" s="1476">
        <f>SUM(J5492:J5493)</f>
        <v>0</v>
      </c>
      <c r="K5494" s="1477">
        <f t="shared" si="579"/>
        <v>0</v>
      </c>
      <c r="M5494" s="291"/>
      <c r="N5494" s="291"/>
      <c r="O5494" s="291"/>
      <c r="P5494" s="291"/>
      <c r="S5494" s="364"/>
      <c r="Z5494" s="609" t="s">
        <v>2129</v>
      </c>
      <c r="AA5494" s="609"/>
    </row>
    <row r="5495" spans="1:31" ht="18">
      <c r="A5495" s="2714"/>
      <c r="B5495" s="371">
        <v>137</v>
      </c>
      <c r="C5495" s="371" t="s">
        <v>2791</v>
      </c>
      <c r="D5495" s="2716">
        <f t="shared" si="578"/>
        <v>0</v>
      </c>
      <c r="E5495" s="2721">
        <v>1</v>
      </c>
      <c r="F5495" s="294"/>
      <c r="G5495" s="2589" t="s">
        <v>2792</v>
      </c>
      <c r="H5495" s="2275"/>
      <c r="I5495" s="2275"/>
      <c r="J5495" s="2275"/>
      <c r="K5495" s="1477">
        <f t="shared" si="579"/>
        <v>0</v>
      </c>
      <c r="M5495" s="291"/>
      <c r="N5495" s="291"/>
      <c r="O5495" s="291"/>
      <c r="P5495" s="291"/>
      <c r="S5495" s="364"/>
      <c r="Z5495" s="609" t="s">
        <v>2129</v>
      </c>
      <c r="AA5495" s="609"/>
    </row>
    <row r="5496" spans="1:31" ht="18">
      <c r="A5496" s="2714"/>
      <c r="B5496" s="371">
        <v>138</v>
      </c>
      <c r="C5496" s="371" t="s">
        <v>2791</v>
      </c>
      <c r="D5496" s="2716">
        <f t="shared" si="578"/>
        <v>0</v>
      </c>
      <c r="E5496" s="2721">
        <v>1</v>
      </c>
      <c r="F5496" s="294"/>
      <c r="G5496" s="2589" t="s">
        <v>2792</v>
      </c>
      <c r="H5496" s="2275"/>
      <c r="I5496" s="2275"/>
      <c r="J5496" s="2275"/>
      <c r="K5496" s="1477">
        <f t="shared" si="579"/>
        <v>0</v>
      </c>
      <c r="M5496" s="291"/>
      <c r="N5496" s="291"/>
      <c r="O5496" s="291"/>
      <c r="P5496" s="291"/>
      <c r="S5496" s="364"/>
      <c r="Z5496" s="609" t="s">
        <v>2129</v>
      </c>
      <c r="AA5496" s="609"/>
    </row>
    <row r="5497" spans="1:31" ht="24">
      <c r="A5497" s="2714"/>
      <c r="B5497" s="371">
        <v>139</v>
      </c>
      <c r="C5497" s="371"/>
      <c r="D5497" s="2716">
        <f t="shared" si="578"/>
        <v>1</v>
      </c>
      <c r="E5497" s="2721">
        <v>1</v>
      </c>
      <c r="F5497" s="294"/>
      <c r="G5497" s="1474" t="s">
        <v>4561</v>
      </c>
      <c r="H5497" s="1476">
        <f>SUM(H5495:H5496)</f>
        <v>0</v>
      </c>
      <c r="I5497" s="1476">
        <f>SUM(I5495:I5496)</f>
        <v>0</v>
      </c>
      <c r="J5497" s="1476">
        <f>SUM(J5495:J5496)</f>
        <v>0</v>
      </c>
      <c r="K5497" s="1477">
        <f t="shared" si="579"/>
        <v>0</v>
      </c>
      <c r="M5497" s="291"/>
      <c r="N5497" s="291"/>
      <c r="O5497" s="291"/>
      <c r="P5497" s="291"/>
      <c r="S5497" s="364"/>
      <c r="Z5497" s="609" t="s">
        <v>2129</v>
      </c>
      <c r="AA5497" s="609"/>
    </row>
    <row r="5498" spans="1:31" ht="18.75" thickBot="1">
      <c r="A5498" s="2714"/>
      <c r="B5498" s="371"/>
      <c r="C5498" s="371"/>
      <c r="D5498" s="2716">
        <f t="shared" si="578"/>
        <v>0</v>
      </c>
      <c r="E5498" s="2721" t="s">
        <v>3595</v>
      </c>
      <c r="F5498" s="294"/>
      <c r="G5498" s="2429"/>
      <c r="H5498" s="2308"/>
      <c r="I5498" s="2308"/>
      <c r="J5498" s="2308"/>
      <c r="K5498" s="2309"/>
      <c r="M5498" s="291"/>
      <c r="N5498" s="291"/>
      <c r="O5498" s="291"/>
      <c r="P5498" s="291"/>
      <c r="S5498" s="364"/>
      <c r="Z5498" s="609" t="s">
        <v>2129</v>
      </c>
      <c r="AA5498" s="609"/>
    </row>
    <row r="5499" spans="1:31" ht="18">
      <c r="A5499" s="2714"/>
      <c r="B5499" s="371"/>
      <c r="C5499" s="371" t="s">
        <v>2755</v>
      </c>
      <c r="D5499" s="371"/>
      <c r="F5499" s="294"/>
      <c r="G5499" s="301"/>
      <c r="H5499" s="315"/>
      <c r="I5499" s="315"/>
      <c r="J5499" s="315"/>
      <c r="K5499" s="315"/>
      <c r="L5499" s="350"/>
      <c r="M5499" s="291"/>
      <c r="N5499" s="291"/>
      <c r="O5499" s="291"/>
      <c r="P5499" s="291"/>
      <c r="S5499" s="364"/>
      <c r="Z5499" s="609" t="s">
        <v>2129</v>
      </c>
      <c r="AA5499" s="609"/>
    </row>
    <row r="5500" spans="1:31" ht="24" hidden="1">
      <c r="A5500" s="2714" t="s">
        <v>6149</v>
      </c>
      <c r="B5500" s="371">
        <v>1</v>
      </c>
      <c r="C5500" s="371"/>
      <c r="D5500" s="2716" t="str">
        <f>VLOOKUP($A5500,Sheet_NoteList,2,0)</f>
        <v>以公允价值计量的资产和负债的期末公允价值</v>
      </c>
      <c r="E5500" s="2716" t="s">
        <v>6614</v>
      </c>
      <c r="F5500" s="293"/>
      <c r="G5500" s="372" t="str">
        <f>"("&amp;B5500&amp;")"&amp;D5500</f>
        <v>(1)以公允价值计量的资产和负债的期末公允价值</v>
      </c>
      <c r="H5500" s="1517" t="str">
        <f>$A5500</f>
        <v>9331k</v>
      </c>
      <c r="I5500" s="343" t="s">
        <v>6617</v>
      </c>
      <c r="J5500" s="301" t="s">
        <v>6615</v>
      </c>
      <c r="K5500" s="391">
        <f>H5546</f>
        <v>0</v>
      </c>
      <c r="L5500" s="349"/>
      <c r="M5500" s="301" t="s">
        <v>6619</v>
      </c>
      <c r="N5500" s="391">
        <f>I5546</f>
        <v>0</v>
      </c>
      <c r="O5500" s="349"/>
      <c r="P5500" s="301"/>
      <c r="S5500" s="364"/>
      <c r="Z5500" s="609" t="s">
        <v>2129</v>
      </c>
      <c r="AA5500" s="609" t="s">
        <v>19</v>
      </c>
      <c r="AE5500" s="369" t="s">
        <v>2761</v>
      </c>
    </row>
    <row r="5501" spans="1:31" ht="0.75" hidden="1" customHeight="1">
      <c r="A5501" s="2714"/>
      <c r="B5501" s="371"/>
      <c r="C5501" s="371"/>
      <c r="D5501" s="2716"/>
      <c r="E5501" s="586"/>
      <c r="F5501" s="586"/>
      <c r="G5501" s="2224" t="s">
        <v>6151</v>
      </c>
      <c r="H5501" s="371" t="s">
        <v>2833</v>
      </c>
      <c r="I5501" s="371" t="s">
        <v>4524</v>
      </c>
      <c r="J5501" s="371" t="s">
        <v>4525</v>
      </c>
      <c r="K5501" s="371" t="s">
        <v>4526</v>
      </c>
      <c r="L5501" s="2211"/>
      <c r="M5501" s="2212"/>
      <c r="N5501" s="2210"/>
      <c r="O5501" s="2211"/>
      <c r="P5501" s="2212"/>
      <c r="Q5501" s="442"/>
      <c r="R5501" s="442"/>
      <c r="S5501" s="364"/>
      <c r="Z5501" s="609" t="s">
        <v>2129</v>
      </c>
      <c r="AA5501" s="609" t="s">
        <v>19</v>
      </c>
      <c r="AE5501" s="369" t="s">
        <v>2761</v>
      </c>
    </row>
    <row r="5502" spans="1:31" ht="0.75" hidden="1" customHeight="1" thickBot="1">
      <c r="A5502" s="2714"/>
      <c r="B5502" s="371"/>
      <c r="C5502" s="371"/>
      <c r="D5502" s="2716"/>
      <c r="E5502" s="586"/>
      <c r="F5502" s="586"/>
      <c r="G5502" s="2224"/>
      <c r="H5502" s="371" t="s">
        <v>4527</v>
      </c>
      <c r="I5502" s="371" t="s">
        <v>4528</v>
      </c>
      <c r="J5502" s="371" t="s">
        <v>4529</v>
      </c>
      <c r="K5502" s="371" t="s">
        <v>4530</v>
      </c>
      <c r="L5502" s="2211"/>
      <c r="M5502" s="2212"/>
      <c r="N5502" s="2210"/>
      <c r="O5502" s="2211"/>
      <c r="P5502" s="2212"/>
      <c r="Q5502" s="442"/>
      <c r="R5502" s="442"/>
      <c r="S5502" s="364"/>
      <c r="Z5502" s="609" t="s">
        <v>2129</v>
      </c>
      <c r="AA5502" s="609" t="s">
        <v>19</v>
      </c>
      <c r="AE5502" s="369" t="s">
        <v>2761</v>
      </c>
    </row>
    <row r="5503" spans="1:31" ht="18" hidden="1" customHeight="1">
      <c r="A5503" s="2714"/>
      <c r="B5503" s="371"/>
      <c r="C5503" s="371"/>
      <c r="D5503" s="2716"/>
      <c r="E5503" s="586" t="s">
        <v>2749</v>
      </c>
      <c r="F5503" s="414"/>
      <c r="G5503" s="3229" t="s">
        <v>47</v>
      </c>
      <c r="H5503" s="3213" t="s">
        <v>6152</v>
      </c>
      <c r="I5503" s="3213"/>
      <c r="J5503" s="3213"/>
      <c r="K5503" s="3214"/>
      <c r="L5503" s="2621" t="s">
        <v>5990</v>
      </c>
      <c r="M5503" s="2212"/>
      <c r="N5503" s="2210"/>
      <c r="O5503" s="2211"/>
      <c r="P5503" s="2212"/>
      <c r="Q5503" s="442"/>
      <c r="R5503" s="442"/>
      <c r="S5503" s="364"/>
      <c r="Z5503" s="609" t="s">
        <v>2129</v>
      </c>
      <c r="AA5503" s="609" t="s">
        <v>19</v>
      </c>
      <c r="AE5503" s="369" t="s">
        <v>2761</v>
      </c>
    </row>
    <row r="5504" spans="1:31" ht="24" hidden="1">
      <c r="A5504" s="2714"/>
      <c r="B5504" s="371"/>
      <c r="C5504" s="371"/>
      <c r="D5504" s="2716"/>
      <c r="E5504" s="586" t="s">
        <v>2749</v>
      </c>
      <c r="F5504" s="414"/>
      <c r="G5504" s="3230"/>
      <c r="H5504" s="2587" t="s">
        <v>4531</v>
      </c>
      <c r="I5504" s="2587" t="s">
        <v>4532</v>
      </c>
      <c r="J5504" s="2587" t="s">
        <v>4533</v>
      </c>
      <c r="K5504" s="2576" t="s">
        <v>3351</v>
      </c>
      <c r="L5504" s="2211"/>
      <c r="M5504" s="2212"/>
      <c r="N5504" s="2210"/>
      <c r="O5504" s="2211"/>
      <c r="P5504" s="2212"/>
      <c r="Q5504" s="442"/>
      <c r="R5504" s="442"/>
      <c r="S5504" s="364"/>
      <c r="Z5504" s="609" t="s">
        <v>2129</v>
      </c>
      <c r="AA5504" s="609" t="s">
        <v>19</v>
      </c>
      <c r="AE5504" s="369" t="s">
        <v>2761</v>
      </c>
    </row>
    <row r="5505" spans="1:31" ht="18" hidden="1">
      <c r="A5505" s="2714"/>
      <c r="B5505" s="371">
        <v>101</v>
      </c>
      <c r="C5505" s="371"/>
      <c r="D5505" s="2716">
        <f t="shared" ref="D5505:D5546" si="589">IF(OR(G5505="*",G5505="",G5505=0),0,COUNTIF($G$5505:$G$5546,G5505))</f>
        <v>1</v>
      </c>
      <c r="E5505" s="2721" t="s">
        <v>41</v>
      </c>
      <c r="F5505" s="293"/>
      <c r="G5505" s="1474" t="s">
        <v>4534</v>
      </c>
      <c r="H5505" s="2275"/>
      <c r="I5505" s="2275"/>
      <c r="J5505" s="2275"/>
      <c r="K5505" s="2296"/>
      <c r="L5505" s="2211"/>
      <c r="M5505" s="2212"/>
      <c r="N5505" s="2210"/>
      <c r="O5505" s="2211"/>
      <c r="P5505" s="2212"/>
      <c r="Q5505" s="442"/>
      <c r="R5505" s="442"/>
      <c r="S5505" s="364"/>
      <c r="Z5505" s="609" t="s">
        <v>2129</v>
      </c>
      <c r="AA5505" s="609" t="s">
        <v>19</v>
      </c>
      <c r="AE5505" s="369" t="s">
        <v>2761</v>
      </c>
    </row>
    <row r="5506" spans="1:31" ht="24" hidden="1">
      <c r="A5506" s="2714"/>
      <c r="B5506" s="371">
        <v>102</v>
      </c>
      <c r="C5506" s="371"/>
      <c r="D5506" s="2716">
        <f t="shared" si="589"/>
        <v>1</v>
      </c>
      <c r="E5506" s="2721">
        <v>1</v>
      </c>
      <c r="F5506" s="293"/>
      <c r="G5506" s="1474" t="s">
        <v>6153</v>
      </c>
      <c r="H5506" s="1476">
        <f>SUM(H5507,H5512)</f>
        <v>0</v>
      </c>
      <c r="I5506" s="1476">
        <f t="shared" ref="I5506:J5506" si="590">SUM(I5507,I5512)</f>
        <v>0</v>
      </c>
      <c r="J5506" s="1476">
        <f t="shared" si="590"/>
        <v>0</v>
      </c>
      <c r="K5506" s="1477">
        <f>SUM(H5506:J5506)</f>
        <v>0</v>
      </c>
      <c r="L5506" s="2211"/>
      <c r="M5506" s="2212"/>
      <c r="N5506" s="2210"/>
      <c r="O5506" s="2211"/>
      <c r="P5506" s="2212"/>
      <c r="Q5506" s="442"/>
      <c r="R5506" s="442"/>
      <c r="S5506" s="364"/>
      <c r="Z5506" s="609" t="s">
        <v>2129</v>
      </c>
      <c r="AA5506" s="609" t="s">
        <v>19</v>
      </c>
      <c r="AE5506" s="369" t="s">
        <v>2761</v>
      </c>
    </row>
    <row r="5507" spans="1:31" ht="18" hidden="1">
      <c r="A5507" s="2714"/>
      <c r="B5507" s="371">
        <v>103</v>
      </c>
      <c r="C5507" s="371"/>
      <c r="D5507" s="2716">
        <f t="shared" si="589"/>
        <v>1</v>
      </c>
      <c r="E5507" s="2721">
        <v>1</v>
      </c>
      <c r="F5507" s="293"/>
      <c r="G5507" s="1474" t="s">
        <v>6159</v>
      </c>
      <c r="H5507" s="1476">
        <f>SUM(H5508:H5511)</f>
        <v>0</v>
      </c>
      <c r="I5507" s="1476">
        <f t="shared" ref="I5507:J5507" si="591">SUM(I5508:I5511)</f>
        <v>0</v>
      </c>
      <c r="J5507" s="1476">
        <f t="shared" si="591"/>
        <v>0</v>
      </c>
      <c r="K5507" s="1477">
        <f t="shared" ref="K5507:K5545" si="592">SUM(H5507:J5507)</f>
        <v>0</v>
      </c>
      <c r="L5507" s="2211"/>
      <c r="M5507" s="2212"/>
      <c r="N5507" s="2210"/>
      <c r="O5507" s="2211"/>
      <c r="P5507" s="2212"/>
      <c r="Q5507" s="442"/>
      <c r="R5507" s="442"/>
      <c r="S5507" s="364"/>
      <c r="Z5507" s="609" t="s">
        <v>2129</v>
      </c>
      <c r="AA5507" s="609" t="s">
        <v>19</v>
      </c>
      <c r="AE5507" s="369" t="s">
        <v>2761</v>
      </c>
    </row>
    <row r="5508" spans="1:31" ht="18" hidden="1">
      <c r="A5508" s="2714"/>
      <c r="B5508" s="371">
        <v>104</v>
      </c>
      <c r="C5508" s="371"/>
      <c r="D5508" s="2716">
        <f t="shared" si="589"/>
        <v>1</v>
      </c>
      <c r="E5508" s="2721">
        <v>1</v>
      </c>
      <c r="F5508" s="293"/>
      <c r="G5508" s="1474" t="s">
        <v>6161</v>
      </c>
      <c r="H5508" s="2275"/>
      <c r="I5508" s="2275"/>
      <c r="J5508" s="2275"/>
      <c r="K5508" s="1477">
        <f t="shared" si="592"/>
        <v>0</v>
      </c>
      <c r="L5508" s="2211"/>
      <c r="M5508" s="2212"/>
      <c r="N5508" s="2210"/>
      <c r="O5508" s="2211"/>
      <c r="P5508" s="2212"/>
      <c r="Q5508" s="442"/>
      <c r="R5508" s="442"/>
      <c r="S5508" s="364"/>
      <c r="Z5508" s="609" t="s">
        <v>2129</v>
      </c>
      <c r="AA5508" s="609" t="s">
        <v>19</v>
      </c>
      <c r="AE5508" s="369" t="s">
        <v>2761</v>
      </c>
    </row>
    <row r="5509" spans="1:31" ht="18" hidden="1">
      <c r="A5509" s="2714"/>
      <c r="B5509" s="371">
        <v>105</v>
      </c>
      <c r="C5509" s="371"/>
      <c r="D5509" s="2716">
        <f t="shared" si="589"/>
        <v>1</v>
      </c>
      <c r="E5509" s="2721">
        <v>1</v>
      </c>
      <c r="F5509" s="293"/>
      <c r="G5509" s="1474" t="s">
        <v>6163</v>
      </c>
      <c r="H5509" s="2275"/>
      <c r="I5509" s="2275"/>
      <c r="J5509" s="2275"/>
      <c r="K5509" s="1477">
        <f t="shared" si="592"/>
        <v>0</v>
      </c>
      <c r="L5509" s="2211"/>
      <c r="M5509" s="2212"/>
      <c r="N5509" s="2210"/>
      <c r="O5509" s="2211"/>
      <c r="P5509" s="2212"/>
      <c r="Q5509" s="442"/>
      <c r="R5509" s="442"/>
      <c r="S5509" s="364"/>
      <c r="Z5509" s="609" t="s">
        <v>2129</v>
      </c>
      <c r="AA5509" s="609" t="s">
        <v>19</v>
      </c>
      <c r="AE5509" s="369" t="s">
        <v>2761</v>
      </c>
    </row>
    <row r="5510" spans="1:31" ht="18" hidden="1">
      <c r="A5510" s="2714"/>
      <c r="B5510" s="371">
        <v>106</v>
      </c>
      <c r="C5510" s="371"/>
      <c r="D5510" s="2716">
        <f t="shared" si="589"/>
        <v>1</v>
      </c>
      <c r="E5510" s="2721">
        <v>1</v>
      </c>
      <c r="F5510" s="293"/>
      <c r="G5510" s="1474" t="s">
        <v>4538</v>
      </c>
      <c r="H5510" s="2275"/>
      <c r="I5510" s="2275"/>
      <c r="J5510" s="2275"/>
      <c r="K5510" s="1477">
        <f t="shared" si="592"/>
        <v>0</v>
      </c>
      <c r="L5510" s="2211"/>
      <c r="M5510" s="2212"/>
      <c r="N5510" s="2210"/>
      <c r="O5510" s="2211"/>
      <c r="P5510" s="2212"/>
      <c r="Q5510" s="442"/>
      <c r="R5510" s="442"/>
      <c r="S5510" s="364"/>
      <c r="Z5510" s="609" t="s">
        <v>2129</v>
      </c>
      <c r="AA5510" s="609" t="s">
        <v>19</v>
      </c>
      <c r="AE5510" s="369" t="s">
        <v>2761</v>
      </c>
    </row>
    <row r="5511" spans="1:31" ht="18" hidden="1">
      <c r="A5511" s="2714"/>
      <c r="B5511" s="371">
        <v>107</v>
      </c>
      <c r="C5511" s="371" t="s">
        <v>6536</v>
      </c>
      <c r="D5511" s="2716">
        <f t="shared" si="589"/>
        <v>0</v>
      </c>
      <c r="E5511" s="2721">
        <v>1</v>
      </c>
      <c r="F5511" s="293"/>
      <c r="G5511" s="2589" t="s">
        <v>2792</v>
      </c>
      <c r="H5511" s="2275"/>
      <c r="I5511" s="2275"/>
      <c r="J5511" s="2275"/>
      <c r="K5511" s="1477">
        <f t="shared" si="592"/>
        <v>0</v>
      </c>
      <c r="L5511" s="2211"/>
      <c r="M5511" s="2212"/>
      <c r="N5511" s="2210"/>
      <c r="O5511" s="2211"/>
      <c r="P5511" s="2212"/>
      <c r="Q5511" s="442"/>
      <c r="R5511" s="442"/>
      <c r="S5511" s="364"/>
      <c r="Z5511" s="609" t="s">
        <v>2129</v>
      </c>
      <c r="AA5511" s="609" t="s">
        <v>19</v>
      </c>
      <c r="AE5511" s="369" t="s">
        <v>2761</v>
      </c>
    </row>
    <row r="5512" spans="1:31" ht="24" hidden="1">
      <c r="A5512" s="2714"/>
      <c r="B5512" s="371">
        <v>108</v>
      </c>
      <c r="C5512" s="371"/>
      <c r="D5512" s="2716">
        <f t="shared" si="589"/>
        <v>1</v>
      </c>
      <c r="E5512" s="2721">
        <v>1</v>
      </c>
      <c r="F5512" s="293"/>
      <c r="G5512" s="1474" t="s">
        <v>4539</v>
      </c>
      <c r="H5512" s="1476">
        <f>SUM(H5513:H5515)</f>
        <v>0</v>
      </c>
      <c r="I5512" s="1476">
        <f t="shared" ref="I5512:J5512" si="593">SUM(I5513:I5515)</f>
        <v>0</v>
      </c>
      <c r="J5512" s="1476">
        <f t="shared" si="593"/>
        <v>0</v>
      </c>
      <c r="K5512" s="1477">
        <f t="shared" si="592"/>
        <v>0</v>
      </c>
      <c r="L5512" s="2211"/>
      <c r="M5512" s="2212"/>
      <c r="N5512" s="2210"/>
      <c r="O5512" s="2211"/>
      <c r="P5512" s="2212"/>
      <c r="Q5512" s="442"/>
      <c r="R5512" s="442"/>
      <c r="S5512" s="364"/>
      <c r="Z5512" s="609" t="s">
        <v>2129</v>
      </c>
      <c r="AA5512" s="609" t="s">
        <v>19</v>
      </c>
      <c r="AE5512" s="369" t="s">
        <v>2761</v>
      </c>
    </row>
    <row r="5513" spans="1:31" ht="18" hidden="1">
      <c r="A5513" s="2714"/>
      <c r="B5513" s="371">
        <v>109</v>
      </c>
      <c r="C5513" s="371"/>
      <c r="D5513" s="2716">
        <f t="shared" si="589"/>
        <v>1</v>
      </c>
      <c r="E5513" s="2721">
        <v>1</v>
      </c>
      <c r="F5513" s="293"/>
      <c r="G5513" s="1474" t="s">
        <v>6162</v>
      </c>
      <c r="H5513" s="2275"/>
      <c r="I5513" s="2275"/>
      <c r="J5513" s="2275"/>
      <c r="K5513" s="1477">
        <f t="shared" si="592"/>
        <v>0</v>
      </c>
      <c r="L5513" s="2211"/>
      <c r="M5513" s="2212"/>
      <c r="N5513" s="2210"/>
      <c r="O5513" s="2211"/>
      <c r="P5513" s="2212"/>
      <c r="Q5513" s="442"/>
      <c r="R5513" s="442"/>
      <c r="S5513" s="364"/>
      <c r="Z5513" s="609" t="s">
        <v>2129</v>
      </c>
      <c r="AA5513" s="609" t="s">
        <v>19</v>
      </c>
      <c r="AE5513" s="369" t="s">
        <v>2761</v>
      </c>
    </row>
    <row r="5514" spans="1:31" ht="18" hidden="1">
      <c r="A5514" s="2714"/>
      <c r="B5514" s="371">
        <v>110</v>
      </c>
      <c r="C5514" s="371"/>
      <c r="D5514" s="2716">
        <f t="shared" si="589"/>
        <v>1</v>
      </c>
      <c r="E5514" s="2721">
        <v>1</v>
      </c>
      <c r="F5514" s="293"/>
      <c r="G5514" s="1474" t="s">
        <v>6164</v>
      </c>
      <c r="H5514" s="2275"/>
      <c r="I5514" s="2275"/>
      <c r="J5514" s="2275"/>
      <c r="K5514" s="1477">
        <f t="shared" si="592"/>
        <v>0</v>
      </c>
      <c r="L5514" s="2211"/>
      <c r="M5514" s="2212"/>
      <c r="N5514" s="2210"/>
      <c r="O5514" s="2211"/>
      <c r="P5514" s="2212"/>
      <c r="Q5514" s="442"/>
      <c r="R5514" s="442"/>
      <c r="S5514" s="364"/>
      <c r="Z5514" s="609" t="s">
        <v>2129</v>
      </c>
      <c r="AA5514" s="609" t="s">
        <v>19</v>
      </c>
      <c r="AE5514" s="369" t="s">
        <v>2761</v>
      </c>
    </row>
    <row r="5515" spans="1:31" ht="18" hidden="1">
      <c r="A5515" s="2714"/>
      <c r="B5515" s="371">
        <v>111</v>
      </c>
      <c r="C5515" s="371" t="s">
        <v>6536</v>
      </c>
      <c r="D5515" s="2716">
        <f t="shared" si="589"/>
        <v>0</v>
      </c>
      <c r="E5515" s="2721">
        <v>1</v>
      </c>
      <c r="F5515" s="293"/>
      <c r="G5515" s="2589" t="s">
        <v>2792</v>
      </c>
      <c r="H5515" s="2275"/>
      <c r="I5515" s="2275"/>
      <c r="J5515" s="2275"/>
      <c r="K5515" s="1477">
        <f t="shared" si="592"/>
        <v>0</v>
      </c>
      <c r="L5515" s="2211"/>
      <c r="M5515" s="2212"/>
      <c r="N5515" s="2210"/>
      <c r="O5515" s="2211"/>
      <c r="P5515" s="2212"/>
      <c r="Q5515" s="442"/>
      <c r="R5515" s="442"/>
      <c r="S5515" s="364"/>
      <c r="Z5515" s="609" t="s">
        <v>2129</v>
      </c>
      <c r="AA5515" s="609" t="s">
        <v>19</v>
      </c>
      <c r="AE5515" s="369" t="s">
        <v>2761</v>
      </c>
    </row>
    <row r="5516" spans="1:31" ht="18" hidden="1">
      <c r="A5516" s="2714"/>
      <c r="B5516" s="371">
        <v>112</v>
      </c>
      <c r="C5516" s="371"/>
      <c r="D5516" s="2716">
        <f t="shared" si="589"/>
        <v>1</v>
      </c>
      <c r="E5516" s="2721">
        <v>1</v>
      </c>
      <c r="F5516" s="293"/>
      <c r="G5516" s="1474" t="s">
        <v>6154</v>
      </c>
      <c r="H5516" s="1476">
        <f>SUM(H5517:H5520)</f>
        <v>0</v>
      </c>
      <c r="I5516" s="1476">
        <f t="shared" ref="I5516:J5516" si="594">SUM(I5517:I5520)</f>
        <v>0</v>
      </c>
      <c r="J5516" s="1476">
        <f t="shared" si="594"/>
        <v>0</v>
      </c>
      <c r="K5516" s="1477">
        <f t="shared" si="592"/>
        <v>0</v>
      </c>
      <c r="L5516" s="2211"/>
      <c r="M5516" s="2212"/>
      <c r="N5516" s="2210"/>
      <c r="O5516" s="2211"/>
      <c r="P5516" s="2212"/>
      <c r="Q5516" s="442"/>
      <c r="R5516" s="442"/>
      <c r="S5516" s="364"/>
      <c r="Z5516" s="609" t="s">
        <v>2129</v>
      </c>
      <c r="AA5516" s="609" t="s">
        <v>19</v>
      </c>
      <c r="AE5516" s="369" t="s">
        <v>2761</v>
      </c>
    </row>
    <row r="5517" spans="1:31" ht="18" hidden="1">
      <c r="A5517" s="2714"/>
      <c r="B5517" s="371">
        <v>113</v>
      </c>
      <c r="C5517" s="371"/>
      <c r="D5517" s="2716">
        <f t="shared" si="589"/>
        <v>1</v>
      </c>
      <c r="E5517" s="2721">
        <v>1</v>
      </c>
      <c r="F5517" s="293"/>
      <c r="G5517" s="1474" t="s">
        <v>6165</v>
      </c>
      <c r="H5517" s="2275"/>
      <c r="I5517" s="2275"/>
      <c r="J5517" s="2275"/>
      <c r="K5517" s="1477">
        <f>SUM(H5517:J5517)</f>
        <v>0</v>
      </c>
      <c r="L5517" s="2211"/>
      <c r="M5517" s="2212"/>
      <c r="N5517" s="2210"/>
      <c r="O5517" s="2211"/>
      <c r="P5517" s="2212"/>
      <c r="Q5517" s="442"/>
      <c r="R5517" s="442"/>
      <c r="S5517" s="364"/>
      <c r="Z5517" s="609" t="s">
        <v>2129</v>
      </c>
      <c r="AA5517" s="609" t="s">
        <v>19</v>
      </c>
      <c r="AE5517" s="369" t="s">
        <v>2761</v>
      </c>
    </row>
    <row r="5518" spans="1:31" ht="18" hidden="1">
      <c r="A5518" s="2714"/>
      <c r="B5518" s="371">
        <v>114</v>
      </c>
      <c r="C5518" s="371"/>
      <c r="D5518" s="2716">
        <f t="shared" si="589"/>
        <v>1</v>
      </c>
      <c r="E5518" s="2721">
        <v>1</v>
      </c>
      <c r="F5518" s="293"/>
      <c r="G5518" s="1474" t="s">
        <v>6166</v>
      </c>
      <c r="H5518" s="2275"/>
      <c r="I5518" s="2275"/>
      <c r="J5518" s="2275"/>
      <c r="K5518" s="1477">
        <f t="shared" si="592"/>
        <v>0</v>
      </c>
      <c r="L5518" s="2211"/>
      <c r="M5518" s="2212"/>
      <c r="N5518" s="2210"/>
      <c r="O5518" s="2211"/>
      <c r="P5518" s="2212"/>
      <c r="Q5518" s="442"/>
      <c r="R5518" s="442"/>
      <c r="S5518" s="364"/>
      <c r="Z5518" s="609" t="s">
        <v>2129</v>
      </c>
      <c r="AA5518" s="609" t="s">
        <v>19</v>
      </c>
      <c r="AE5518" s="369" t="s">
        <v>2761</v>
      </c>
    </row>
    <row r="5519" spans="1:31" ht="18" hidden="1">
      <c r="A5519" s="2714"/>
      <c r="B5519" s="371">
        <v>115</v>
      </c>
      <c r="C5519" s="371"/>
      <c r="D5519" s="2716">
        <f t="shared" si="589"/>
        <v>1</v>
      </c>
      <c r="E5519" s="2721">
        <v>1</v>
      </c>
      <c r="F5519" s="293"/>
      <c r="G5519" s="1474" t="s">
        <v>6160</v>
      </c>
      <c r="H5519" s="2275"/>
      <c r="I5519" s="2275"/>
      <c r="J5519" s="2275"/>
      <c r="K5519" s="1477">
        <f t="shared" si="592"/>
        <v>0</v>
      </c>
      <c r="L5519" s="2211"/>
      <c r="M5519" s="2212"/>
      <c r="N5519" s="2210"/>
      <c r="O5519" s="2211"/>
      <c r="P5519" s="2212"/>
      <c r="Q5519" s="442"/>
      <c r="R5519" s="442"/>
      <c r="S5519" s="364"/>
      <c r="Z5519" s="609" t="s">
        <v>2129</v>
      </c>
      <c r="AA5519" s="609" t="s">
        <v>19</v>
      </c>
      <c r="AE5519" s="369" t="s">
        <v>2761</v>
      </c>
    </row>
    <row r="5520" spans="1:31" ht="18" hidden="1">
      <c r="A5520" s="2714"/>
      <c r="B5520" s="371">
        <v>116</v>
      </c>
      <c r="C5520" s="371" t="s">
        <v>6536</v>
      </c>
      <c r="D5520" s="2716">
        <f t="shared" si="589"/>
        <v>0</v>
      </c>
      <c r="E5520" s="2721">
        <v>1</v>
      </c>
      <c r="F5520" s="293"/>
      <c r="G5520" s="2589" t="s">
        <v>2792</v>
      </c>
      <c r="H5520" s="2275"/>
      <c r="I5520" s="2275"/>
      <c r="J5520" s="2275"/>
      <c r="K5520" s="1477">
        <f t="shared" si="592"/>
        <v>0</v>
      </c>
      <c r="L5520" s="2211"/>
      <c r="M5520" s="2212"/>
      <c r="N5520" s="2210"/>
      <c r="O5520" s="2211"/>
      <c r="P5520" s="2212"/>
      <c r="Q5520" s="442"/>
      <c r="R5520" s="442"/>
      <c r="S5520" s="364"/>
      <c r="Z5520" s="609" t="s">
        <v>2129</v>
      </c>
      <c r="AA5520" s="609" t="s">
        <v>19</v>
      </c>
      <c r="AE5520" s="369" t="s">
        <v>2761</v>
      </c>
    </row>
    <row r="5521" spans="1:31" ht="18" hidden="1">
      <c r="A5521" s="2714"/>
      <c r="B5521" s="371">
        <v>117</v>
      </c>
      <c r="C5521" s="371"/>
      <c r="D5521" s="2716">
        <f t="shared" si="589"/>
        <v>1</v>
      </c>
      <c r="E5521" s="2721">
        <v>1</v>
      </c>
      <c r="F5521" s="293"/>
      <c r="G5521" s="1474" t="s">
        <v>6155</v>
      </c>
      <c r="H5521" s="1476">
        <f>SUM(H5522:H5525)</f>
        <v>0</v>
      </c>
      <c r="I5521" s="1476">
        <f t="shared" ref="I5521:J5521" si="595">SUM(I5522:I5525)</f>
        <v>0</v>
      </c>
      <c r="J5521" s="1476">
        <f t="shared" si="595"/>
        <v>0</v>
      </c>
      <c r="K5521" s="1477">
        <f t="shared" si="592"/>
        <v>0</v>
      </c>
      <c r="L5521" s="2211"/>
      <c r="M5521" s="2212"/>
      <c r="N5521" s="2210"/>
      <c r="O5521" s="2211"/>
      <c r="P5521" s="2212"/>
      <c r="Q5521" s="442"/>
      <c r="R5521" s="442"/>
      <c r="S5521" s="364"/>
      <c r="Z5521" s="609" t="s">
        <v>2129</v>
      </c>
      <c r="AA5521" s="609" t="s">
        <v>19</v>
      </c>
      <c r="AE5521" s="369" t="s">
        <v>2761</v>
      </c>
    </row>
    <row r="5522" spans="1:31" ht="18" hidden="1">
      <c r="A5522" s="2714"/>
      <c r="B5522" s="371">
        <v>118</v>
      </c>
      <c r="C5522" s="371"/>
      <c r="D5522" s="2716">
        <f t="shared" si="589"/>
        <v>1</v>
      </c>
      <c r="E5522" s="2721">
        <v>1</v>
      </c>
      <c r="F5522" s="293"/>
      <c r="G5522" s="1474" t="s">
        <v>4545</v>
      </c>
      <c r="H5522" s="2275"/>
      <c r="I5522" s="2275"/>
      <c r="J5522" s="2275"/>
      <c r="K5522" s="1477">
        <f t="shared" si="592"/>
        <v>0</v>
      </c>
      <c r="L5522" s="2211"/>
      <c r="M5522" s="2212"/>
      <c r="N5522" s="2210"/>
      <c r="O5522" s="2211"/>
      <c r="P5522" s="2212"/>
      <c r="Q5522" s="442"/>
      <c r="R5522" s="442"/>
      <c r="S5522" s="364"/>
      <c r="Z5522" s="609" t="s">
        <v>2129</v>
      </c>
      <c r="AA5522" s="609" t="s">
        <v>19</v>
      </c>
      <c r="AE5522" s="369" t="s">
        <v>2761</v>
      </c>
    </row>
    <row r="5523" spans="1:31" ht="18" hidden="1">
      <c r="A5523" s="2714"/>
      <c r="B5523" s="371">
        <v>119</v>
      </c>
      <c r="C5523" s="371"/>
      <c r="D5523" s="2716">
        <f t="shared" si="589"/>
        <v>1</v>
      </c>
      <c r="E5523" s="2721">
        <v>1</v>
      </c>
      <c r="F5523" s="293"/>
      <c r="G5523" s="1474" t="s">
        <v>4546</v>
      </c>
      <c r="H5523" s="2275"/>
      <c r="I5523" s="2275"/>
      <c r="J5523" s="2275"/>
      <c r="K5523" s="1477">
        <f t="shared" si="592"/>
        <v>0</v>
      </c>
      <c r="L5523" s="2211"/>
      <c r="M5523" s="2212"/>
      <c r="N5523" s="2210"/>
      <c r="O5523" s="2211"/>
      <c r="P5523" s="2212"/>
      <c r="Q5523" s="442"/>
      <c r="R5523" s="442"/>
      <c r="S5523" s="364"/>
      <c r="Z5523" s="609" t="s">
        <v>2129</v>
      </c>
      <c r="AA5523" s="609" t="s">
        <v>19</v>
      </c>
      <c r="AE5523" s="369" t="s">
        <v>2761</v>
      </c>
    </row>
    <row r="5524" spans="1:31" ht="24" hidden="1">
      <c r="A5524" s="2714"/>
      <c r="B5524" s="371">
        <v>120</v>
      </c>
      <c r="C5524" s="371"/>
      <c r="D5524" s="2716">
        <f t="shared" si="589"/>
        <v>1</v>
      </c>
      <c r="E5524" s="2721">
        <v>1</v>
      </c>
      <c r="F5524" s="293"/>
      <c r="G5524" s="1474" t="s">
        <v>4547</v>
      </c>
      <c r="H5524" s="2275"/>
      <c r="I5524" s="2275"/>
      <c r="J5524" s="2275"/>
      <c r="K5524" s="1477">
        <f t="shared" si="592"/>
        <v>0</v>
      </c>
      <c r="L5524" s="2211"/>
      <c r="M5524" s="2212"/>
      <c r="N5524" s="2210"/>
      <c r="O5524" s="2211"/>
      <c r="P5524" s="2212"/>
      <c r="Q5524" s="442"/>
      <c r="R5524" s="442"/>
      <c r="S5524" s="364"/>
      <c r="Z5524" s="609" t="s">
        <v>2129</v>
      </c>
      <c r="AA5524" s="609" t="s">
        <v>19</v>
      </c>
      <c r="AE5524" s="369" t="s">
        <v>2761</v>
      </c>
    </row>
    <row r="5525" spans="1:31" ht="18" hidden="1">
      <c r="A5525" s="2714"/>
      <c r="B5525" s="371">
        <v>121</v>
      </c>
      <c r="C5525" s="371" t="s">
        <v>6536</v>
      </c>
      <c r="D5525" s="2716">
        <f t="shared" si="589"/>
        <v>0</v>
      </c>
      <c r="E5525" s="2721">
        <v>1</v>
      </c>
      <c r="F5525" s="293"/>
      <c r="G5525" s="2589" t="s">
        <v>2792</v>
      </c>
      <c r="H5525" s="2275"/>
      <c r="I5525" s="2275"/>
      <c r="J5525" s="2275"/>
      <c r="K5525" s="1477">
        <f>SUM(H5525:J5525)</f>
        <v>0</v>
      </c>
      <c r="L5525" s="2211"/>
      <c r="M5525" s="2212"/>
      <c r="N5525" s="2210"/>
      <c r="O5525" s="2211"/>
      <c r="P5525" s="2212"/>
      <c r="Q5525" s="442"/>
      <c r="R5525" s="442"/>
      <c r="S5525" s="364"/>
      <c r="Z5525" s="609" t="s">
        <v>2129</v>
      </c>
      <c r="AA5525" s="609" t="s">
        <v>19</v>
      </c>
      <c r="AE5525" s="369" t="s">
        <v>2761</v>
      </c>
    </row>
    <row r="5526" spans="1:31" ht="18" hidden="1">
      <c r="A5526" s="2714"/>
      <c r="B5526" s="371">
        <v>122</v>
      </c>
      <c r="C5526" s="371"/>
      <c r="D5526" s="2716">
        <f t="shared" si="589"/>
        <v>1</v>
      </c>
      <c r="E5526" s="2721">
        <v>1</v>
      </c>
      <c r="F5526" s="293"/>
      <c r="G5526" s="1474" t="s">
        <v>6156</v>
      </c>
      <c r="H5526" s="1476">
        <f>SUM(H5527:H5528)</f>
        <v>0</v>
      </c>
      <c r="I5526" s="1476">
        <f t="shared" ref="I5526:J5526" si="596">SUM(I5527:I5528)</f>
        <v>0</v>
      </c>
      <c r="J5526" s="1476">
        <f t="shared" si="596"/>
        <v>0</v>
      </c>
      <c r="K5526" s="1477">
        <f t="shared" si="592"/>
        <v>0</v>
      </c>
      <c r="L5526" s="2211"/>
      <c r="M5526" s="2212"/>
      <c r="N5526" s="2210"/>
      <c r="O5526" s="2211"/>
      <c r="P5526" s="2212"/>
      <c r="Q5526" s="442"/>
      <c r="R5526" s="442"/>
      <c r="S5526" s="364"/>
      <c r="Z5526" s="609" t="s">
        <v>2129</v>
      </c>
      <c r="AA5526" s="609" t="s">
        <v>19</v>
      </c>
      <c r="AE5526" s="369" t="s">
        <v>2761</v>
      </c>
    </row>
    <row r="5527" spans="1:31" ht="18" hidden="1">
      <c r="A5527" s="2714"/>
      <c r="B5527" s="371">
        <v>123</v>
      </c>
      <c r="C5527" s="371"/>
      <c r="D5527" s="2716">
        <f t="shared" si="589"/>
        <v>1</v>
      </c>
      <c r="E5527" s="2721">
        <v>1</v>
      </c>
      <c r="F5527" s="293"/>
      <c r="G5527" s="1474" t="s">
        <v>4549</v>
      </c>
      <c r="H5527" s="2275"/>
      <c r="I5527" s="2275"/>
      <c r="J5527" s="2275"/>
      <c r="K5527" s="1477">
        <f t="shared" si="592"/>
        <v>0</v>
      </c>
      <c r="L5527" s="2211"/>
      <c r="M5527" s="2212"/>
      <c r="N5527" s="2210"/>
      <c r="O5527" s="2211"/>
      <c r="P5527" s="2212"/>
      <c r="Q5527" s="442"/>
      <c r="R5527" s="442"/>
      <c r="S5527" s="364"/>
      <c r="Z5527" s="609" t="s">
        <v>2129</v>
      </c>
      <c r="AA5527" s="609" t="s">
        <v>19</v>
      </c>
      <c r="AE5527" s="369" t="s">
        <v>2761</v>
      </c>
    </row>
    <row r="5528" spans="1:31" ht="18" hidden="1">
      <c r="A5528" s="2714"/>
      <c r="B5528" s="371">
        <v>124</v>
      </c>
      <c r="C5528" s="371"/>
      <c r="D5528" s="2716">
        <f t="shared" si="589"/>
        <v>1</v>
      </c>
      <c r="E5528" s="2721">
        <v>1</v>
      </c>
      <c r="F5528" s="293"/>
      <c r="G5528" s="1474" t="s">
        <v>4550</v>
      </c>
      <c r="H5528" s="2275"/>
      <c r="I5528" s="2275"/>
      <c r="J5528" s="2275"/>
      <c r="K5528" s="1477">
        <f t="shared" si="592"/>
        <v>0</v>
      </c>
      <c r="L5528" s="2211"/>
      <c r="M5528" s="2212"/>
      <c r="N5528" s="2210"/>
      <c r="O5528" s="2211"/>
      <c r="P5528" s="2212"/>
      <c r="Q5528" s="442"/>
      <c r="R5528" s="442"/>
      <c r="S5528" s="364"/>
      <c r="Z5528" s="609" t="s">
        <v>2129</v>
      </c>
      <c r="AA5528" s="609" t="s">
        <v>19</v>
      </c>
      <c r="AE5528" s="369" t="s">
        <v>2761</v>
      </c>
    </row>
    <row r="5529" spans="1:31" ht="18" hidden="1">
      <c r="A5529" s="2714"/>
      <c r="B5529" s="371">
        <v>125</v>
      </c>
      <c r="C5529" s="371" t="s">
        <v>2791</v>
      </c>
      <c r="D5529" s="2716">
        <f t="shared" si="589"/>
        <v>0</v>
      </c>
      <c r="E5529" s="2721">
        <v>1</v>
      </c>
      <c r="F5529" s="293"/>
      <c r="G5529" s="2589" t="s">
        <v>2792</v>
      </c>
      <c r="H5529" s="2275"/>
      <c r="I5529" s="2275"/>
      <c r="J5529" s="2275"/>
      <c r="K5529" s="1477">
        <f t="shared" si="592"/>
        <v>0</v>
      </c>
      <c r="L5529" s="2211"/>
      <c r="M5529" s="2212"/>
      <c r="N5529" s="2210"/>
      <c r="O5529" s="2211"/>
      <c r="P5529" s="2212"/>
      <c r="Q5529" s="442"/>
      <c r="R5529" s="442"/>
      <c r="S5529" s="364"/>
      <c r="Z5529" s="609" t="s">
        <v>2129</v>
      </c>
      <c r="AA5529" s="609" t="s">
        <v>19</v>
      </c>
      <c r="AE5529" s="369" t="s">
        <v>2761</v>
      </c>
    </row>
    <row r="5530" spans="1:31" ht="24" hidden="1">
      <c r="A5530" s="2714"/>
      <c r="B5530" s="371">
        <v>126</v>
      </c>
      <c r="C5530" s="371"/>
      <c r="D5530" s="2716">
        <f t="shared" si="589"/>
        <v>1</v>
      </c>
      <c r="E5530" s="2721">
        <v>1</v>
      </c>
      <c r="F5530" s="293"/>
      <c r="G5530" s="1474" t="s">
        <v>4551</v>
      </c>
      <c r="H5530" s="1476">
        <f>SUM(H5506,H5516,H5521,H5526,H5529)</f>
        <v>0</v>
      </c>
      <c r="I5530" s="1476">
        <f t="shared" ref="I5530:J5530" si="597">SUM(I5506,I5516,I5521,I5526,I5529)</f>
        <v>0</v>
      </c>
      <c r="J5530" s="1476">
        <f t="shared" si="597"/>
        <v>0</v>
      </c>
      <c r="K5530" s="1477">
        <f t="shared" si="592"/>
        <v>0</v>
      </c>
      <c r="L5530" s="2211"/>
      <c r="M5530" s="2212"/>
      <c r="N5530" s="2210"/>
      <c r="O5530" s="2211"/>
      <c r="P5530" s="2212"/>
      <c r="Q5530" s="442"/>
      <c r="R5530" s="442"/>
      <c r="S5530" s="364"/>
      <c r="Z5530" s="609" t="s">
        <v>2129</v>
      </c>
      <c r="AA5530" s="609" t="s">
        <v>19</v>
      </c>
      <c r="AE5530" s="369" t="s">
        <v>2761</v>
      </c>
    </row>
    <row r="5531" spans="1:31" ht="18" hidden="1">
      <c r="A5531" s="2714"/>
      <c r="B5531" s="371">
        <v>127</v>
      </c>
      <c r="C5531" s="371"/>
      <c r="D5531" s="2716">
        <f t="shared" si="589"/>
        <v>1</v>
      </c>
      <c r="E5531" s="2721">
        <v>1</v>
      </c>
      <c r="F5531" s="293"/>
      <c r="G5531" s="1474" t="s">
        <v>6157</v>
      </c>
      <c r="H5531" s="1476">
        <f>SUM(H5532:H5535)</f>
        <v>0</v>
      </c>
      <c r="I5531" s="1476">
        <f t="shared" ref="I5531:J5531" si="598">SUM(I5532:I5535)</f>
        <v>0</v>
      </c>
      <c r="J5531" s="1476">
        <f t="shared" si="598"/>
        <v>0</v>
      </c>
      <c r="K5531" s="1477">
        <f>SUM(H5531:J5531)</f>
        <v>0</v>
      </c>
      <c r="L5531" s="2211"/>
      <c r="M5531" s="2212"/>
      <c r="N5531" s="2210"/>
      <c r="O5531" s="2211"/>
      <c r="P5531" s="2212"/>
      <c r="Q5531" s="442"/>
      <c r="R5531" s="442"/>
      <c r="S5531" s="364"/>
      <c r="Z5531" s="609" t="s">
        <v>2129</v>
      </c>
      <c r="AA5531" s="609" t="s">
        <v>19</v>
      </c>
      <c r="AE5531" s="369" t="s">
        <v>2761</v>
      </c>
    </row>
    <row r="5532" spans="1:31" ht="18" hidden="1">
      <c r="A5532" s="2714"/>
      <c r="B5532" s="371">
        <v>128</v>
      </c>
      <c r="C5532" s="371"/>
      <c r="D5532" s="2716">
        <f t="shared" si="589"/>
        <v>1</v>
      </c>
      <c r="E5532" s="2721">
        <v>1</v>
      </c>
      <c r="F5532" s="293"/>
      <c r="G5532" s="1474" t="s">
        <v>6167</v>
      </c>
      <c r="H5532" s="2275"/>
      <c r="I5532" s="2275"/>
      <c r="J5532" s="2275"/>
      <c r="K5532" s="1477">
        <f t="shared" si="592"/>
        <v>0</v>
      </c>
      <c r="L5532" s="2211"/>
      <c r="M5532" s="2212"/>
      <c r="N5532" s="2210"/>
      <c r="O5532" s="2211"/>
      <c r="P5532" s="2212"/>
      <c r="Q5532" s="442"/>
      <c r="R5532" s="442"/>
      <c r="S5532" s="364"/>
      <c r="Z5532" s="609" t="s">
        <v>2129</v>
      </c>
      <c r="AA5532" s="609" t="s">
        <v>19</v>
      </c>
      <c r="AE5532" s="369" t="s">
        <v>2761</v>
      </c>
    </row>
    <row r="5533" spans="1:31" ht="18" hidden="1">
      <c r="A5533" s="2714"/>
      <c r="B5533" s="371">
        <v>129</v>
      </c>
      <c r="C5533" s="371"/>
      <c r="D5533" s="2716">
        <f t="shared" si="589"/>
        <v>1</v>
      </c>
      <c r="E5533" s="2721">
        <v>1</v>
      </c>
      <c r="F5533" s="293"/>
      <c r="G5533" s="1474" t="s">
        <v>467</v>
      </c>
      <c r="H5533" s="2275"/>
      <c r="I5533" s="2275"/>
      <c r="J5533" s="2275"/>
      <c r="K5533" s="1477">
        <f t="shared" si="592"/>
        <v>0</v>
      </c>
      <c r="L5533" s="2211"/>
      <c r="M5533" s="2212"/>
      <c r="N5533" s="2210"/>
      <c r="O5533" s="2211"/>
      <c r="P5533" s="2212"/>
      <c r="Q5533" s="442"/>
      <c r="R5533" s="442"/>
      <c r="S5533" s="364"/>
      <c r="Z5533" s="609" t="s">
        <v>2129</v>
      </c>
      <c r="AA5533" s="609" t="s">
        <v>19</v>
      </c>
      <c r="AE5533" s="369" t="s">
        <v>2761</v>
      </c>
    </row>
    <row r="5534" spans="1:31" ht="18" hidden="1">
      <c r="A5534" s="2714"/>
      <c r="B5534" s="371">
        <v>130</v>
      </c>
      <c r="C5534" s="371"/>
      <c r="D5534" s="2716">
        <f t="shared" si="589"/>
        <v>1</v>
      </c>
      <c r="E5534" s="2721">
        <v>1</v>
      </c>
      <c r="F5534" s="293"/>
      <c r="G5534" s="1474" t="s">
        <v>932</v>
      </c>
      <c r="H5534" s="2275"/>
      <c r="I5534" s="2275"/>
      <c r="J5534" s="2275"/>
      <c r="K5534" s="1477">
        <f t="shared" si="592"/>
        <v>0</v>
      </c>
      <c r="L5534" s="2211"/>
      <c r="M5534" s="2212"/>
      <c r="N5534" s="2210"/>
      <c r="O5534" s="2211"/>
      <c r="P5534" s="2212"/>
      <c r="Q5534" s="442"/>
      <c r="R5534" s="442"/>
      <c r="S5534" s="364"/>
      <c r="Z5534" s="609" t="s">
        <v>2129</v>
      </c>
      <c r="AA5534" s="609" t="s">
        <v>19</v>
      </c>
      <c r="AE5534" s="369" t="s">
        <v>2761</v>
      </c>
    </row>
    <row r="5535" spans="1:31" ht="18" hidden="1">
      <c r="A5535" s="2714"/>
      <c r="B5535" s="371">
        <v>131</v>
      </c>
      <c r="C5535" s="371" t="s">
        <v>6533</v>
      </c>
      <c r="D5535" s="2716">
        <f t="shared" si="589"/>
        <v>0</v>
      </c>
      <c r="E5535" s="2721">
        <v>1</v>
      </c>
      <c r="F5535" s="293"/>
      <c r="G5535" s="2589" t="s">
        <v>2792</v>
      </c>
      <c r="H5535" s="2275"/>
      <c r="I5535" s="2275"/>
      <c r="J5535" s="2275"/>
      <c r="K5535" s="1477">
        <f t="shared" si="592"/>
        <v>0</v>
      </c>
      <c r="L5535" s="2211"/>
      <c r="M5535" s="2212"/>
      <c r="N5535" s="2210"/>
      <c r="O5535" s="2211"/>
      <c r="P5535" s="2212"/>
      <c r="Q5535" s="442"/>
      <c r="R5535" s="442"/>
      <c r="S5535" s="364"/>
      <c r="Z5535" s="609" t="s">
        <v>2129</v>
      </c>
      <c r="AA5535" s="609" t="s">
        <v>19</v>
      </c>
      <c r="AE5535" s="369" t="s">
        <v>2761</v>
      </c>
    </row>
    <row r="5536" spans="1:31" ht="36" hidden="1">
      <c r="A5536" s="2714"/>
      <c r="B5536" s="371">
        <v>132</v>
      </c>
      <c r="C5536" s="371"/>
      <c r="D5536" s="2716">
        <f t="shared" si="589"/>
        <v>1</v>
      </c>
      <c r="E5536" s="2721">
        <v>1</v>
      </c>
      <c r="F5536" s="293"/>
      <c r="G5536" s="1474" t="s">
        <v>6158</v>
      </c>
      <c r="H5536" s="2275"/>
      <c r="I5536" s="2275"/>
      <c r="J5536" s="2275"/>
      <c r="K5536" s="1477">
        <f t="shared" si="592"/>
        <v>0</v>
      </c>
      <c r="L5536" s="2211"/>
      <c r="M5536" s="2212"/>
      <c r="N5536" s="2210"/>
      <c r="O5536" s="2211"/>
      <c r="P5536" s="2212"/>
      <c r="Q5536" s="442"/>
      <c r="R5536" s="442"/>
      <c r="S5536" s="364"/>
      <c r="Z5536" s="609" t="s">
        <v>2129</v>
      </c>
      <c r="AA5536" s="609" t="s">
        <v>19</v>
      </c>
      <c r="AE5536" s="369" t="s">
        <v>2761</v>
      </c>
    </row>
    <row r="5537" spans="1:31" ht="18" hidden="1">
      <c r="A5537" s="2714"/>
      <c r="B5537" s="371">
        <v>133</v>
      </c>
      <c r="C5537" s="371" t="s">
        <v>2791</v>
      </c>
      <c r="D5537" s="2716">
        <f t="shared" si="589"/>
        <v>0</v>
      </c>
      <c r="E5537" s="2721">
        <v>1</v>
      </c>
      <c r="F5537" s="293"/>
      <c r="G5537" s="2589" t="s">
        <v>2792</v>
      </c>
      <c r="H5537" s="2275"/>
      <c r="I5537" s="2275"/>
      <c r="J5537" s="2275"/>
      <c r="K5537" s="1477">
        <f t="shared" si="592"/>
        <v>0</v>
      </c>
      <c r="L5537" s="2211"/>
      <c r="M5537" s="2212"/>
      <c r="N5537" s="2210"/>
      <c r="O5537" s="2211"/>
      <c r="P5537" s="2212"/>
      <c r="Q5537" s="442"/>
      <c r="R5537" s="442"/>
      <c r="S5537" s="364"/>
      <c r="Z5537" s="609" t="s">
        <v>2129</v>
      </c>
      <c r="AA5537" s="609" t="s">
        <v>19</v>
      </c>
      <c r="AE5537" s="369" t="s">
        <v>2761</v>
      </c>
    </row>
    <row r="5538" spans="1:31" ht="24" hidden="1">
      <c r="A5538" s="2714"/>
      <c r="B5538" s="371">
        <v>134</v>
      </c>
      <c r="C5538" s="371"/>
      <c r="D5538" s="2716">
        <f t="shared" si="589"/>
        <v>1</v>
      </c>
      <c r="E5538" s="2721">
        <v>1</v>
      </c>
      <c r="F5538" s="293"/>
      <c r="G5538" s="1474" t="s">
        <v>4557</v>
      </c>
      <c r="H5538" s="1476">
        <f>SUM(H5531,H5536,H5537)</f>
        <v>0</v>
      </c>
      <c r="I5538" s="1476">
        <f t="shared" ref="I5538:J5538" si="599">SUM(I5531,I5536,I5537)</f>
        <v>0</v>
      </c>
      <c r="J5538" s="1476">
        <f t="shared" si="599"/>
        <v>0</v>
      </c>
      <c r="K5538" s="1477">
        <f t="shared" si="592"/>
        <v>0</v>
      </c>
      <c r="L5538" s="2211"/>
      <c r="M5538" s="2212"/>
      <c r="N5538" s="2210"/>
      <c r="O5538" s="2211"/>
      <c r="P5538" s="2212"/>
      <c r="Q5538" s="442"/>
      <c r="R5538" s="442"/>
      <c r="S5538" s="364"/>
      <c r="Z5538" s="609" t="s">
        <v>2129</v>
      </c>
      <c r="AA5538" s="609" t="s">
        <v>19</v>
      </c>
      <c r="AE5538" s="369" t="s">
        <v>2761</v>
      </c>
    </row>
    <row r="5539" spans="1:31" ht="18" hidden="1">
      <c r="A5539" s="2714"/>
      <c r="B5539" s="371">
        <v>135</v>
      </c>
      <c r="C5539" s="371"/>
      <c r="D5539" s="2716">
        <f t="shared" si="589"/>
        <v>1</v>
      </c>
      <c r="E5539" s="2721" t="s">
        <v>41</v>
      </c>
      <c r="F5539" s="293"/>
      <c r="G5539" s="1474" t="s">
        <v>4558</v>
      </c>
      <c r="H5539" s="2275"/>
      <c r="I5539" s="2275"/>
      <c r="J5539" s="2275"/>
      <c r="K5539" s="2296"/>
      <c r="L5539" s="2211"/>
      <c r="M5539" s="2212"/>
      <c r="N5539" s="2210"/>
      <c r="O5539" s="2211"/>
      <c r="P5539" s="2212"/>
      <c r="Q5539" s="442"/>
      <c r="R5539" s="442"/>
      <c r="S5539" s="364"/>
      <c r="Z5539" s="609" t="s">
        <v>2129</v>
      </c>
      <c r="AA5539" s="609" t="s">
        <v>19</v>
      </c>
      <c r="AE5539" s="369" t="s">
        <v>2761</v>
      </c>
    </row>
    <row r="5540" spans="1:31" ht="18" hidden="1">
      <c r="A5540" s="2714"/>
      <c r="B5540" s="371">
        <v>136</v>
      </c>
      <c r="C5540" s="371"/>
      <c r="D5540" s="2716">
        <f t="shared" si="589"/>
        <v>1</v>
      </c>
      <c r="E5540" s="2721">
        <v>1</v>
      </c>
      <c r="F5540" s="293"/>
      <c r="G5540" s="1474" t="s">
        <v>4559</v>
      </c>
      <c r="H5540" s="2275"/>
      <c r="I5540" s="2275"/>
      <c r="J5540" s="2275"/>
      <c r="K5540" s="1477">
        <f t="shared" si="592"/>
        <v>0</v>
      </c>
      <c r="L5540" s="2211"/>
      <c r="M5540" s="2212"/>
      <c r="N5540" s="2210"/>
      <c r="O5540" s="2211"/>
      <c r="P5540" s="2212"/>
      <c r="Q5540" s="442"/>
      <c r="R5540" s="442"/>
      <c r="S5540" s="364"/>
      <c r="Z5540" s="609" t="s">
        <v>2129</v>
      </c>
      <c r="AA5540" s="609" t="s">
        <v>19</v>
      </c>
      <c r="AE5540" s="369" t="s">
        <v>2761</v>
      </c>
    </row>
    <row r="5541" spans="1:31" ht="18" hidden="1">
      <c r="A5541" s="2714"/>
      <c r="B5541" s="371">
        <v>137</v>
      </c>
      <c r="C5541" s="371" t="s">
        <v>2791</v>
      </c>
      <c r="D5541" s="2716">
        <f t="shared" si="589"/>
        <v>0</v>
      </c>
      <c r="E5541" s="2721">
        <v>1</v>
      </c>
      <c r="F5541" s="293"/>
      <c r="G5541" s="2589" t="s">
        <v>2792</v>
      </c>
      <c r="H5541" s="2275"/>
      <c r="I5541" s="2275"/>
      <c r="J5541" s="2275"/>
      <c r="K5541" s="1477">
        <f t="shared" si="592"/>
        <v>0</v>
      </c>
      <c r="L5541" s="2211"/>
      <c r="M5541" s="2212"/>
      <c r="N5541" s="2210"/>
      <c r="O5541" s="2211"/>
      <c r="P5541" s="2212"/>
      <c r="Q5541" s="442"/>
      <c r="R5541" s="442"/>
      <c r="S5541" s="364"/>
      <c r="Z5541" s="609" t="s">
        <v>2129</v>
      </c>
      <c r="AA5541" s="609" t="s">
        <v>19</v>
      </c>
      <c r="AE5541" s="369" t="s">
        <v>2761</v>
      </c>
    </row>
    <row r="5542" spans="1:31" ht="24" hidden="1">
      <c r="A5542" s="2714"/>
      <c r="B5542" s="371">
        <v>138</v>
      </c>
      <c r="C5542" s="371"/>
      <c r="D5542" s="2716">
        <f t="shared" si="589"/>
        <v>1</v>
      </c>
      <c r="E5542" s="2721">
        <v>1</v>
      </c>
      <c r="F5542" s="293"/>
      <c r="G5542" s="1474" t="s">
        <v>4560</v>
      </c>
      <c r="H5542" s="1476">
        <f>SUM(H5540:H5541)</f>
        <v>0</v>
      </c>
      <c r="I5542" s="1476">
        <f t="shared" ref="I5542:J5542" si="600">SUM(I5540:I5541)</f>
        <v>0</v>
      </c>
      <c r="J5542" s="1476">
        <f t="shared" si="600"/>
        <v>0</v>
      </c>
      <c r="K5542" s="1477">
        <f t="shared" si="592"/>
        <v>0</v>
      </c>
      <c r="L5542" s="2211"/>
      <c r="M5542" s="2212"/>
      <c r="N5542" s="2210"/>
      <c r="O5542" s="2211"/>
      <c r="P5542" s="2212"/>
      <c r="Q5542" s="442"/>
      <c r="R5542" s="442"/>
      <c r="S5542" s="364"/>
      <c r="Z5542" s="609" t="s">
        <v>2129</v>
      </c>
      <c r="AA5542" s="609" t="s">
        <v>19</v>
      </c>
      <c r="AE5542" s="369" t="s">
        <v>2761</v>
      </c>
    </row>
    <row r="5543" spans="1:31" ht="18" hidden="1">
      <c r="A5543" s="2714"/>
      <c r="B5543" s="371">
        <v>139</v>
      </c>
      <c r="C5543" s="371" t="s">
        <v>2791</v>
      </c>
      <c r="D5543" s="2716">
        <f t="shared" si="589"/>
        <v>0</v>
      </c>
      <c r="E5543" s="2721">
        <v>1</v>
      </c>
      <c r="F5543" s="293"/>
      <c r="G5543" s="2589" t="s">
        <v>2792</v>
      </c>
      <c r="H5543" s="2275"/>
      <c r="I5543" s="2275"/>
      <c r="J5543" s="2275"/>
      <c r="K5543" s="1477">
        <f t="shared" si="592"/>
        <v>0</v>
      </c>
      <c r="L5543" s="2211"/>
      <c r="M5543" s="2212"/>
      <c r="N5543" s="2210"/>
      <c r="O5543" s="2211"/>
      <c r="P5543" s="2212"/>
      <c r="Q5543" s="442"/>
      <c r="R5543" s="442"/>
      <c r="S5543" s="364"/>
      <c r="Z5543" s="609" t="s">
        <v>2129</v>
      </c>
      <c r="AA5543" s="609" t="s">
        <v>19</v>
      </c>
      <c r="AE5543" s="369" t="s">
        <v>2761</v>
      </c>
    </row>
    <row r="5544" spans="1:31" ht="18" hidden="1">
      <c r="A5544" s="2714"/>
      <c r="B5544" s="371">
        <v>140</v>
      </c>
      <c r="C5544" s="371" t="s">
        <v>6533</v>
      </c>
      <c r="D5544" s="2716">
        <f t="shared" si="589"/>
        <v>0</v>
      </c>
      <c r="E5544" s="2721">
        <v>1</v>
      </c>
      <c r="F5544" s="293"/>
      <c r="G5544" s="2589" t="s">
        <v>2792</v>
      </c>
      <c r="H5544" s="2275"/>
      <c r="I5544" s="2275"/>
      <c r="J5544" s="2275"/>
      <c r="K5544" s="1477">
        <f t="shared" si="592"/>
        <v>0</v>
      </c>
      <c r="L5544" s="2211"/>
      <c r="M5544" s="2212"/>
      <c r="N5544" s="2210"/>
      <c r="O5544" s="2211"/>
      <c r="P5544" s="2212"/>
      <c r="Q5544" s="442"/>
      <c r="R5544" s="442"/>
      <c r="S5544" s="364"/>
      <c r="Z5544" s="609" t="s">
        <v>2129</v>
      </c>
      <c r="AA5544" s="609" t="s">
        <v>19</v>
      </c>
      <c r="AE5544" s="369" t="s">
        <v>2761</v>
      </c>
    </row>
    <row r="5545" spans="1:31" ht="24" hidden="1">
      <c r="A5545" s="2714"/>
      <c r="B5545" s="371">
        <v>141</v>
      </c>
      <c r="C5545" s="371"/>
      <c r="D5545" s="2716">
        <f t="shared" si="589"/>
        <v>1</v>
      </c>
      <c r="E5545" s="2721">
        <v>1</v>
      </c>
      <c r="F5545" s="293"/>
      <c r="G5545" s="1474" t="s">
        <v>4561</v>
      </c>
      <c r="H5545" s="1476">
        <f>SUM(H5543:H5544)</f>
        <v>0</v>
      </c>
      <c r="I5545" s="1476">
        <f t="shared" ref="I5545:J5545" si="601">SUM(I5543:I5544)</f>
        <v>0</v>
      </c>
      <c r="J5545" s="1476">
        <f t="shared" si="601"/>
        <v>0</v>
      </c>
      <c r="K5545" s="1477">
        <f t="shared" si="592"/>
        <v>0</v>
      </c>
      <c r="L5545" s="2211"/>
      <c r="M5545" s="2212"/>
      <c r="N5545" s="2210"/>
      <c r="O5545" s="2211"/>
      <c r="P5545" s="2212"/>
      <c r="Q5545" s="442"/>
      <c r="R5545" s="442"/>
      <c r="S5545" s="364"/>
      <c r="Z5545" s="609" t="s">
        <v>2129</v>
      </c>
      <c r="AA5545" s="609" t="s">
        <v>19</v>
      </c>
      <c r="AE5545" s="369" t="s">
        <v>2761</v>
      </c>
    </row>
    <row r="5546" spans="1:31" ht="18.75" hidden="1" thickBot="1">
      <c r="A5546" s="2714"/>
      <c r="B5546" s="371"/>
      <c r="C5546" s="371"/>
      <c r="D5546" s="2716">
        <f t="shared" si="589"/>
        <v>0</v>
      </c>
      <c r="E5546" s="2721" t="s">
        <v>3595</v>
      </c>
      <c r="F5546" s="293"/>
      <c r="G5546" s="2622"/>
      <c r="H5546" s="2624"/>
      <c r="I5546" s="2624"/>
      <c r="J5546" s="2624"/>
      <c r="K5546" s="2623"/>
      <c r="L5546" s="2211"/>
      <c r="M5546" s="2212"/>
      <c r="N5546" s="2210"/>
      <c r="O5546" s="2211"/>
      <c r="P5546" s="2212"/>
      <c r="Q5546" s="442"/>
      <c r="R5546" s="442"/>
      <c r="S5546" s="364"/>
      <c r="Z5546" s="609" t="s">
        <v>2129</v>
      </c>
      <c r="AA5546" s="609" t="s">
        <v>19</v>
      </c>
      <c r="AE5546" s="369" t="s">
        <v>2761</v>
      </c>
    </row>
    <row r="5547" spans="1:31" ht="18" hidden="1">
      <c r="A5547" s="2714"/>
      <c r="B5547" s="371"/>
      <c r="C5547" s="371" t="s">
        <v>2755</v>
      </c>
      <c r="D5547" s="2716"/>
      <c r="F5547" s="293"/>
      <c r="G5547" s="376"/>
      <c r="H5547" s="1576"/>
      <c r="I5547" s="396"/>
      <c r="J5547" s="315"/>
      <c r="K5547" s="423"/>
      <c r="L5547" s="2211"/>
      <c r="M5547" s="2212"/>
      <c r="N5547" s="2210"/>
      <c r="O5547" s="2211"/>
      <c r="P5547" s="2212"/>
      <c r="Q5547" s="442"/>
      <c r="R5547" s="442"/>
      <c r="S5547" s="364"/>
      <c r="Z5547" s="609" t="s">
        <v>2129</v>
      </c>
      <c r="AA5547" s="609" t="s">
        <v>19</v>
      </c>
      <c r="AE5547" s="369" t="s">
        <v>2761</v>
      </c>
    </row>
    <row r="5548" spans="1:31" ht="48">
      <c r="A5548" s="2714" t="s">
        <v>2149</v>
      </c>
      <c r="B5548" s="371">
        <v>2</v>
      </c>
      <c r="C5548" s="371"/>
      <c r="D5548" s="2716" t="str">
        <f>VLOOKUP($A5548,Sheet_NoteList,2,0)</f>
        <v>持续和非持续第二层次公允价值计量项目采用的估值技术和重要参数的定性及定量信息</v>
      </c>
      <c r="E5548" s="2716" t="s">
        <v>2742</v>
      </c>
      <c r="F5548" s="293"/>
      <c r="G5548" s="372" t="str">
        <f>"("&amp;B5548&amp;")"&amp;D5548</f>
        <v>(2)持续和非持续第二层次公允价值计量项目采用的估值技术和重要参数的定性及定量信息</v>
      </c>
      <c r="H5548" s="1517" t="str">
        <f>$A5548</f>
        <v>9331i</v>
      </c>
      <c r="I5548" s="343" t="s">
        <v>2743</v>
      </c>
      <c r="J5548" s="301" t="s">
        <v>2744</v>
      </c>
      <c r="K5548" s="2210">
        <f>H5555</f>
        <v>0</v>
      </c>
      <c r="L5548" s="349"/>
      <c r="M5548" s="301"/>
      <c r="N5548" s="391"/>
      <c r="O5548" s="349"/>
      <c r="P5548" s="301"/>
      <c r="S5548" s="364"/>
      <c r="Z5548" s="609" t="s">
        <v>2129</v>
      </c>
      <c r="AA5548" s="609" t="s">
        <v>19</v>
      </c>
    </row>
    <row r="5549" spans="1:31" ht="0.75" customHeight="1" thickBot="1">
      <c r="A5549" s="2714"/>
      <c r="B5549" s="371"/>
      <c r="C5549" s="371"/>
      <c r="D5549" s="2716"/>
      <c r="E5549" s="586"/>
      <c r="F5549" s="586"/>
      <c r="G5549" s="2224" t="s">
        <v>4562</v>
      </c>
      <c r="H5549" s="371" t="s">
        <v>2747</v>
      </c>
      <c r="I5549" s="371" t="s">
        <v>4563</v>
      </c>
      <c r="J5549" s="371" t="s">
        <v>4564</v>
      </c>
      <c r="K5549" s="428"/>
      <c r="L5549" s="428"/>
      <c r="M5549" s="433"/>
      <c r="N5549" s="428"/>
      <c r="O5549" s="428"/>
      <c r="P5549" s="433"/>
      <c r="Q5549" s="442"/>
      <c r="R5549" s="443"/>
      <c r="S5549" s="364"/>
      <c r="Z5549" s="609" t="s">
        <v>2129</v>
      </c>
      <c r="AA5549" s="609" t="s">
        <v>19</v>
      </c>
    </row>
    <row r="5550" spans="1:31" ht="24">
      <c r="A5550" s="2714"/>
      <c r="B5550" s="371"/>
      <c r="C5550" s="371"/>
      <c r="D5550" s="2716"/>
      <c r="E5550" s="586" t="s">
        <v>2749</v>
      </c>
      <c r="F5550" s="414"/>
      <c r="G5550" s="2453" t="s">
        <v>4565</v>
      </c>
      <c r="H5550" s="2461" t="str">
        <f>$W$2&amp;"公允价值"</f>
        <v>2019年12月31日公允价值</v>
      </c>
      <c r="I5550" s="2461" t="s">
        <v>4566</v>
      </c>
      <c r="J5550" s="2462" t="s">
        <v>4567</v>
      </c>
      <c r="K5550" s="355" t="s">
        <v>5349</v>
      </c>
      <c r="L5550" s="434"/>
      <c r="M5550" s="435"/>
      <c r="N5550" s="434"/>
      <c r="O5550" s="434"/>
      <c r="P5550" s="435"/>
      <c r="Q5550" s="442"/>
      <c r="R5550" s="443"/>
      <c r="S5550" s="364"/>
      <c r="Z5550" s="609" t="s">
        <v>2129</v>
      </c>
      <c r="AA5550" s="609" t="s">
        <v>19</v>
      </c>
    </row>
    <row r="5551" spans="1:31" ht="18">
      <c r="A5551" s="2714"/>
      <c r="B5551" s="371">
        <v>101</v>
      </c>
      <c r="C5551" s="371"/>
      <c r="D5551" s="2716">
        <f>IF(OR(G5551="*",G5551="",G5551=0),0,COUNTIF($G$5551:$G$5555,G5551))</f>
        <v>1</v>
      </c>
      <c r="E5551" s="2721" t="s">
        <v>41</v>
      </c>
      <c r="F5551" s="293"/>
      <c r="G5551" s="1474" t="s">
        <v>4568</v>
      </c>
      <c r="H5551" s="2275"/>
      <c r="I5551" s="2298"/>
      <c r="J5551" s="2276"/>
      <c r="K5551" s="439"/>
      <c r="L5551" s="437"/>
      <c r="M5551" s="438"/>
      <c r="N5551" s="439"/>
      <c r="O5551" s="437"/>
      <c r="P5551" s="438"/>
      <c r="Q5551" s="442"/>
      <c r="R5551" s="443"/>
      <c r="S5551" s="364"/>
      <c r="Z5551" s="609" t="s">
        <v>2129</v>
      </c>
      <c r="AA5551" s="609" t="s">
        <v>19</v>
      </c>
    </row>
    <row r="5552" spans="1:31" ht="38.25">
      <c r="A5552" s="2714"/>
      <c r="B5552" s="371">
        <v>102</v>
      </c>
      <c r="C5552" s="371"/>
      <c r="D5552" s="2716">
        <f>IF(OR(G5552="*",G5552="",G5552=0),0,COUNTIF($G$5551:$G$5555,G5552))</f>
        <v>1</v>
      </c>
      <c r="E5552" s="2721">
        <v>1</v>
      </c>
      <c r="F5552" s="293"/>
      <c r="G5552" s="1474" t="s">
        <v>90</v>
      </c>
      <c r="H5552" s="2275"/>
      <c r="I5552" s="2298" t="s">
        <v>4569</v>
      </c>
      <c r="J5552" s="2494" t="s">
        <v>4570</v>
      </c>
      <c r="K5552" s="439"/>
      <c r="L5552" s="437"/>
      <c r="M5552" s="438"/>
      <c r="N5552" s="439"/>
      <c r="O5552" s="437"/>
      <c r="P5552" s="438"/>
      <c r="Q5552" s="442"/>
      <c r="R5552" s="443"/>
      <c r="S5552" s="364"/>
      <c r="Z5552" s="609" t="s">
        <v>2129</v>
      </c>
      <c r="AA5552" s="609" t="s">
        <v>19</v>
      </c>
    </row>
    <row r="5553" spans="1:27" ht="38.25">
      <c r="A5553" s="2714"/>
      <c r="B5553" s="371">
        <v>103</v>
      </c>
      <c r="C5553" s="371"/>
      <c r="D5553" s="2716">
        <f>IF(OR(G5553="*",G5553="",G5553=0),0,COUNTIF($G$5551:$G$5555,G5553))</f>
        <v>1</v>
      </c>
      <c r="E5553" s="2721">
        <v>1</v>
      </c>
      <c r="F5553" s="293"/>
      <c r="G5553" s="1474" t="s">
        <v>467</v>
      </c>
      <c r="H5553" s="2275"/>
      <c r="I5553" s="2298" t="s">
        <v>4569</v>
      </c>
      <c r="J5553" s="2494" t="s">
        <v>4570</v>
      </c>
      <c r="K5553" s="439"/>
      <c r="L5553" s="437"/>
      <c r="M5553" s="438"/>
      <c r="N5553" s="439"/>
      <c r="O5553" s="437"/>
      <c r="P5553" s="438"/>
      <c r="Q5553" s="442"/>
      <c r="R5553" s="443"/>
      <c r="S5553" s="364"/>
      <c r="Z5553" s="609" t="s">
        <v>2129</v>
      </c>
      <c r="AA5553" s="609" t="s">
        <v>19</v>
      </c>
    </row>
    <row r="5554" spans="1:27" ht="18">
      <c r="A5554" s="2714"/>
      <c r="B5554" s="371">
        <v>104</v>
      </c>
      <c r="C5554" s="371" t="s">
        <v>2791</v>
      </c>
      <c r="D5554" s="2716">
        <f>IF(OR(G5554="*",G5554="",G5554=0),0,COUNTIF($G$5551:$G$5555,G5554))</f>
        <v>0</v>
      </c>
      <c r="E5554" s="2721">
        <v>1</v>
      </c>
      <c r="F5554" s="293"/>
      <c r="G5554" s="2467" t="s">
        <v>2792</v>
      </c>
      <c r="H5554" s="2275"/>
      <c r="I5554" s="2298"/>
      <c r="J5554" s="2276"/>
      <c r="K5554" s="439"/>
      <c r="L5554" s="437"/>
      <c r="M5554" s="438"/>
      <c r="N5554" s="439"/>
      <c r="O5554" s="437"/>
      <c r="P5554" s="438"/>
      <c r="Q5554" s="442"/>
      <c r="R5554" s="443"/>
      <c r="S5554" s="364"/>
      <c r="Z5554" s="609" t="s">
        <v>2129</v>
      </c>
      <c r="AA5554" s="609" t="s">
        <v>19</v>
      </c>
    </row>
    <row r="5555" spans="1:27" ht="18.75" thickBot="1">
      <c r="A5555" s="2714"/>
      <c r="B5555" s="371"/>
      <c r="C5555" s="371"/>
      <c r="D5555" s="2716">
        <f>IF(OR(G5555="*",G5555="",G5555=0),0,COUNTIF($G$5551:$G$5555,G5555))</f>
        <v>0</v>
      </c>
      <c r="E5555" s="2721" t="s">
        <v>6556</v>
      </c>
      <c r="F5555" s="293"/>
      <c r="G5555" s="2429"/>
      <c r="H5555" s="2308"/>
      <c r="I5555" s="2241"/>
      <c r="J5555" s="2244"/>
      <c r="K5555" s="439"/>
      <c r="L5555" s="437"/>
      <c r="M5555" s="440"/>
      <c r="N5555" s="439"/>
      <c r="O5555" s="437"/>
      <c r="P5555" s="440"/>
      <c r="Q5555" s="442"/>
      <c r="R5555" s="443"/>
      <c r="S5555" s="364"/>
      <c r="Z5555" s="609" t="s">
        <v>2129</v>
      </c>
      <c r="AA5555" s="609" t="s">
        <v>19</v>
      </c>
    </row>
    <row r="5556" spans="1:27" ht="18">
      <c r="A5556" s="2714"/>
      <c r="B5556" s="371"/>
      <c r="C5556" s="371" t="s">
        <v>2755</v>
      </c>
      <c r="D5556" s="2716"/>
      <c r="F5556" s="293"/>
      <c r="G5556" s="376"/>
      <c r="H5556" s="315"/>
      <c r="I5556" s="432"/>
      <c r="J5556" s="393"/>
      <c r="K5556" s="426"/>
      <c r="L5556" s="427"/>
      <c r="M5556" s="425"/>
      <c r="N5556" s="426"/>
      <c r="O5556" s="427"/>
      <c r="P5556" s="425"/>
      <c r="Q5556" s="442"/>
      <c r="R5556" s="443"/>
      <c r="S5556" s="364"/>
      <c r="Z5556" s="609" t="s">
        <v>2129</v>
      </c>
      <c r="AA5556" s="609" t="s">
        <v>19</v>
      </c>
    </row>
    <row r="5557" spans="1:27" ht="48">
      <c r="A5557" s="2714" t="s">
        <v>2160</v>
      </c>
      <c r="B5557" s="371">
        <v>3</v>
      </c>
      <c r="C5557" s="371"/>
      <c r="D5557" s="2716" t="str">
        <f>VLOOKUP($A5557,Sheet_NoteList,2,0)</f>
        <v>持续和非持续第三层次公允价值计量项目采用的估值技术和重要参数的定性及定量信息</v>
      </c>
      <c r="E5557" s="2716" t="s">
        <v>2742</v>
      </c>
      <c r="F5557" s="293"/>
      <c r="G5557" s="372" t="str">
        <f>"("&amp;B5557&amp;")"&amp;D5557</f>
        <v>(3)持续和非持续第三层次公允价值计量项目采用的估值技术和重要参数的定性及定量信息</v>
      </c>
      <c r="H5557" s="1517" t="str">
        <f>$A5557</f>
        <v>9331j</v>
      </c>
      <c r="I5557" s="343" t="s">
        <v>2743</v>
      </c>
      <c r="J5557" s="368" t="s">
        <v>2744</v>
      </c>
      <c r="K5557" s="2210">
        <f>H5573</f>
        <v>0</v>
      </c>
      <c r="L5557" s="349"/>
      <c r="M5557" s="301"/>
      <c r="N5557" s="391"/>
      <c r="O5557" s="349"/>
      <c r="P5557" s="301"/>
      <c r="S5557" s="364"/>
      <c r="Z5557" s="609" t="s">
        <v>2129</v>
      </c>
      <c r="AA5557" s="609" t="s">
        <v>19</v>
      </c>
    </row>
    <row r="5558" spans="1:27" ht="0.75" customHeight="1" thickBot="1">
      <c r="A5558" s="2714"/>
      <c r="B5558" s="371"/>
      <c r="C5558" s="371"/>
      <c r="D5558" s="2716"/>
      <c r="F5558" s="371"/>
      <c r="G5558" s="405" t="s">
        <v>4571</v>
      </c>
      <c r="H5558" s="371" t="s">
        <v>2747</v>
      </c>
      <c r="I5558" s="371" t="s">
        <v>4572</v>
      </c>
      <c r="J5558" s="371" t="s">
        <v>3671</v>
      </c>
      <c r="K5558" s="547" t="s">
        <v>4472</v>
      </c>
      <c r="L5558" s="428"/>
      <c r="M5558" s="433"/>
      <c r="N5558" s="428"/>
      <c r="O5558" s="428"/>
      <c r="P5558" s="433"/>
      <c r="Q5558" s="442"/>
      <c r="R5558" s="443"/>
      <c r="S5558" s="364"/>
      <c r="Z5558" s="609" t="s">
        <v>2129</v>
      </c>
      <c r="AA5558" s="609" t="s">
        <v>19</v>
      </c>
    </row>
    <row r="5559" spans="1:27" ht="25.5">
      <c r="A5559" s="2714"/>
      <c r="B5559" s="371"/>
      <c r="C5559" s="371"/>
      <c r="D5559" s="2716"/>
      <c r="E5559" s="2716" t="s">
        <v>2749</v>
      </c>
      <c r="F5559" s="293"/>
      <c r="G5559" s="2454" t="s">
        <v>4573</v>
      </c>
      <c r="H5559" s="2461" t="str">
        <f>$W$2&amp;"公允价值"</f>
        <v>2019年12月31日公允价值</v>
      </c>
      <c r="I5559" s="2461" t="s">
        <v>4566</v>
      </c>
      <c r="J5559" s="2461" t="s">
        <v>4574</v>
      </c>
      <c r="K5559" s="2470" t="s">
        <v>4575</v>
      </c>
      <c r="L5559" s="355" t="s">
        <v>5349</v>
      </c>
      <c r="M5559" s="435"/>
      <c r="N5559" s="434"/>
      <c r="O5559" s="434"/>
      <c r="P5559" s="435"/>
      <c r="Q5559" s="442"/>
      <c r="R5559" s="443"/>
      <c r="S5559" s="364"/>
      <c r="Z5559" s="609" t="s">
        <v>2129</v>
      </c>
      <c r="AA5559" s="609" t="s">
        <v>19</v>
      </c>
    </row>
    <row r="5560" spans="1:27" ht="18">
      <c r="A5560" s="2714"/>
      <c r="B5560" s="371">
        <v>101</v>
      </c>
      <c r="C5560" s="371"/>
      <c r="D5560" s="2716">
        <f t="shared" ref="D5560:D5573" si="602">IF(OR(G5560="*",G5560="",G5560=0),0,COUNTIF($G$5560:$G$5573,G5560))</f>
        <v>1</v>
      </c>
      <c r="E5560" s="2721">
        <v>1</v>
      </c>
      <c r="F5560" s="293"/>
      <c r="G5560" s="319" t="s">
        <v>3479</v>
      </c>
      <c r="H5560" s="309"/>
      <c r="I5560" s="430"/>
      <c r="J5560" s="360"/>
      <c r="K5560" s="436"/>
      <c r="L5560" s="437"/>
      <c r="M5560" s="438"/>
      <c r="N5560" s="439"/>
      <c r="O5560" s="437"/>
      <c r="P5560" s="438"/>
      <c r="Q5560" s="442"/>
      <c r="R5560" s="443"/>
      <c r="S5560" s="364"/>
      <c r="Z5560" s="609" t="s">
        <v>2129</v>
      </c>
      <c r="AA5560" s="609" t="s">
        <v>19</v>
      </c>
    </row>
    <row r="5561" spans="1:27" ht="51">
      <c r="A5561" s="2714"/>
      <c r="B5561" s="371">
        <v>102</v>
      </c>
      <c r="C5561" s="371"/>
      <c r="D5561" s="2716">
        <f t="shared" si="602"/>
        <v>1</v>
      </c>
      <c r="E5561" s="2721">
        <v>1</v>
      </c>
      <c r="F5561" s="293"/>
      <c r="G5561" s="1518" t="s">
        <v>4576</v>
      </c>
      <c r="H5561" s="309"/>
      <c r="I5561" s="624" t="s">
        <v>4577</v>
      </c>
      <c r="J5561" s="624" t="s">
        <v>4578</v>
      </c>
      <c r="K5561" s="623" t="s">
        <v>4579</v>
      </c>
      <c r="L5561" s="437"/>
      <c r="M5561" s="438"/>
      <c r="N5561" s="439"/>
      <c r="O5561" s="437"/>
      <c r="P5561" s="438"/>
      <c r="Q5561" s="442"/>
      <c r="R5561" s="443"/>
      <c r="S5561" s="364"/>
      <c r="Z5561" s="609" t="s">
        <v>2129</v>
      </c>
      <c r="AA5561" s="609" t="s">
        <v>19</v>
      </c>
    </row>
    <row r="5562" spans="1:27" ht="76.5">
      <c r="A5562" s="2714"/>
      <c r="B5562" s="371">
        <v>103</v>
      </c>
      <c r="C5562" s="371"/>
      <c r="D5562" s="2716">
        <f t="shared" si="602"/>
        <v>1</v>
      </c>
      <c r="E5562" s="2721">
        <v>1</v>
      </c>
      <c r="F5562" s="293"/>
      <c r="G5562" s="1518" t="s">
        <v>5360</v>
      </c>
      <c r="H5562" s="309"/>
      <c r="I5562" s="624" t="s">
        <v>4580</v>
      </c>
      <c r="J5562" s="624" t="s">
        <v>4581</v>
      </c>
      <c r="K5562" s="623" t="s">
        <v>4582</v>
      </c>
      <c r="L5562" s="437"/>
      <c r="M5562" s="438"/>
      <c r="N5562" s="439"/>
      <c r="O5562" s="437"/>
      <c r="P5562" s="438"/>
      <c r="Q5562" s="442"/>
      <c r="R5562" s="443"/>
      <c r="S5562" s="364"/>
      <c r="Z5562" s="609" t="s">
        <v>2129</v>
      </c>
      <c r="AA5562" s="609" t="s">
        <v>19</v>
      </c>
    </row>
    <row r="5563" spans="1:27" ht="18">
      <c r="A5563" s="2714"/>
      <c r="B5563" s="371">
        <v>104</v>
      </c>
      <c r="C5563" s="371"/>
      <c r="D5563" s="2716">
        <f t="shared" si="602"/>
        <v>1</v>
      </c>
      <c r="E5563" s="2721">
        <v>1</v>
      </c>
      <c r="F5563" s="293"/>
      <c r="G5563" s="319" t="s">
        <v>4583</v>
      </c>
      <c r="H5563" s="309"/>
      <c r="I5563" s="624" t="s">
        <v>4584</v>
      </c>
      <c r="J5563" s="624" t="s">
        <v>2760</v>
      </c>
      <c r="K5563" s="623" t="s">
        <v>4585</v>
      </c>
      <c r="L5563" s="437"/>
      <c r="M5563" s="438"/>
      <c r="N5563" s="439"/>
      <c r="O5563" s="437"/>
      <c r="P5563" s="438"/>
      <c r="Q5563" s="442"/>
      <c r="R5563" s="443"/>
      <c r="S5563" s="364"/>
      <c r="Z5563" s="609" t="s">
        <v>2129</v>
      </c>
      <c r="AA5563" s="609" t="s">
        <v>19</v>
      </c>
    </row>
    <row r="5564" spans="1:27" ht="18">
      <c r="A5564" s="2714"/>
      <c r="B5564" s="371">
        <v>105</v>
      </c>
      <c r="C5564" s="371"/>
      <c r="D5564" s="2716">
        <f t="shared" si="602"/>
        <v>1</v>
      </c>
      <c r="E5564" s="2721" t="s">
        <v>41</v>
      </c>
      <c r="F5564" s="293"/>
      <c r="G5564" s="319" t="s">
        <v>4586</v>
      </c>
      <c r="H5564" s="309"/>
      <c r="I5564" s="624"/>
      <c r="J5564" s="624"/>
      <c r="K5564" s="623"/>
      <c r="L5564" s="437"/>
      <c r="M5564" s="438"/>
      <c r="N5564" s="439"/>
      <c r="O5564" s="437"/>
      <c r="P5564" s="438"/>
      <c r="Q5564" s="442"/>
      <c r="R5564" s="443"/>
      <c r="S5564" s="364"/>
      <c r="Z5564" s="609" t="s">
        <v>2129</v>
      </c>
      <c r="AA5564" s="609" t="s">
        <v>19</v>
      </c>
    </row>
    <row r="5565" spans="1:27" ht="51">
      <c r="A5565" s="2714"/>
      <c r="B5565" s="371">
        <v>106</v>
      </c>
      <c r="C5565" s="371"/>
      <c r="D5565" s="2716">
        <f t="shared" si="602"/>
        <v>1</v>
      </c>
      <c r="E5565" s="2721">
        <v>1</v>
      </c>
      <c r="F5565" s="293"/>
      <c r="G5565" s="319" t="s">
        <v>4587</v>
      </c>
      <c r="H5565" s="309"/>
      <c r="I5565" s="624" t="s">
        <v>4580</v>
      </c>
      <c r="J5565" s="624" t="s">
        <v>4588</v>
      </c>
      <c r="K5565" s="623" t="s">
        <v>4589</v>
      </c>
      <c r="L5565" s="437"/>
      <c r="M5565" s="438"/>
      <c r="N5565" s="439"/>
      <c r="O5565" s="437"/>
      <c r="P5565" s="438"/>
      <c r="Q5565" s="442"/>
      <c r="R5565" s="443"/>
      <c r="S5565" s="364"/>
      <c r="Z5565" s="609" t="s">
        <v>2129</v>
      </c>
      <c r="AA5565" s="609" t="s">
        <v>19</v>
      </c>
    </row>
    <row r="5566" spans="1:27" ht="25.5">
      <c r="A5566" s="2714"/>
      <c r="B5566" s="371">
        <v>107</v>
      </c>
      <c r="C5566" s="371"/>
      <c r="D5566" s="2716">
        <f t="shared" si="602"/>
        <v>1</v>
      </c>
      <c r="E5566" s="2721">
        <v>1</v>
      </c>
      <c r="F5566" s="293"/>
      <c r="G5566" s="319" t="s">
        <v>4590</v>
      </c>
      <c r="H5566" s="309"/>
      <c r="I5566" s="624" t="s">
        <v>4591</v>
      </c>
      <c r="J5566" s="624" t="s">
        <v>4592</v>
      </c>
      <c r="K5566" s="623" t="s">
        <v>4593</v>
      </c>
      <c r="L5566" s="437"/>
      <c r="M5566" s="438"/>
      <c r="N5566" s="439"/>
      <c r="O5566" s="437"/>
      <c r="P5566" s="438"/>
      <c r="Q5566" s="442"/>
      <c r="R5566" s="443"/>
      <c r="S5566" s="364"/>
      <c r="Z5566" s="609" t="s">
        <v>2129</v>
      </c>
      <c r="AA5566" s="609" t="s">
        <v>19</v>
      </c>
    </row>
    <row r="5567" spans="1:27" ht="18">
      <c r="A5567" s="2714"/>
      <c r="B5567" s="371">
        <v>108</v>
      </c>
      <c r="C5567" s="371"/>
      <c r="D5567" s="2716">
        <f t="shared" si="602"/>
        <v>1</v>
      </c>
      <c r="E5567" s="2721" t="s">
        <v>41</v>
      </c>
      <c r="F5567" s="293"/>
      <c r="G5567" s="319" t="s">
        <v>4568</v>
      </c>
      <c r="H5567" s="309"/>
      <c r="I5567" s="624"/>
      <c r="J5567" s="624"/>
      <c r="K5567" s="623"/>
      <c r="L5567" s="437"/>
      <c r="M5567" s="438"/>
      <c r="N5567" s="439"/>
      <c r="O5567" s="437"/>
      <c r="P5567" s="438"/>
      <c r="Q5567" s="442"/>
      <c r="R5567" s="443"/>
      <c r="S5567" s="364"/>
      <c r="Z5567" s="609" t="s">
        <v>2129</v>
      </c>
      <c r="AA5567" s="609" t="s">
        <v>19</v>
      </c>
    </row>
    <row r="5568" spans="1:27" ht="38.25">
      <c r="A5568" s="2714"/>
      <c r="B5568" s="371">
        <v>109</v>
      </c>
      <c r="C5568" s="371"/>
      <c r="D5568" s="2716">
        <f t="shared" si="602"/>
        <v>1</v>
      </c>
      <c r="E5568" s="2721">
        <v>1</v>
      </c>
      <c r="F5568" s="293"/>
      <c r="G5568" s="319" t="s">
        <v>4594</v>
      </c>
      <c r="H5568" s="309"/>
      <c r="I5568" s="624" t="s">
        <v>4595</v>
      </c>
      <c r="J5568" s="624" t="s">
        <v>4596</v>
      </c>
      <c r="K5568" s="623" t="s">
        <v>4597</v>
      </c>
      <c r="L5568" s="437"/>
      <c r="M5568" s="438"/>
      <c r="N5568" s="439"/>
      <c r="O5568" s="437"/>
      <c r="P5568" s="438"/>
      <c r="Q5568" s="442"/>
      <c r="R5568" s="443"/>
      <c r="S5568" s="364"/>
      <c r="Z5568" s="609" t="s">
        <v>2129</v>
      </c>
      <c r="AA5568" s="609" t="s">
        <v>19</v>
      </c>
    </row>
    <row r="5569" spans="1:27" ht="18">
      <c r="A5569" s="2714"/>
      <c r="B5569" s="371">
        <v>110</v>
      </c>
      <c r="C5569" s="371"/>
      <c r="D5569" s="2716">
        <f t="shared" si="602"/>
        <v>1</v>
      </c>
      <c r="E5569" s="2721" t="s">
        <v>41</v>
      </c>
      <c r="F5569" s="293"/>
      <c r="G5569" s="319" t="s">
        <v>4598</v>
      </c>
      <c r="H5569" s="309"/>
      <c r="I5569" s="624"/>
      <c r="J5569" s="624"/>
      <c r="K5569" s="623"/>
      <c r="L5569" s="437"/>
      <c r="M5569" s="438"/>
      <c r="N5569" s="439"/>
      <c r="O5569" s="437"/>
      <c r="P5569" s="438"/>
      <c r="Q5569" s="442"/>
      <c r="R5569" s="443"/>
      <c r="S5569" s="364"/>
      <c r="Z5569" s="609" t="s">
        <v>2129</v>
      </c>
      <c r="AA5569" s="609" t="s">
        <v>19</v>
      </c>
    </row>
    <row r="5570" spans="1:27" ht="51">
      <c r="A5570" s="2714"/>
      <c r="B5570" s="371">
        <v>111</v>
      </c>
      <c r="C5570" s="371"/>
      <c r="D5570" s="2716">
        <f t="shared" si="602"/>
        <v>1</v>
      </c>
      <c r="E5570" s="2721">
        <v>1</v>
      </c>
      <c r="F5570" s="293"/>
      <c r="G5570" s="3225" t="s">
        <v>4599</v>
      </c>
      <c r="H5570" s="309"/>
      <c r="I5570" s="624" t="s">
        <v>4580</v>
      </c>
      <c r="J5570" s="624" t="s">
        <v>4600</v>
      </c>
      <c r="K5570" s="623" t="s">
        <v>4601</v>
      </c>
      <c r="L5570" s="437"/>
      <c r="M5570" s="438"/>
      <c r="N5570" s="439"/>
      <c r="O5570" s="437"/>
      <c r="P5570" s="438"/>
      <c r="Q5570" s="442"/>
      <c r="R5570" s="443"/>
      <c r="S5570" s="364"/>
      <c r="Z5570" s="609" t="s">
        <v>2129</v>
      </c>
      <c r="AA5570" s="609" t="s">
        <v>19</v>
      </c>
    </row>
    <row r="5571" spans="1:27" ht="25.5">
      <c r="A5571" s="2714"/>
      <c r="B5571" s="371">
        <v>112</v>
      </c>
      <c r="C5571" s="371"/>
      <c r="D5571" s="2716">
        <f t="shared" si="602"/>
        <v>0</v>
      </c>
      <c r="E5571" s="2721">
        <v>1</v>
      </c>
      <c r="F5571" s="293"/>
      <c r="G5571" s="3225"/>
      <c r="H5571" s="309"/>
      <c r="I5571" s="624" t="s">
        <v>4602</v>
      </c>
      <c r="J5571" s="624" t="s">
        <v>4603</v>
      </c>
      <c r="K5571" s="623">
        <v>60000</v>
      </c>
      <c r="L5571" s="437"/>
      <c r="M5571" s="438"/>
      <c r="N5571" s="439"/>
      <c r="O5571" s="437"/>
      <c r="P5571" s="438"/>
      <c r="Q5571" s="442"/>
      <c r="R5571" s="443"/>
      <c r="S5571" s="364"/>
      <c r="Z5571" s="609" t="s">
        <v>2129</v>
      </c>
      <c r="AA5571" s="609" t="s">
        <v>19</v>
      </c>
    </row>
    <row r="5572" spans="1:27" ht="18">
      <c r="A5572" s="2714"/>
      <c r="B5572" s="371">
        <v>113</v>
      </c>
      <c r="C5572" s="371" t="s">
        <v>2791</v>
      </c>
      <c r="D5572" s="2716">
        <f t="shared" si="602"/>
        <v>0</v>
      </c>
      <c r="E5572" s="2721">
        <v>1</v>
      </c>
      <c r="F5572" s="293"/>
      <c r="G5572" s="319" t="s">
        <v>2792</v>
      </c>
      <c r="H5572" s="309"/>
      <c r="I5572" s="430"/>
      <c r="J5572" s="360"/>
      <c r="K5572" s="436"/>
      <c r="L5572" s="437"/>
      <c r="M5572" s="438"/>
      <c r="N5572" s="439"/>
      <c r="O5572" s="437"/>
      <c r="P5572" s="438"/>
      <c r="Q5572" s="442"/>
      <c r="R5572" s="443"/>
      <c r="S5572" s="364"/>
      <c r="Z5572" s="609" t="s">
        <v>2129</v>
      </c>
      <c r="AA5572" s="609" t="s">
        <v>19</v>
      </c>
    </row>
    <row r="5573" spans="1:27" ht="18.75" thickBot="1">
      <c r="A5573" s="2714"/>
      <c r="B5573" s="371"/>
      <c r="C5573" s="371"/>
      <c r="D5573" s="2716">
        <f t="shared" si="602"/>
        <v>0</v>
      </c>
      <c r="E5573" s="2721" t="s">
        <v>6556</v>
      </c>
      <c r="F5573" s="293"/>
      <c r="G5573" s="2234"/>
      <c r="H5573" s="2325"/>
      <c r="I5573" s="2495"/>
      <c r="J5573" s="2495"/>
      <c r="K5573" s="2496"/>
      <c r="L5573" s="437"/>
      <c r="M5573" s="440"/>
      <c r="N5573" s="439"/>
      <c r="O5573" s="437"/>
      <c r="P5573" s="440"/>
      <c r="Q5573" s="442"/>
      <c r="R5573" s="443"/>
      <c r="S5573" s="364"/>
      <c r="Z5573" s="609" t="s">
        <v>2129</v>
      </c>
      <c r="AA5573" s="609" t="s">
        <v>19</v>
      </c>
    </row>
    <row r="5574" spans="1:27" ht="18">
      <c r="A5574" s="2714"/>
      <c r="B5574" s="371"/>
      <c r="C5574" s="371" t="s">
        <v>2755</v>
      </c>
      <c r="D5574" s="2716"/>
      <c r="F5574" s="293"/>
      <c r="G5574" s="376"/>
      <c r="H5574" s="315"/>
      <c r="I5574" s="432"/>
      <c r="J5574" s="393"/>
      <c r="K5574" s="392"/>
      <c r="L5574" s="427"/>
      <c r="M5574" s="425"/>
      <c r="N5574" s="426"/>
      <c r="O5574" s="427"/>
      <c r="P5574" s="425"/>
      <c r="Q5574" s="442"/>
      <c r="R5574" s="443"/>
      <c r="S5574" s="364"/>
      <c r="Z5574" s="609" t="s">
        <v>2129</v>
      </c>
      <c r="AA5574" s="609" t="s">
        <v>19</v>
      </c>
    </row>
    <row r="5575" spans="1:27" ht="48">
      <c r="A5575" s="2714" t="s">
        <v>2144</v>
      </c>
      <c r="B5575" s="371">
        <v>4</v>
      </c>
      <c r="C5575" s="371"/>
      <c r="D5575" s="2716" t="str">
        <f>VLOOKUP($A5575,Sheet_NoteList,2,0)</f>
        <v>持续的第三层次公允价值计量项目期初与期末账面价值之间的调节信息及不可观察参数的敏感性分析</v>
      </c>
      <c r="E5575" s="2716" t="s">
        <v>2742</v>
      </c>
      <c r="F5575" s="294"/>
      <c r="G5575" s="372" t="str">
        <f>"("&amp;B5575&amp;")"&amp;D5575</f>
        <v>(4)持续的第三层次公允价值计量项目期初与期末账面价值之间的调节信息及不可观察参数的敏感性分析</v>
      </c>
      <c r="H5575" s="1517" t="str">
        <f>$A5575</f>
        <v>9331g</v>
      </c>
      <c r="I5575" s="343" t="s">
        <v>2743</v>
      </c>
      <c r="J5575" s="301"/>
      <c r="K5575" s="3071"/>
      <c r="L5575" s="315"/>
      <c r="M5575" s="301"/>
      <c r="N5575" s="3071"/>
      <c r="O5575" s="315"/>
      <c r="P5575" s="301"/>
      <c r="S5575" s="364"/>
      <c r="Z5575" s="609" t="s">
        <v>2129</v>
      </c>
      <c r="AA5575" s="609"/>
    </row>
    <row r="5576" spans="1:27" ht="0.75" customHeight="1">
      <c r="A5576" s="2714"/>
      <c r="B5576" s="371"/>
      <c r="C5576" s="371"/>
      <c r="D5576" s="371"/>
      <c r="F5576" s="371"/>
      <c r="G5576" s="371" t="s">
        <v>4634</v>
      </c>
      <c r="H5576" s="371" t="s">
        <v>4635</v>
      </c>
      <c r="I5576" s="371" t="s">
        <v>4636</v>
      </c>
      <c r="J5576" s="371" t="s">
        <v>4637</v>
      </c>
      <c r="K5576" s="371" t="s">
        <v>4638</v>
      </c>
      <c r="L5576" s="371" t="s">
        <v>4639</v>
      </c>
      <c r="M5576" s="371" t="s">
        <v>4640</v>
      </c>
      <c r="N5576" s="371" t="s">
        <v>4641</v>
      </c>
      <c r="O5576" s="371" t="s">
        <v>4642</v>
      </c>
      <c r="P5576" s="371" t="s">
        <v>4643</v>
      </c>
      <c r="Q5576" s="543" t="s">
        <v>4644</v>
      </c>
      <c r="R5576" s="543" t="s">
        <v>4645</v>
      </c>
      <c r="S5576" s="364"/>
      <c r="Z5576" s="609" t="s">
        <v>2129</v>
      </c>
      <c r="AA5576" s="609"/>
    </row>
    <row r="5577" spans="1:27" ht="0.75" customHeight="1" thickBot="1">
      <c r="A5577" s="2714"/>
      <c r="B5577" s="371"/>
      <c r="C5577" s="371"/>
      <c r="D5577" s="371"/>
      <c r="F5577" s="371"/>
      <c r="G5577" s="371"/>
      <c r="H5577" s="371" t="s">
        <v>4646</v>
      </c>
      <c r="I5577" s="371" t="s">
        <v>4610</v>
      </c>
      <c r="J5577" s="371" t="s">
        <v>4611</v>
      </c>
      <c r="K5577" s="371" t="s">
        <v>4612</v>
      </c>
      <c r="L5577" s="371" t="s">
        <v>4613</v>
      </c>
      <c r="M5577" s="371" t="s">
        <v>4614</v>
      </c>
      <c r="N5577" s="371" t="s">
        <v>4615</v>
      </c>
      <c r="O5577" s="371" t="s">
        <v>4616</v>
      </c>
      <c r="P5577" s="371" t="s">
        <v>4617</v>
      </c>
      <c r="Q5577" s="543" t="s">
        <v>4647</v>
      </c>
      <c r="R5577" s="543" t="s">
        <v>4618</v>
      </c>
      <c r="S5577" s="364"/>
      <c r="Z5577" s="609" t="s">
        <v>2129</v>
      </c>
      <c r="AA5577" s="609"/>
    </row>
    <row r="5578" spans="1:27" ht="36" customHeight="1">
      <c r="A5578" s="2714"/>
      <c r="B5578" s="371"/>
      <c r="C5578" s="371"/>
      <c r="D5578" s="371"/>
      <c r="E5578" s="2716" t="s">
        <v>2749</v>
      </c>
      <c r="F5578" s="293"/>
      <c r="G5578" s="3187" t="s">
        <v>47</v>
      </c>
      <c r="H5578" s="3168" t="str">
        <f>$V$3</f>
        <v>2018年12月31日</v>
      </c>
      <c r="I5578" s="3170" t="s">
        <v>4619</v>
      </c>
      <c r="J5578" s="3170" t="s">
        <v>4620</v>
      </c>
      <c r="K5578" s="3170" t="s">
        <v>4621</v>
      </c>
      <c r="L5578" s="3170"/>
      <c r="M5578" s="3285" t="s">
        <v>4622</v>
      </c>
      <c r="N5578" s="3285"/>
      <c r="O5578" s="3285"/>
      <c r="P5578" s="3285"/>
      <c r="Q5578" s="3189" t="str">
        <f>$V$2</f>
        <v>2019年12月31日</v>
      </c>
      <c r="R5578" s="3191" t="s">
        <v>4623</v>
      </c>
      <c r="S5578" s="355" t="s">
        <v>5349</v>
      </c>
      <c r="Z5578" s="609" t="s">
        <v>2129</v>
      </c>
      <c r="AA5578" s="609"/>
    </row>
    <row r="5579" spans="1:27" ht="36" customHeight="1">
      <c r="A5579" s="2714"/>
      <c r="B5579" s="371"/>
      <c r="C5579" s="371"/>
      <c r="D5579" s="371"/>
      <c r="E5579" s="2716" t="s">
        <v>2749</v>
      </c>
      <c r="F5579" s="294"/>
      <c r="G5579" s="3226"/>
      <c r="H5579" s="3169"/>
      <c r="I5579" s="3171"/>
      <c r="J5579" s="3171"/>
      <c r="K5579" s="2463" t="s">
        <v>4624</v>
      </c>
      <c r="L5579" s="2463" t="s">
        <v>4625</v>
      </c>
      <c r="M5579" s="2497" t="s">
        <v>4626</v>
      </c>
      <c r="N5579" s="2497" t="s">
        <v>4627</v>
      </c>
      <c r="O5579" s="2497" t="s">
        <v>3300</v>
      </c>
      <c r="P5579" s="2497" t="s">
        <v>4628</v>
      </c>
      <c r="Q5579" s="3190"/>
      <c r="R5579" s="3192"/>
      <c r="S5579" s="364"/>
      <c r="Z5579" s="609" t="s">
        <v>2129</v>
      </c>
      <c r="AA5579" s="609"/>
    </row>
    <row r="5580" spans="1:27" ht="18">
      <c r="A5580" s="2714"/>
      <c r="B5580" s="371">
        <v>101</v>
      </c>
      <c r="C5580" s="371"/>
      <c r="D5580" s="2716">
        <f t="shared" ref="D5580:D5599" si="603">IF(OR(G5580="*",G5580="",G5580=0),0,COUNTIF($G$5580:$G$5599,G5580))</f>
        <v>1</v>
      </c>
      <c r="E5580" s="2721" t="s">
        <v>41</v>
      </c>
      <c r="F5580" s="294"/>
      <c r="G5580" s="308" t="s">
        <v>4629</v>
      </c>
      <c r="H5580" s="309"/>
      <c r="I5580" s="309"/>
      <c r="J5580" s="309"/>
      <c r="K5580" s="309"/>
      <c r="L5580" s="309"/>
      <c r="M5580" s="309"/>
      <c r="N5580" s="309"/>
      <c r="O5580" s="309"/>
      <c r="P5580" s="309"/>
      <c r="Q5580" s="309"/>
      <c r="R5580" s="346"/>
      <c r="S5580" s="364"/>
      <c r="Z5580" s="609" t="s">
        <v>2129</v>
      </c>
      <c r="AA5580" s="609"/>
    </row>
    <row r="5581" spans="1:27" ht="18">
      <c r="A5581" s="2714"/>
      <c r="B5581" s="371">
        <v>102</v>
      </c>
      <c r="C5581" s="371"/>
      <c r="D5581" s="2716">
        <f t="shared" si="603"/>
        <v>1</v>
      </c>
      <c r="E5581" s="2721">
        <v>1</v>
      </c>
      <c r="F5581" s="294"/>
      <c r="G5581" s="603" t="s">
        <v>3480</v>
      </c>
      <c r="H5581" s="309"/>
      <c r="I5581" s="309"/>
      <c r="J5581" s="309"/>
      <c r="K5581" s="309"/>
      <c r="L5581" s="309"/>
      <c r="M5581" s="309"/>
      <c r="N5581" s="309"/>
      <c r="O5581" s="309"/>
      <c r="P5581" s="309"/>
      <c r="Q5581" s="309"/>
      <c r="R5581" s="346"/>
      <c r="S5581" s="364"/>
      <c r="Z5581" s="609" t="s">
        <v>2129</v>
      </c>
      <c r="AA5581" s="609"/>
    </row>
    <row r="5582" spans="1:27" ht="18">
      <c r="A5582" s="2714"/>
      <c r="B5582" s="371">
        <v>103</v>
      </c>
      <c r="C5582" s="371"/>
      <c r="D5582" s="2716">
        <f t="shared" si="603"/>
        <v>1</v>
      </c>
      <c r="E5582" s="2721">
        <v>1</v>
      </c>
      <c r="F5582" s="294"/>
      <c r="G5582" s="603" t="s">
        <v>3479</v>
      </c>
      <c r="H5582" s="309"/>
      <c r="I5582" s="309"/>
      <c r="J5582" s="309"/>
      <c r="K5582" s="309"/>
      <c r="L5582" s="309"/>
      <c r="M5582" s="309"/>
      <c r="N5582" s="309"/>
      <c r="O5582" s="309"/>
      <c r="P5582" s="309"/>
      <c r="Q5582" s="309"/>
      <c r="R5582" s="346"/>
      <c r="S5582" s="364"/>
      <c r="Z5582" s="609" t="s">
        <v>2129</v>
      </c>
      <c r="AA5582" s="609"/>
    </row>
    <row r="5583" spans="1:27" ht="36">
      <c r="A5583" s="2714"/>
      <c r="B5583" s="371">
        <v>104</v>
      </c>
      <c r="C5583" s="371"/>
      <c r="D5583" s="2716">
        <f t="shared" si="603"/>
        <v>1</v>
      </c>
      <c r="E5583" s="2721">
        <v>1</v>
      </c>
      <c r="F5583" s="294"/>
      <c r="G5583" s="603" t="s">
        <v>2840</v>
      </c>
      <c r="H5583" s="309"/>
      <c r="I5583" s="309"/>
      <c r="J5583" s="309"/>
      <c r="K5583" s="309"/>
      <c r="L5583" s="309"/>
      <c r="M5583" s="309"/>
      <c r="N5583" s="309"/>
      <c r="O5583" s="309"/>
      <c r="P5583" s="309"/>
      <c r="Q5583" s="309"/>
      <c r="R5583" s="346"/>
      <c r="S5583" s="364"/>
      <c r="Z5583" s="609" t="s">
        <v>2129</v>
      </c>
      <c r="AA5583" s="609"/>
    </row>
    <row r="5584" spans="1:27" ht="18">
      <c r="A5584" s="2714"/>
      <c r="B5584" s="371">
        <v>105</v>
      </c>
      <c r="C5584" s="371"/>
      <c r="D5584" s="2716">
        <f t="shared" si="603"/>
        <v>1</v>
      </c>
      <c r="E5584" s="2721">
        <v>1</v>
      </c>
      <c r="F5584" s="294"/>
      <c r="G5584" s="578" t="s">
        <v>932</v>
      </c>
      <c r="H5584" s="309"/>
      <c r="I5584" s="309"/>
      <c r="J5584" s="309"/>
      <c r="K5584" s="309"/>
      <c r="L5584" s="309"/>
      <c r="M5584" s="309"/>
      <c r="N5584" s="309"/>
      <c r="O5584" s="309"/>
      <c r="P5584" s="309"/>
      <c r="Q5584" s="309"/>
      <c r="R5584" s="346"/>
      <c r="S5584" s="364"/>
      <c r="Z5584" s="609" t="s">
        <v>2129</v>
      </c>
      <c r="AA5584" s="609"/>
    </row>
    <row r="5585" spans="1:27" ht="18">
      <c r="A5585" s="2714"/>
      <c r="B5585" s="371">
        <v>106</v>
      </c>
      <c r="C5585" s="371"/>
      <c r="D5585" s="2716">
        <f t="shared" si="603"/>
        <v>1</v>
      </c>
      <c r="E5585" s="2721">
        <v>1</v>
      </c>
      <c r="F5585" s="294"/>
      <c r="G5585" s="319" t="s">
        <v>90</v>
      </c>
      <c r="H5585" s="309"/>
      <c r="I5585" s="309"/>
      <c r="J5585" s="309"/>
      <c r="K5585" s="309"/>
      <c r="L5585" s="309"/>
      <c r="M5585" s="309"/>
      <c r="N5585" s="309"/>
      <c r="O5585" s="309"/>
      <c r="P5585" s="309"/>
      <c r="Q5585" s="309"/>
      <c r="R5585" s="346"/>
      <c r="S5585" s="364"/>
      <c r="Z5585" s="609" t="s">
        <v>2129</v>
      </c>
      <c r="AA5585" s="609"/>
    </row>
    <row r="5586" spans="1:27" ht="18">
      <c r="A5586" s="2714"/>
      <c r="B5586" s="371">
        <v>107</v>
      </c>
      <c r="C5586" s="371"/>
      <c r="D5586" s="2716">
        <f t="shared" si="603"/>
        <v>1</v>
      </c>
      <c r="E5586" s="2721">
        <v>1</v>
      </c>
      <c r="F5586" s="294"/>
      <c r="G5586" s="319" t="s">
        <v>282</v>
      </c>
      <c r="H5586" s="309"/>
      <c r="I5586" s="309"/>
      <c r="J5586" s="309"/>
      <c r="K5586" s="309"/>
      <c r="L5586" s="309"/>
      <c r="M5586" s="309"/>
      <c r="N5586" s="309"/>
      <c r="O5586" s="309"/>
      <c r="P5586" s="309"/>
      <c r="Q5586" s="309"/>
      <c r="R5586" s="346"/>
      <c r="S5586" s="364"/>
      <c r="Z5586" s="609" t="s">
        <v>2129</v>
      </c>
      <c r="AA5586" s="609"/>
    </row>
    <row r="5587" spans="1:27" ht="18">
      <c r="A5587" s="2714"/>
      <c r="B5587" s="371">
        <v>108</v>
      </c>
      <c r="C5587" s="371"/>
      <c r="D5587" s="2716">
        <f t="shared" si="603"/>
        <v>1</v>
      </c>
      <c r="E5587" s="2721">
        <v>1</v>
      </c>
      <c r="F5587" s="294"/>
      <c r="G5587" s="319" t="s">
        <v>323</v>
      </c>
      <c r="H5587" s="309"/>
      <c r="I5587" s="309"/>
      <c r="J5587" s="309"/>
      <c r="K5587" s="309"/>
      <c r="L5587" s="309"/>
      <c r="M5587" s="309"/>
      <c r="N5587" s="309"/>
      <c r="O5587" s="309"/>
      <c r="P5587" s="309"/>
      <c r="Q5587" s="309"/>
      <c r="R5587" s="346"/>
      <c r="S5587" s="364"/>
      <c r="Z5587" s="609" t="s">
        <v>2129</v>
      </c>
      <c r="AA5587" s="609"/>
    </row>
    <row r="5588" spans="1:27" ht="18">
      <c r="A5588" s="2714"/>
      <c r="B5588" s="371">
        <v>109</v>
      </c>
      <c r="C5588" s="371"/>
      <c r="D5588" s="2716">
        <f t="shared" si="603"/>
        <v>1</v>
      </c>
      <c r="E5588" s="2721">
        <v>1</v>
      </c>
      <c r="F5588" s="294"/>
      <c r="G5588" s="308" t="s">
        <v>329</v>
      </c>
      <c r="H5588" s="377"/>
      <c r="I5588" s="377"/>
      <c r="J5588" s="377"/>
      <c r="K5588" s="377"/>
      <c r="L5588" s="377"/>
      <c r="M5588" s="377"/>
      <c r="N5588" s="377"/>
      <c r="O5588" s="377"/>
      <c r="P5588" s="377"/>
      <c r="Q5588" s="377">
        <f>SUMIF($E$5579:$E$5598,$G5588,Q$5579:Q$5598)</f>
        <v>0</v>
      </c>
      <c r="R5588" s="397">
        <f>SUMIF($E$5579:$E$5598,$G5588,R$5579:R$5598)</f>
        <v>0</v>
      </c>
      <c r="S5588" s="364"/>
      <c r="Z5588" s="609" t="s">
        <v>2129</v>
      </c>
      <c r="AA5588" s="609"/>
    </row>
    <row r="5589" spans="1:27" ht="18">
      <c r="A5589" s="2714"/>
      <c r="B5589" s="371">
        <v>110</v>
      </c>
      <c r="C5589" s="371"/>
      <c r="D5589" s="2716">
        <f t="shared" si="603"/>
        <v>1</v>
      </c>
      <c r="E5589" s="2721" t="s">
        <v>41</v>
      </c>
      <c r="F5589" s="294"/>
      <c r="G5589" s="308" t="s">
        <v>4598</v>
      </c>
      <c r="H5589" s="309"/>
      <c r="I5589" s="309"/>
      <c r="J5589" s="309"/>
      <c r="K5589" s="309"/>
      <c r="L5589" s="309"/>
      <c r="M5589" s="309"/>
      <c r="N5589" s="309"/>
      <c r="O5589" s="309"/>
      <c r="P5589" s="309"/>
      <c r="Q5589" s="309"/>
      <c r="R5589" s="346"/>
      <c r="S5589" s="364"/>
      <c r="Z5589" s="609" t="s">
        <v>2129</v>
      </c>
      <c r="AA5589" s="609"/>
    </row>
    <row r="5590" spans="1:27" ht="18">
      <c r="A5590" s="2714"/>
      <c r="B5590" s="371">
        <v>111</v>
      </c>
      <c r="C5590" s="371"/>
      <c r="D5590" s="2716">
        <f t="shared" si="603"/>
        <v>1</v>
      </c>
      <c r="E5590" s="2721">
        <v>1</v>
      </c>
      <c r="F5590" s="294"/>
      <c r="G5590" s="603" t="s">
        <v>4630</v>
      </c>
      <c r="H5590" s="309"/>
      <c r="I5590" s="309"/>
      <c r="J5590" s="309"/>
      <c r="K5590" s="309"/>
      <c r="L5590" s="309"/>
      <c r="M5590" s="309"/>
      <c r="N5590" s="309"/>
      <c r="O5590" s="309"/>
      <c r="P5590" s="309"/>
      <c r="Q5590" s="309"/>
      <c r="R5590" s="346"/>
      <c r="S5590" s="364"/>
      <c r="Z5590" s="609" t="s">
        <v>2129</v>
      </c>
      <c r="AA5590" s="609"/>
    </row>
    <row r="5591" spans="1:27" ht="18">
      <c r="A5591" s="2714"/>
      <c r="B5591" s="371">
        <v>112</v>
      </c>
      <c r="C5591" s="371"/>
      <c r="D5591" s="2716">
        <f t="shared" si="603"/>
        <v>1</v>
      </c>
      <c r="E5591" s="2721">
        <v>1</v>
      </c>
      <c r="F5591" s="294"/>
      <c r="G5591" s="603" t="s">
        <v>4631</v>
      </c>
      <c r="H5591" s="309"/>
      <c r="I5591" s="309"/>
      <c r="J5591" s="309"/>
      <c r="K5591" s="309"/>
      <c r="L5591" s="309"/>
      <c r="M5591" s="309"/>
      <c r="N5591" s="309"/>
      <c r="O5591" s="309"/>
      <c r="P5591" s="309"/>
      <c r="Q5591" s="309"/>
      <c r="R5591" s="346"/>
      <c r="S5591" s="364"/>
      <c r="Z5591" s="609" t="s">
        <v>2129</v>
      </c>
      <c r="AA5591" s="609"/>
    </row>
    <row r="5592" spans="1:27" ht="24">
      <c r="A5592" s="2714"/>
      <c r="B5592" s="371">
        <v>113</v>
      </c>
      <c r="C5592" s="371"/>
      <c r="D5592" s="2716">
        <f t="shared" si="603"/>
        <v>1</v>
      </c>
      <c r="E5592" s="2721">
        <v>1</v>
      </c>
      <c r="F5592" s="294"/>
      <c r="G5592" s="578" t="s">
        <v>4632</v>
      </c>
      <c r="H5592" s="309"/>
      <c r="I5592" s="309"/>
      <c r="J5592" s="309"/>
      <c r="K5592" s="309"/>
      <c r="L5592" s="309"/>
      <c r="M5592" s="309"/>
      <c r="N5592" s="309"/>
      <c r="O5592" s="309"/>
      <c r="P5592" s="309"/>
      <c r="Q5592" s="309"/>
      <c r="R5592" s="346"/>
      <c r="S5592" s="364"/>
      <c r="Z5592" s="609" t="s">
        <v>2129</v>
      </c>
      <c r="AA5592" s="609"/>
    </row>
    <row r="5593" spans="1:27" ht="18">
      <c r="A5593" s="2714"/>
      <c r="B5593" s="371">
        <v>114</v>
      </c>
      <c r="C5593" s="371"/>
      <c r="D5593" s="2716">
        <f t="shared" si="603"/>
        <v>1</v>
      </c>
      <c r="E5593" s="2721" t="s">
        <v>41</v>
      </c>
      <c r="F5593" s="294"/>
      <c r="G5593" s="308" t="s">
        <v>4633</v>
      </c>
      <c r="H5593" s="377"/>
      <c r="I5593" s="377"/>
      <c r="J5593" s="377"/>
      <c r="K5593" s="377"/>
      <c r="L5593" s="377"/>
      <c r="M5593" s="377"/>
      <c r="N5593" s="377"/>
      <c r="O5593" s="377"/>
      <c r="P5593" s="377"/>
      <c r="Q5593" s="377">
        <f>SUMIF($E$5579:$E$5598,$G5593,Q$5579:Q$5598)</f>
        <v>0</v>
      </c>
      <c r="R5593" s="397">
        <f>SUMIF($E$5579:$E$5598,$G5593,R$5579:R$5598)</f>
        <v>0</v>
      </c>
      <c r="S5593" s="364"/>
      <c r="Z5593" s="609" t="s">
        <v>2129</v>
      </c>
      <c r="AA5593" s="609"/>
    </row>
    <row r="5594" spans="1:27" ht="18">
      <c r="A5594" s="2714"/>
      <c r="B5594" s="371">
        <v>115</v>
      </c>
      <c r="C5594" s="371"/>
      <c r="D5594" s="2716">
        <f t="shared" si="603"/>
        <v>1</v>
      </c>
      <c r="E5594" s="2721">
        <v>1</v>
      </c>
      <c r="F5594" s="294"/>
      <c r="G5594" s="603" t="s">
        <v>346</v>
      </c>
      <c r="H5594" s="309"/>
      <c r="I5594" s="309"/>
      <c r="J5594" s="309"/>
      <c r="K5594" s="309"/>
      <c r="L5594" s="309"/>
      <c r="M5594" s="309"/>
      <c r="N5594" s="309"/>
      <c r="O5594" s="309"/>
      <c r="P5594" s="309"/>
      <c r="Q5594" s="309"/>
      <c r="R5594" s="346"/>
      <c r="S5594" s="364"/>
      <c r="Z5594" s="609" t="s">
        <v>2129</v>
      </c>
      <c r="AA5594" s="609"/>
    </row>
    <row r="5595" spans="1:27" ht="18">
      <c r="A5595" s="2714"/>
      <c r="B5595" s="371">
        <v>116</v>
      </c>
      <c r="C5595" s="371"/>
      <c r="D5595" s="2716">
        <f t="shared" si="603"/>
        <v>1</v>
      </c>
      <c r="E5595" s="2721">
        <v>1</v>
      </c>
      <c r="F5595" s="294"/>
      <c r="G5595" s="603" t="s">
        <v>381</v>
      </c>
      <c r="H5595" s="309"/>
      <c r="I5595" s="309"/>
      <c r="J5595" s="309"/>
      <c r="K5595" s="309"/>
      <c r="L5595" s="309"/>
      <c r="M5595" s="309"/>
      <c r="N5595" s="309"/>
      <c r="O5595" s="309"/>
      <c r="P5595" s="309"/>
      <c r="Q5595" s="309"/>
      <c r="R5595" s="346"/>
      <c r="S5595" s="364"/>
      <c r="Z5595" s="609" t="s">
        <v>2129</v>
      </c>
      <c r="AA5595" s="609"/>
    </row>
    <row r="5596" spans="1:27" ht="18">
      <c r="A5596" s="2714"/>
      <c r="B5596" s="371">
        <v>117</v>
      </c>
      <c r="C5596" s="371" t="s">
        <v>2791</v>
      </c>
      <c r="D5596" s="2716">
        <f t="shared" si="603"/>
        <v>0</v>
      </c>
      <c r="E5596" s="2721">
        <v>1</v>
      </c>
      <c r="F5596" s="294"/>
      <c r="G5596" s="625" t="s">
        <v>2792</v>
      </c>
      <c r="H5596" s="309"/>
      <c r="I5596" s="309"/>
      <c r="J5596" s="309"/>
      <c r="K5596" s="309"/>
      <c r="L5596" s="309"/>
      <c r="M5596" s="309"/>
      <c r="N5596" s="309"/>
      <c r="O5596" s="309"/>
      <c r="P5596" s="309"/>
      <c r="Q5596" s="309"/>
      <c r="R5596" s="346"/>
      <c r="S5596" s="364"/>
      <c r="Z5596" s="609" t="s">
        <v>2129</v>
      </c>
      <c r="AA5596" s="609"/>
    </row>
    <row r="5597" spans="1:27" ht="18">
      <c r="A5597" s="2714"/>
      <c r="B5597" s="371">
        <v>118</v>
      </c>
      <c r="C5597" s="371" t="s">
        <v>2791</v>
      </c>
      <c r="D5597" s="2716">
        <f t="shared" si="603"/>
        <v>0</v>
      </c>
      <c r="E5597" s="2721">
        <v>1</v>
      </c>
      <c r="F5597" s="294"/>
      <c r="G5597" s="625" t="s">
        <v>2792</v>
      </c>
      <c r="H5597" s="309"/>
      <c r="I5597" s="309"/>
      <c r="J5597" s="309"/>
      <c r="K5597" s="309"/>
      <c r="L5597" s="309"/>
      <c r="M5597" s="309"/>
      <c r="N5597" s="309"/>
      <c r="O5597" s="309"/>
      <c r="P5597" s="309"/>
      <c r="Q5597" s="309"/>
      <c r="R5597" s="346"/>
      <c r="S5597" s="364"/>
      <c r="Z5597" s="609" t="s">
        <v>2129</v>
      </c>
      <c r="AA5597" s="609"/>
    </row>
    <row r="5598" spans="1:27" ht="18">
      <c r="A5598" s="2714"/>
      <c r="B5598" s="371">
        <v>119</v>
      </c>
      <c r="C5598" s="371" t="s">
        <v>2791</v>
      </c>
      <c r="D5598" s="2716">
        <f t="shared" si="603"/>
        <v>0</v>
      </c>
      <c r="E5598" s="2721">
        <v>1</v>
      </c>
      <c r="F5598" s="294"/>
      <c r="G5598" s="625" t="s">
        <v>2792</v>
      </c>
      <c r="H5598" s="309"/>
      <c r="I5598" s="309"/>
      <c r="J5598" s="309"/>
      <c r="K5598" s="309"/>
      <c r="L5598" s="309"/>
      <c r="M5598" s="309"/>
      <c r="N5598" s="309"/>
      <c r="O5598" s="309"/>
      <c r="P5598" s="309"/>
      <c r="Q5598" s="309"/>
      <c r="R5598" s="346"/>
      <c r="S5598" s="364"/>
      <c r="Z5598" s="609" t="s">
        <v>2129</v>
      </c>
      <c r="AA5598" s="609"/>
    </row>
    <row r="5599" spans="1:27" ht="18.75" thickBot="1">
      <c r="A5599" s="2714"/>
      <c r="B5599" s="371"/>
      <c r="C5599" s="371"/>
      <c r="D5599" s="2716">
        <f t="shared" si="603"/>
        <v>1</v>
      </c>
      <c r="E5599" s="2721" t="s">
        <v>3032</v>
      </c>
      <c r="F5599" s="294"/>
      <c r="G5599" s="2234" t="s">
        <v>2752</v>
      </c>
      <c r="H5599" s="2325">
        <f t="shared" ref="H5599:R5599" si="604">SUMPRODUCT($E5579:$E5598,H5579:H5598)</f>
        <v>0</v>
      </c>
      <c r="I5599" s="2325">
        <f t="shared" si="604"/>
        <v>0</v>
      </c>
      <c r="J5599" s="2325">
        <f t="shared" si="604"/>
        <v>0</v>
      </c>
      <c r="K5599" s="2325">
        <f t="shared" si="604"/>
        <v>0</v>
      </c>
      <c r="L5599" s="2325">
        <f t="shared" si="604"/>
        <v>0</v>
      </c>
      <c r="M5599" s="2325">
        <f t="shared" si="604"/>
        <v>0</v>
      </c>
      <c r="N5599" s="2325">
        <f t="shared" si="604"/>
        <v>0</v>
      </c>
      <c r="O5599" s="2325">
        <f t="shared" si="604"/>
        <v>0</v>
      </c>
      <c r="P5599" s="2325">
        <f t="shared" si="604"/>
        <v>0</v>
      </c>
      <c r="Q5599" s="2325">
        <f t="shared" si="604"/>
        <v>0</v>
      </c>
      <c r="R5599" s="2342">
        <f t="shared" si="604"/>
        <v>0</v>
      </c>
      <c r="S5599" s="364"/>
      <c r="Z5599" s="609" t="s">
        <v>2129</v>
      </c>
      <c r="AA5599" s="609"/>
    </row>
    <row r="5600" spans="1:27" ht="18">
      <c r="A5600" s="2714"/>
      <c r="B5600" s="371"/>
      <c r="C5600" s="371" t="s">
        <v>2755</v>
      </c>
      <c r="D5600" s="371"/>
      <c r="F5600" s="294"/>
      <c r="G5600" s="301"/>
      <c r="H5600" s="315"/>
      <c r="I5600" s="315"/>
      <c r="J5600" s="315"/>
      <c r="K5600" s="315"/>
      <c r="L5600" s="315"/>
      <c r="M5600" s="315"/>
      <c r="N5600" s="315"/>
      <c r="O5600" s="315"/>
      <c r="P5600" s="315"/>
      <c r="Q5600" s="566"/>
      <c r="R5600" s="566"/>
      <c r="S5600" s="364"/>
      <c r="Z5600" s="609" t="s">
        <v>2129</v>
      </c>
      <c r="AA5600" s="609"/>
    </row>
    <row r="5601" spans="1:27" ht="36">
      <c r="A5601" s="2714" t="s">
        <v>2130</v>
      </c>
      <c r="B5601" s="371">
        <v>5</v>
      </c>
      <c r="C5601" s="371"/>
      <c r="D5601" s="2716" t="str">
        <f>VLOOKUP($A5601,Sheet_NoteList,2,0)</f>
        <v>不以公允价值计量的金融资产和金融负债的公允价值情况</v>
      </c>
      <c r="E5601" s="2716" t="s">
        <v>2742</v>
      </c>
      <c r="F5601" s="294"/>
      <c r="G5601" s="372" t="str">
        <f>"("&amp;B5601&amp;")"&amp;D5601</f>
        <v>(5)不以公允价值计量的金融资产和金融负债的公允价值情况</v>
      </c>
      <c r="H5601" s="1517" t="str">
        <f>$A5601</f>
        <v>9331b</v>
      </c>
      <c r="I5601" s="343" t="s">
        <v>2743</v>
      </c>
      <c r="J5601" s="301"/>
      <c r="K5601" s="3071"/>
      <c r="L5601" s="315"/>
      <c r="M5601" s="301"/>
      <c r="N5601" s="3071"/>
      <c r="O5601" s="315"/>
      <c r="P5601" s="301"/>
      <c r="S5601" s="364"/>
      <c r="Z5601" s="609" t="s">
        <v>2129</v>
      </c>
      <c r="AA5601" s="609"/>
    </row>
    <row r="5602" spans="1:27" ht="0.75" customHeight="1" thickBot="1">
      <c r="A5602" s="2714"/>
      <c r="B5602" s="371"/>
      <c r="C5602" s="371"/>
      <c r="D5602" s="371"/>
      <c r="F5602" s="371"/>
      <c r="G5602" s="371" t="s">
        <v>4604</v>
      </c>
      <c r="H5602" s="371" t="s">
        <v>3287</v>
      </c>
      <c r="I5602" s="371" t="s">
        <v>2845</v>
      </c>
      <c r="J5602" s="371" t="s">
        <v>4605</v>
      </c>
      <c r="K5602" s="371" t="s">
        <v>4606</v>
      </c>
      <c r="L5602" s="1604"/>
      <c r="M5602" s="1604"/>
      <c r="N5602" s="1604"/>
      <c r="O5602" s="1604"/>
      <c r="P5602" s="1604"/>
      <c r="Q5602" s="1604"/>
      <c r="R5602" s="1604"/>
      <c r="S5602" s="364"/>
      <c r="Z5602" s="609" t="s">
        <v>2129</v>
      </c>
      <c r="AA5602" s="609"/>
    </row>
    <row r="5603" spans="1:27" ht="24">
      <c r="A5603" s="2714"/>
      <c r="B5603" s="371"/>
      <c r="C5603" s="371"/>
      <c r="D5603" s="371"/>
      <c r="E5603" s="2716" t="s">
        <v>2749</v>
      </c>
      <c r="F5603" s="294"/>
      <c r="G5603" s="2498" t="s">
        <v>47</v>
      </c>
      <c r="H5603" s="2483" t="str">
        <f>$W$2&amp;"账面价值"</f>
        <v>2019年12月31日账面价值</v>
      </c>
      <c r="I5603" s="2499" t="s">
        <v>4531</v>
      </c>
      <c r="J5603" s="2499" t="s">
        <v>4532</v>
      </c>
      <c r="K5603" s="2590" t="s">
        <v>4533</v>
      </c>
      <c r="L5603" s="355" t="s">
        <v>5349</v>
      </c>
      <c r="M5603" s="1604"/>
      <c r="N5603" s="1604"/>
      <c r="O5603" s="1604"/>
      <c r="P5603" s="1604"/>
      <c r="Q5603" s="1604"/>
      <c r="R5603" s="1604"/>
      <c r="S5603" s="364"/>
      <c r="Z5603" s="609" t="s">
        <v>2129</v>
      </c>
      <c r="AA5603" s="609"/>
    </row>
    <row r="5604" spans="1:27" ht="18">
      <c r="A5604" s="2714"/>
      <c r="B5604" s="371">
        <v>101</v>
      </c>
      <c r="C5604" s="371"/>
      <c r="D5604" s="2716">
        <f t="shared" ref="D5604:D5618" si="605">IF(OR(G5604="*",G5604="",G5604=0),0,COUNTIF($G$5604:$G$5618,G5604))</f>
        <v>1</v>
      </c>
      <c r="E5604" s="2721" t="s">
        <v>41</v>
      </c>
      <c r="F5604" s="294"/>
      <c r="G5604" s="308" t="s">
        <v>4520</v>
      </c>
      <c r="H5604" s="309"/>
      <c r="I5604" s="309"/>
      <c r="J5604" s="309"/>
      <c r="K5604" s="346"/>
      <c r="L5604" s="355" t="s">
        <v>6101</v>
      </c>
      <c r="M5604" s="1604"/>
      <c r="N5604" s="1604"/>
      <c r="O5604" s="1604"/>
      <c r="P5604" s="1604"/>
      <c r="Q5604" s="1604"/>
      <c r="R5604" s="1604"/>
      <c r="S5604" s="364"/>
      <c r="Z5604" s="609" t="s">
        <v>2129</v>
      </c>
      <c r="AA5604" s="609"/>
    </row>
    <row r="5605" spans="1:27" ht="18">
      <c r="A5605" s="2714"/>
      <c r="B5605" s="371">
        <v>101.001</v>
      </c>
      <c r="C5605" s="371" t="s">
        <v>2791</v>
      </c>
      <c r="D5605" s="2716">
        <f t="shared" si="605"/>
        <v>1</v>
      </c>
      <c r="E5605" s="2721" t="s">
        <v>4607</v>
      </c>
      <c r="F5605" s="294"/>
      <c r="G5605" s="578" t="s">
        <v>274</v>
      </c>
      <c r="H5605" s="309"/>
      <c r="I5605" s="309"/>
      <c r="J5605" s="309"/>
      <c r="K5605" s="346"/>
      <c r="L5605" s="1604"/>
      <c r="M5605" s="1604"/>
      <c r="N5605" s="1604"/>
      <c r="O5605" s="1604"/>
      <c r="P5605" s="1604"/>
      <c r="Q5605" s="1604"/>
      <c r="R5605" s="1604"/>
      <c r="S5605" s="364"/>
      <c r="Z5605" s="609" t="s">
        <v>2129</v>
      </c>
      <c r="AA5605" s="609"/>
    </row>
    <row r="5606" spans="1:27" ht="18">
      <c r="A5606" s="2714"/>
      <c r="B5606" s="371">
        <v>101.002</v>
      </c>
      <c r="C5606" s="371" t="s">
        <v>2791</v>
      </c>
      <c r="D5606" s="2716">
        <f t="shared" si="605"/>
        <v>1</v>
      </c>
      <c r="E5606" s="2721" t="s">
        <v>4607</v>
      </c>
      <c r="F5606" s="294"/>
      <c r="G5606" s="578" t="s">
        <v>317</v>
      </c>
      <c r="H5606" s="309"/>
      <c r="I5606" s="309"/>
      <c r="J5606" s="309"/>
      <c r="K5606" s="346"/>
      <c r="L5606" s="1604"/>
      <c r="M5606" s="1604"/>
      <c r="N5606" s="1604"/>
      <c r="O5606" s="1604"/>
      <c r="P5606" s="1604"/>
      <c r="Q5606" s="1604"/>
      <c r="R5606" s="1604"/>
      <c r="S5606" s="364"/>
      <c r="Z5606" s="609" t="s">
        <v>2129</v>
      </c>
      <c r="AA5606" s="609"/>
    </row>
    <row r="5607" spans="1:27" ht="36">
      <c r="A5607" s="2714"/>
      <c r="B5607" s="371">
        <v>101.003</v>
      </c>
      <c r="C5607" s="371" t="s">
        <v>2791</v>
      </c>
      <c r="D5607" s="2716">
        <f t="shared" si="605"/>
        <v>1</v>
      </c>
      <c r="E5607" s="2721" t="s">
        <v>4607</v>
      </c>
      <c r="F5607" s="294"/>
      <c r="G5607" s="578" t="s">
        <v>4608</v>
      </c>
      <c r="H5607" s="309"/>
      <c r="I5607" s="309"/>
      <c r="J5607" s="309"/>
      <c r="K5607" s="346"/>
      <c r="L5607" s="1604"/>
      <c r="M5607" s="1604"/>
      <c r="N5607" s="1604"/>
      <c r="O5607" s="1604"/>
      <c r="P5607" s="1604"/>
      <c r="Q5607" s="1604"/>
      <c r="R5607" s="1604"/>
      <c r="S5607" s="364"/>
      <c r="Z5607" s="609" t="s">
        <v>2129</v>
      </c>
      <c r="AA5607" s="609"/>
    </row>
    <row r="5608" spans="1:27" ht="18">
      <c r="A5608" s="2714"/>
      <c r="B5608" s="371">
        <v>101.004</v>
      </c>
      <c r="C5608" s="371" t="s">
        <v>2791</v>
      </c>
      <c r="D5608" s="2716">
        <f t="shared" si="605"/>
        <v>0</v>
      </c>
      <c r="E5608" s="2721" t="s">
        <v>4607</v>
      </c>
      <c r="F5608" s="294"/>
      <c r="G5608" s="578" t="s">
        <v>2792</v>
      </c>
      <c r="H5608" s="309"/>
      <c r="I5608" s="309"/>
      <c r="J5608" s="309"/>
      <c r="K5608" s="346"/>
      <c r="L5608" s="1604"/>
      <c r="M5608" s="1604"/>
      <c r="N5608" s="1604"/>
      <c r="O5608" s="1604"/>
      <c r="P5608" s="1604"/>
      <c r="Q5608" s="1604"/>
      <c r="R5608" s="1604"/>
      <c r="S5608" s="364"/>
      <c r="Z5608" s="609" t="s">
        <v>2129</v>
      </c>
      <c r="AA5608" s="609"/>
    </row>
    <row r="5609" spans="1:27" ht="18">
      <c r="A5609" s="2714"/>
      <c r="B5609" s="371">
        <v>101.005</v>
      </c>
      <c r="C5609" s="371" t="s">
        <v>2791</v>
      </c>
      <c r="D5609" s="2716">
        <f t="shared" si="605"/>
        <v>0</v>
      </c>
      <c r="E5609" s="2721" t="s">
        <v>4607</v>
      </c>
      <c r="F5609" s="294"/>
      <c r="G5609" s="578" t="s">
        <v>2792</v>
      </c>
      <c r="H5609" s="309"/>
      <c r="I5609" s="309"/>
      <c r="J5609" s="309"/>
      <c r="K5609" s="346"/>
      <c r="L5609" s="1604"/>
      <c r="M5609" s="1604"/>
      <c r="N5609" s="1604"/>
      <c r="O5609" s="1604"/>
      <c r="P5609" s="1604"/>
      <c r="Q5609" s="1604"/>
      <c r="R5609" s="1604"/>
      <c r="S5609" s="364"/>
      <c r="Z5609" s="609" t="s">
        <v>2129</v>
      </c>
      <c r="AA5609" s="609"/>
    </row>
    <row r="5610" spans="1:27" ht="18">
      <c r="A5610" s="2714"/>
      <c r="B5610" s="371">
        <v>101.999</v>
      </c>
      <c r="C5610" s="371" t="s">
        <v>2793</v>
      </c>
      <c r="D5610" s="2716">
        <f t="shared" si="605"/>
        <v>1</v>
      </c>
      <c r="E5610" s="2721">
        <v>0</v>
      </c>
      <c r="F5610" s="294"/>
      <c r="G5610" s="308" t="s">
        <v>4607</v>
      </c>
      <c r="H5610" s="377">
        <f>SUMIF($E$5603:$E$5617,$G5610,H$5603:H$5617)</f>
        <v>0</v>
      </c>
      <c r="I5610" s="377">
        <f>SUMIF($E$5603:$E$5617,$G5610,I$5603:I$5617)</f>
        <v>0</v>
      </c>
      <c r="J5610" s="377">
        <f>SUMIF($E$5603:$E$5617,$G5610,J$5603:J$5617)</f>
        <v>0</v>
      </c>
      <c r="K5610" s="397">
        <f>SUMIF($E$5603:$E$5617,$G5610,K$5603:K$5617)</f>
        <v>0</v>
      </c>
      <c r="L5610" s="1604"/>
      <c r="M5610" s="1604"/>
      <c r="N5610" s="1604"/>
      <c r="O5610" s="1604"/>
      <c r="P5610" s="1604"/>
      <c r="Q5610" s="1604"/>
      <c r="R5610" s="1604"/>
      <c r="S5610" s="364"/>
      <c r="Z5610" s="609" t="s">
        <v>2129</v>
      </c>
      <c r="AA5610" s="609"/>
    </row>
    <row r="5611" spans="1:27" ht="18">
      <c r="A5611" s="2714"/>
      <c r="B5611" s="371">
        <v>102</v>
      </c>
      <c r="C5611" s="371"/>
      <c r="D5611" s="2716">
        <f t="shared" si="605"/>
        <v>1</v>
      </c>
      <c r="E5611" s="2721" t="s">
        <v>41</v>
      </c>
      <c r="F5611" s="294"/>
      <c r="G5611" s="308" t="s">
        <v>4521</v>
      </c>
      <c r="H5611" s="309"/>
      <c r="I5611" s="309"/>
      <c r="J5611" s="309"/>
      <c r="K5611" s="346"/>
      <c r="L5611" s="1604"/>
      <c r="M5611" s="1604"/>
      <c r="N5611" s="1604"/>
      <c r="O5611" s="1604"/>
      <c r="P5611" s="1604"/>
      <c r="Q5611" s="1604"/>
      <c r="R5611" s="1604"/>
      <c r="S5611" s="364"/>
      <c r="Z5611" s="609" t="s">
        <v>2129</v>
      </c>
      <c r="AA5611" s="609"/>
    </row>
    <row r="5612" spans="1:27" ht="24">
      <c r="A5612" s="2714"/>
      <c r="B5612" s="371">
        <v>103</v>
      </c>
      <c r="C5612" s="371" t="s">
        <v>2791</v>
      </c>
      <c r="D5612" s="2716">
        <f t="shared" si="605"/>
        <v>1</v>
      </c>
      <c r="E5612" s="2721">
        <v>1</v>
      </c>
      <c r="F5612" s="294"/>
      <c r="G5612" s="578" t="s">
        <v>4522</v>
      </c>
      <c r="H5612" s="309"/>
      <c r="I5612" s="309"/>
      <c r="J5612" s="309"/>
      <c r="K5612" s="346"/>
      <c r="L5612" s="1604"/>
      <c r="M5612" s="1604"/>
      <c r="N5612" s="1604"/>
      <c r="O5612" s="1604"/>
      <c r="P5612" s="1604"/>
      <c r="Q5612" s="1604"/>
      <c r="R5612" s="1604"/>
      <c r="S5612" s="364"/>
      <c r="Z5612" s="609" t="s">
        <v>2129</v>
      </c>
      <c r="AA5612" s="609"/>
    </row>
    <row r="5613" spans="1:27" ht="18">
      <c r="A5613" s="2714"/>
      <c r="B5613" s="371">
        <v>104</v>
      </c>
      <c r="C5613" s="371" t="s">
        <v>2791</v>
      </c>
      <c r="D5613" s="2716">
        <f t="shared" si="605"/>
        <v>1</v>
      </c>
      <c r="E5613" s="2721">
        <v>1</v>
      </c>
      <c r="F5613" s="294"/>
      <c r="G5613" s="578" t="s">
        <v>546</v>
      </c>
      <c r="H5613" s="309"/>
      <c r="I5613" s="309"/>
      <c r="J5613" s="309"/>
      <c r="K5613" s="346"/>
      <c r="L5613" s="1604"/>
      <c r="M5613" s="1604"/>
      <c r="N5613" s="1604"/>
      <c r="O5613" s="1604"/>
      <c r="P5613" s="1604"/>
      <c r="Q5613" s="1604"/>
      <c r="R5613" s="1604"/>
      <c r="S5613" s="364"/>
      <c r="Z5613" s="609" t="s">
        <v>2129</v>
      </c>
      <c r="AA5613" s="609"/>
    </row>
    <row r="5614" spans="1:27" ht="18">
      <c r="A5614" s="2714"/>
      <c r="B5614" s="371">
        <v>105</v>
      </c>
      <c r="C5614" s="371" t="s">
        <v>2791</v>
      </c>
      <c r="D5614" s="2716">
        <f t="shared" si="605"/>
        <v>1</v>
      </c>
      <c r="E5614" s="2721">
        <v>1</v>
      </c>
      <c r="F5614" s="294"/>
      <c r="G5614" s="578" t="s">
        <v>550</v>
      </c>
      <c r="H5614" s="309"/>
      <c r="I5614" s="309"/>
      <c r="J5614" s="309"/>
      <c r="K5614" s="346"/>
      <c r="L5614" s="1604"/>
      <c r="M5614" s="1604"/>
      <c r="N5614" s="1604"/>
      <c r="O5614" s="1604"/>
      <c r="P5614" s="1604"/>
      <c r="Q5614" s="1604"/>
      <c r="R5614" s="1604"/>
      <c r="S5614" s="364"/>
      <c r="Z5614" s="609" t="s">
        <v>2129</v>
      </c>
      <c r="AA5614" s="609"/>
    </row>
    <row r="5615" spans="1:27" ht="18">
      <c r="A5615" s="2714"/>
      <c r="B5615" s="371">
        <v>106</v>
      </c>
      <c r="C5615" s="371" t="s">
        <v>2791</v>
      </c>
      <c r="D5615" s="2716">
        <f t="shared" si="605"/>
        <v>1</v>
      </c>
      <c r="E5615" s="2721">
        <v>1</v>
      </c>
      <c r="F5615" s="294"/>
      <c r="G5615" s="578" t="s">
        <v>554</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107</v>
      </c>
      <c r="C5616" s="371" t="s">
        <v>2791</v>
      </c>
      <c r="D5616" s="2716">
        <f t="shared" si="605"/>
        <v>0</v>
      </c>
      <c r="E5616" s="2721">
        <v>1</v>
      </c>
      <c r="F5616" s="294"/>
      <c r="G5616" s="578" t="s">
        <v>2792</v>
      </c>
      <c r="H5616" s="309"/>
      <c r="I5616" s="309"/>
      <c r="J5616" s="309"/>
      <c r="K5616" s="346"/>
      <c r="L5616" s="1604"/>
      <c r="M5616" s="1604"/>
      <c r="N5616" s="1604"/>
      <c r="O5616" s="1604"/>
      <c r="P5616" s="1604"/>
      <c r="Q5616" s="1604"/>
      <c r="R5616" s="1604"/>
      <c r="S5616" s="364"/>
      <c r="Z5616" s="609" t="s">
        <v>2129</v>
      </c>
      <c r="AA5616" s="609"/>
    </row>
    <row r="5617" spans="1:27" ht="18">
      <c r="A5617" s="2714"/>
      <c r="B5617" s="371">
        <v>108</v>
      </c>
      <c r="C5617" s="371"/>
      <c r="D5617" s="2716">
        <f t="shared" si="605"/>
        <v>1</v>
      </c>
      <c r="E5617" s="2721">
        <v>1</v>
      </c>
      <c r="F5617" s="294"/>
      <c r="G5617" s="308" t="s">
        <v>4609</v>
      </c>
      <c r="H5617" s="309">
        <f>SUM(H5612:H5616)</f>
        <v>0</v>
      </c>
      <c r="I5617" s="309">
        <f>SUM(I5612:I5616)</f>
        <v>0</v>
      </c>
      <c r="J5617" s="309">
        <f>SUM(J5612:J5616)</f>
        <v>0</v>
      </c>
      <c r="K5617" s="346">
        <f>SUM(K5612:K5616)</f>
        <v>0</v>
      </c>
      <c r="L5617" s="1604"/>
      <c r="M5617" s="1604"/>
      <c r="N5617" s="1604"/>
      <c r="O5617" s="1604"/>
      <c r="P5617" s="1604"/>
      <c r="Q5617" s="1604"/>
      <c r="R5617" s="1604"/>
      <c r="S5617" s="364"/>
      <c r="Z5617" s="609" t="s">
        <v>2129</v>
      </c>
      <c r="AA5617" s="609"/>
    </row>
    <row r="5618" spans="1:27" ht="18.75" thickBot="1">
      <c r="A5618" s="2714"/>
      <c r="B5618" s="371"/>
      <c r="C5618" s="371"/>
      <c r="D5618" s="2716">
        <f t="shared" si="605"/>
        <v>0</v>
      </c>
      <c r="E5618" s="2721" t="s">
        <v>3595</v>
      </c>
      <c r="F5618" s="294"/>
      <c r="G5618" s="2429"/>
      <c r="H5618" s="2501"/>
      <c r="I5618" s="2485"/>
      <c r="J5618" s="2501"/>
      <c r="K5618" s="2487"/>
      <c r="L5618" s="1604"/>
      <c r="M5618" s="1604"/>
      <c r="N5618" s="1604"/>
      <c r="O5618" s="1604"/>
      <c r="P5618" s="1604"/>
      <c r="Q5618" s="1604"/>
      <c r="R5618" s="1604"/>
      <c r="S5618" s="364"/>
      <c r="Z5618" s="609" t="s">
        <v>2129</v>
      </c>
      <c r="AA5618" s="609"/>
    </row>
    <row r="5619" spans="1:27" ht="18">
      <c r="A5619" s="2714"/>
      <c r="B5619" s="371"/>
      <c r="C5619" s="371" t="s">
        <v>2755</v>
      </c>
      <c r="D5619" s="371"/>
      <c r="F5619" s="294"/>
      <c r="G5619" s="301"/>
      <c r="H5619" s="315"/>
      <c r="I5619" s="315"/>
      <c r="J5619" s="315"/>
      <c r="K5619" s="315"/>
      <c r="L5619" s="1604"/>
      <c r="M5619" s="1604"/>
      <c r="N5619" s="1604"/>
      <c r="O5619" s="1604"/>
      <c r="P5619" s="1604"/>
      <c r="Q5619" s="1604"/>
      <c r="R5619" s="1604"/>
      <c r="S5619" s="364"/>
      <c r="Z5619" s="609" t="s">
        <v>2129</v>
      </c>
      <c r="AA5619" s="609"/>
    </row>
    <row r="5620" spans="1:27" ht="18">
      <c r="A5620" s="2714">
        <v>9120</v>
      </c>
      <c r="B5620" s="371" t="s">
        <v>6571</v>
      </c>
      <c r="C5620" s="2716" t="str">
        <f>VLOOKUP($A5620,Sheet_Items,2,0)</f>
        <v>关联方交易</v>
      </c>
      <c r="D5620" s="371"/>
      <c r="E5620" s="2716" t="s">
        <v>2739</v>
      </c>
      <c r="F5620" s="294"/>
      <c r="G5620" s="305" t="str">
        <f>B5620&amp;" "&amp;C5620</f>
        <v>十 关联方交易</v>
      </c>
      <c r="H5620" s="306"/>
      <c r="I5620" s="306"/>
      <c r="J5620" s="306"/>
      <c r="K5620" s="539"/>
      <c r="L5620" s="342"/>
      <c r="M5620" s="306"/>
      <c r="N5620" s="539"/>
      <c r="O5620" s="306"/>
      <c r="P5620" s="301"/>
      <c r="S5620" s="364"/>
      <c r="Z5620" s="609" t="s">
        <v>2066</v>
      </c>
      <c r="AA5620" s="609"/>
    </row>
    <row r="5621" spans="1:27" ht="24">
      <c r="A5621" s="2714" t="s">
        <v>2064</v>
      </c>
      <c r="B5621" s="371">
        <v>5.1100000000000003</v>
      </c>
      <c r="C5621" s="371"/>
      <c r="D5621" s="2716" t="str">
        <f>VLOOKUP($A5621,Sheet_NoteList,2,0)</f>
        <v>采购商品、接受劳务的关联交易情况</v>
      </c>
      <c r="E5621" s="2716" t="s">
        <v>2742</v>
      </c>
      <c r="F5621" s="293"/>
      <c r="G5621" s="372" t="str">
        <f>"("&amp;B5621&amp;")"&amp;D5621</f>
        <v>(5.11)采购商品、接受劳务的关联交易情况</v>
      </c>
      <c r="H5621" s="1517" t="str">
        <f>$A5621</f>
        <v>9120m</v>
      </c>
      <c r="I5621" s="343" t="s">
        <v>2743</v>
      </c>
      <c r="J5621" s="301" t="s">
        <v>2744</v>
      </c>
      <c r="K5621" s="2210">
        <f>H5632</f>
        <v>0</v>
      </c>
      <c r="L5621" s="349"/>
      <c r="M5621" s="301" t="s">
        <v>2745</v>
      </c>
      <c r="N5621" s="2210">
        <f>I5632</f>
        <v>0</v>
      </c>
      <c r="O5621" s="349"/>
      <c r="P5621" s="301"/>
      <c r="S5621" s="364"/>
      <c r="Z5621" s="609" t="s">
        <v>2066</v>
      </c>
      <c r="AA5621" s="609" t="s">
        <v>19</v>
      </c>
    </row>
    <row r="5622" spans="1:27" ht="0.75" customHeight="1" thickBot="1">
      <c r="A5622" s="2714"/>
      <c r="B5622" s="371"/>
      <c r="C5622" s="371"/>
      <c r="D5622" s="2716"/>
      <c r="E5622" s="586"/>
      <c r="F5622" s="586"/>
      <c r="G5622" s="2224" t="s">
        <v>4435</v>
      </c>
      <c r="H5622" s="371" t="s">
        <v>3067</v>
      </c>
      <c r="I5622" s="371" t="s">
        <v>2748</v>
      </c>
      <c r="J5622" s="371" t="s">
        <v>2948</v>
      </c>
      <c r="K5622" s="428"/>
      <c r="L5622" s="428"/>
      <c r="M5622" s="433"/>
      <c r="N5622" s="428"/>
      <c r="O5622" s="428"/>
      <c r="P5622" s="433"/>
      <c r="Q5622" s="442"/>
      <c r="R5622" s="443"/>
      <c r="S5622" s="364"/>
      <c r="Z5622" s="609" t="s">
        <v>2066</v>
      </c>
      <c r="AA5622" s="609" t="s">
        <v>19</v>
      </c>
    </row>
    <row r="5623" spans="1:27" ht="18">
      <c r="A5623" s="2714"/>
      <c r="B5623" s="371"/>
      <c r="C5623" s="371"/>
      <c r="D5623" s="2716"/>
      <c r="E5623" s="586" t="s">
        <v>2749</v>
      </c>
      <c r="F5623" s="414"/>
      <c r="G5623" s="2457" t="s">
        <v>4436</v>
      </c>
      <c r="H5623" s="2464" t="s">
        <v>4437</v>
      </c>
      <c r="I5623" s="2464" t="str">
        <f>$W$4&amp;"发生额"</f>
        <v>2019年度发生额</v>
      </c>
      <c r="J5623" s="2469" t="str">
        <f>$W$5&amp;"发生额"</f>
        <v>2018年度发生额</v>
      </c>
      <c r="K5623" s="355" t="s">
        <v>5350</v>
      </c>
      <c r="L5623" s="434"/>
      <c r="M5623" s="435"/>
      <c r="N5623" s="434"/>
      <c r="O5623" s="434"/>
      <c r="P5623" s="435"/>
      <c r="Q5623" s="442"/>
      <c r="R5623" s="443"/>
      <c r="S5623" s="364"/>
      <c r="Z5623" s="609" t="s">
        <v>2066</v>
      </c>
      <c r="AA5623" s="609" t="s">
        <v>19</v>
      </c>
    </row>
    <row r="5624" spans="1:27" ht="18">
      <c r="A5624" s="2714"/>
      <c r="B5624" s="371">
        <v>101</v>
      </c>
      <c r="C5624" s="371" t="s">
        <v>2791</v>
      </c>
      <c r="D5624" s="2716">
        <f t="shared" ref="D5624:D5632" si="606">IF(OR(G5624="*",G5624="",G5624=0),0,COUNTIF($G$5624:$G$5632,G5624))</f>
        <v>0</v>
      </c>
      <c r="E5624" s="2721">
        <v>1</v>
      </c>
      <c r="F5624" s="293"/>
      <c r="G5624" s="2467" t="s">
        <v>2792</v>
      </c>
      <c r="H5624" s="2298"/>
      <c r="I5624" s="2275"/>
      <c r="J5624" s="2296"/>
      <c r="K5624" s="439"/>
      <c r="L5624" s="437"/>
      <c r="M5624" s="438"/>
      <c r="N5624" s="439"/>
      <c r="O5624" s="437"/>
      <c r="P5624" s="438"/>
      <c r="Q5624" s="442"/>
      <c r="R5624" s="443"/>
      <c r="S5624" s="364"/>
      <c r="Z5624" s="609" t="s">
        <v>2066</v>
      </c>
      <c r="AA5624" s="609" t="s">
        <v>19</v>
      </c>
    </row>
    <row r="5625" spans="1:27" ht="18">
      <c r="A5625" s="2714"/>
      <c r="B5625" s="371">
        <v>102</v>
      </c>
      <c r="C5625" s="371" t="s">
        <v>2791</v>
      </c>
      <c r="D5625" s="2716">
        <f t="shared" si="606"/>
        <v>0</v>
      </c>
      <c r="E5625" s="2721">
        <v>1</v>
      </c>
      <c r="F5625" s="293"/>
      <c r="G5625" s="2467" t="s">
        <v>2792</v>
      </c>
      <c r="H5625" s="2298"/>
      <c r="I5625" s="2275"/>
      <c r="J5625" s="2296"/>
      <c r="L5625" s="437"/>
      <c r="M5625" s="438"/>
      <c r="N5625" s="439"/>
      <c r="O5625" s="437"/>
      <c r="P5625" s="438"/>
      <c r="Q5625" s="442"/>
      <c r="R5625" s="443"/>
      <c r="S5625" s="364"/>
      <c r="Z5625" s="609" t="s">
        <v>2066</v>
      </c>
      <c r="AA5625" s="609" t="s">
        <v>19</v>
      </c>
    </row>
    <row r="5626" spans="1:27" ht="18">
      <c r="A5626" s="2714"/>
      <c r="B5626" s="371">
        <v>103</v>
      </c>
      <c r="C5626" s="371" t="s">
        <v>2791</v>
      </c>
      <c r="D5626" s="2716">
        <f t="shared" si="606"/>
        <v>0</v>
      </c>
      <c r="E5626" s="2721">
        <v>1</v>
      </c>
      <c r="F5626" s="293"/>
      <c r="G5626" s="2467" t="s">
        <v>2792</v>
      </c>
      <c r="H5626" s="2298"/>
      <c r="I5626" s="2275"/>
      <c r="J5626" s="2296"/>
      <c r="L5626" s="437"/>
      <c r="M5626" s="438"/>
      <c r="N5626" s="439"/>
      <c r="O5626" s="437"/>
      <c r="P5626" s="438"/>
      <c r="Q5626" s="442"/>
      <c r="R5626" s="443"/>
      <c r="S5626" s="364"/>
      <c r="Z5626" s="609" t="s">
        <v>2066</v>
      </c>
      <c r="AA5626" s="609" t="s">
        <v>19</v>
      </c>
    </row>
    <row r="5627" spans="1:27" ht="18">
      <c r="A5627" s="2714"/>
      <c r="B5627" s="371">
        <v>104</v>
      </c>
      <c r="C5627" s="371" t="s">
        <v>2791</v>
      </c>
      <c r="D5627" s="2716">
        <f t="shared" si="606"/>
        <v>0</v>
      </c>
      <c r="E5627" s="2721">
        <v>1</v>
      </c>
      <c r="F5627" s="293"/>
      <c r="G5627" s="2467" t="s">
        <v>2792</v>
      </c>
      <c r="H5627" s="2298"/>
      <c r="I5627" s="2275"/>
      <c r="J5627" s="2296"/>
      <c r="K5627" s="439"/>
      <c r="L5627" s="437"/>
      <c r="M5627" s="438"/>
      <c r="N5627" s="439"/>
      <c r="O5627" s="437"/>
      <c r="P5627" s="438"/>
      <c r="Q5627" s="442"/>
      <c r="R5627" s="443"/>
      <c r="S5627" s="364"/>
      <c r="Z5627" s="609" t="s">
        <v>2066</v>
      </c>
      <c r="AA5627" s="609" t="s">
        <v>19</v>
      </c>
    </row>
    <row r="5628" spans="1:27" ht="18">
      <c r="A5628" s="2714"/>
      <c r="B5628" s="371">
        <v>105</v>
      </c>
      <c r="C5628" s="371" t="s">
        <v>2791</v>
      </c>
      <c r="D5628" s="2716">
        <f t="shared" si="606"/>
        <v>0</v>
      </c>
      <c r="E5628" s="2721">
        <v>1</v>
      </c>
      <c r="F5628" s="293"/>
      <c r="G5628" s="2467" t="s">
        <v>2792</v>
      </c>
      <c r="H5628" s="2298"/>
      <c r="I5628" s="2275"/>
      <c r="J5628" s="2296"/>
      <c r="K5628" s="439"/>
      <c r="L5628" s="437"/>
      <c r="M5628" s="438"/>
      <c r="N5628" s="439"/>
      <c r="O5628" s="437"/>
      <c r="P5628" s="438"/>
      <c r="Q5628" s="442"/>
      <c r="R5628" s="443"/>
      <c r="S5628" s="364"/>
      <c r="Z5628" s="609" t="s">
        <v>2066</v>
      </c>
      <c r="AA5628" s="609" t="s">
        <v>19</v>
      </c>
    </row>
    <row r="5629" spans="1:27" ht="18">
      <c r="A5629" s="2714"/>
      <c r="B5629" s="371">
        <v>106</v>
      </c>
      <c r="C5629" s="371" t="s">
        <v>2791</v>
      </c>
      <c r="D5629" s="2716">
        <f t="shared" si="606"/>
        <v>0</v>
      </c>
      <c r="E5629" s="2721">
        <v>1</v>
      </c>
      <c r="F5629" s="293"/>
      <c r="G5629" s="2467" t="s">
        <v>2792</v>
      </c>
      <c r="H5629" s="2298"/>
      <c r="I5629" s="2275"/>
      <c r="J5629" s="2296"/>
      <c r="K5629" s="439"/>
      <c r="L5629" s="437"/>
      <c r="M5629" s="438"/>
      <c r="N5629" s="439"/>
      <c r="O5629" s="437"/>
      <c r="P5629" s="438"/>
      <c r="Q5629" s="442"/>
      <c r="R5629" s="443"/>
      <c r="S5629" s="364"/>
      <c r="Z5629" s="609" t="s">
        <v>2066</v>
      </c>
      <c r="AA5629" s="609" t="s">
        <v>19</v>
      </c>
    </row>
    <row r="5630" spans="1:27" ht="18">
      <c r="A5630" s="2714"/>
      <c r="B5630" s="371">
        <v>107</v>
      </c>
      <c r="C5630" s="371" t="s">
        <v>2791</v>
      </c>
      <c r="D5630" s="2716">
        <f t="shared" si="606"/>
        <v>0</v>
      </c>
      <c r="E5630" s="2721">
        <v>1</v>
      </c>
      <c r="F5630" s="293"/>
      <c r="G5630" s="2467" t="s">
        <v>2792</v>
      </c>
      <c r="H5630" s="2298"/>
      <c r="I5630" s="2275"/>
      <c r="J5630" s="2296"/>
      <c r="K5630" s="439"/>
      <c r="L5630" s="437"/>
      <c r="M5630" s="438"/>
      <c r="N5630" s="439"/>
      <c r="O5630" s="437"/>
      <c r="P5630" s="438"/>
      <c r="Q5630" s="442"/>
      <c r="R5630" s="443"/>
      <c r="S5630" s="364"/>
      <c r="Z5630" s="609" t="s">
        <v>2066</v>
      </c>
      <c r="AA5630" s="609" t="s">
        <v>19</v>
      </c>
    </row>
    <row r="5631" spans="1:27" ht="18">
      <c r="A5631" s="2714"/>
      <c r="B5631" s="371">
        <v>108</v>
      </c>
      <c r="C5631" s="371" t="s">
        <v>2791</v>
      </c>
      <c r="D5631" s="2716">
        <f t="shared" si="606"/>
        <v>0</v>
      </c>
      <c r="E5631" s="2721">
        <v>1</v>
      </c>
      <c r="F5631" s="293"/>
      <c r="G5631" s="2467" t="s">
        <v>2792</v>
      </c>
      <c r="H5631" s="2298"/>
      <c r="I5631" s="2275"/>
      <c r="J5631" s="2296"/>
      <c r="K5631" s="439"/>
      <c r="L5631" s="437"/>
      <c r="M5631" s="438"/>
      <c r="N5631" s="439"/>
      <c r="O5631" s="437"/>
      <c r="P5631" s="438"/>
      <c r="Q5631" s="442"/>
      <c r="R5631" s="443"/>
      <c r="S5631" s="364"/>
      <c r="Z5631" s="609" t="s">
        <v>2066</v>
      </c>
      <c r="AA5631" s="609" t="s">
        <v>19</v>
      </c>
    </row>
    <row r="5632" spans="1:27" ht="18.75" thickBot="1">
      <c r="A5632" s="2714"/>
      <c r="B5632" s="371"/>
      <c r="C5632" s="371"/>
      <c r="D5632" s="2716">
        <f t="shared" si="606"/>
        <v>1</v>
      </c>
      <c r="E5632" s="2721" t="s">
        <v>2751</v>
      </c>
      <c r="F5632" s="293"/>
      <c r="G5632" s="374" t="s">
        <v>2752</v>
      </c>
      <c r="H5632" s="2261"/>
      <c r="I5632" s="1478">
        <f>SUMPRODUCT($E5623:$E5631,I5623:I5631)</f>
        <v>0</v>
      </c>
      <c r="J5632" s="1479">
        <f>SUMPRODUCT($E5623:$E5631,J5623:J5631)</f>
        <v>0</v>
      </c>
      <c r="K5632" s="439"/>
      <c r="L5632" s="437"/>
      <c r="M5632" s="440"/>
      <c r="N5632" s="439"/>
      <c r="O5632" s="437"/>
      <c r="P5632" s="440"/>
      <c r="Q5632" s="442"/>
      <c r="R5632" s="443"/>
      <c r="S5632" s="364"/>
      <c r="Z5632" s="609" t="s">
        <v>2066</v>
      </c>
      <c r="AA5632" s="609" t="s">
        <v>19</v>
      </c>
    </row>
    <row r="5633" spans="1:27" ht="18">
      <c r="A5633" s="2714"/>
      <c r="B5633" s="371"/>
      <c r="C5633" s="371" t="s">
        <v>2755</v>
      </c>
      <c r="D5633" s="2716"/>
      <c r="F5633" s="293"/>
      <c r="G5633" s="376"/>
      <c r="H5633" s="393"/>
      <c r="I5633" s="396"/>
      <c r="J5633" s="315"/>
      <c r="K5633" s="426"/>
      <c r="L5633" s="427"/>
      <c r="M5633" s="425"/>
      <c r="N5633" s="426"/>
      <c r="O5633" s="427"/>
      <c r="P5633" s="425"/>
      <c r="Q5633" s="442"/>
      <c r="R5633" s="443"/>
      <c r="S5633" s="364"/>
      <c r="Z5633" s="609" t="s">
        <v>2066</v>
      </c>
      <c r="AA5633" s="609" t="s">
        <v>19</v>
      </c>
    </row>
    <row r="5634" spans="1:27" ht="24">
      <c r="A5634" s="2714" t="s">
        <v>2067</v>
      </c>
      <c r="B5634" s="371">
        <v>5.12</v>
      </c>
      <c r="C5634" s="371"/>
      <c r="D5634" s="2716" t="str">
        <f>VLOOKUP($A5634,Sheet_NoteList,2,0)</f>
        <v>出售商品、提供劳务的关联交易情况</v>
      </c>
      <c r="E5634" s="2716" t="s">
        <v>2742</v>
      </c>
      <c r="F5634" s="293"/>
      <c r="G5634" s="372" t="str">
        <f>"("&amp;B5634&amp;")"&amp;D5634</f>
        <v>(5.12)出售商品、提供劳务的关联交易情况</v>
      </c>
      <c r="H5634" s="1517" t="str">
        <f>$A5634</f>
        <v>9120n</v>
      </c>
      <c r="I5634" s="343" t="s">
        <v>2743</v>
      </c>
      <c r="J5634" s="301" t="s">
        <v>2744</v>
      </c>
      <c r="K5634" s="2210">
        <f>I5645</f>
        <v>0</v>
      </c>
      <c r="L5634" s="349"/>
      <c r="M5634" s="301" t="s">
        <v>2745</v>
      </c>
      <c r="N5634" s="2210">
        <f>J5645</f>
        <v>0</v>
      </c>
      <c r="O5634" s="349"/>
      <c r="P5634" s="301"/>
      <c r="S5634" s="364"/>
      <c r="Z5634" s="609" t="s">
        <v>2066</v>
      </c>
      <c r="AA5634" s="609" t="s">
        <v>19</v>
      </c>
    </row>
    <row r="5635" spans="1:27" ht="0.75" customHeight="1" thickBot="1">
      <c r="A5635" s="2714"/>
      <c r="B5635" s="371"/>
      <c r="C5635" s="371"/>
      <c r="D5635" s="2716"/>
      <c r="E5635" s="586"/>
      <c r="F5635" s="586"/>
      <c r="G5635" s="2224" t="s">
        <v>4438</v>
      </c>
      <c r="H5635" s="371" t="s">
        <v>3067</v>
      </c>
      <c r="I5635" s="371" t="s">
        <v>2748</v>
      </c>
      <c r="J5635" s="371" t="s">
        <v>2948</v>
      </c>
      <c r="K5635" s="428"/>
      <c r="L5635" s="428"/>
      <c r="M5635" s="433"/>
      <c r="N5635" s="428"/>
      <c r="O5635" s="428"/>
      <c r="P5635" s="433"/>
      <c r="Q5635" s="442"/>
      <c r="R5635" s="443"/>
      <c r="S5635" s="364"/>
      <c r="Z5635" s="609" t="s">
        <v>2066</v>
      </c>
      <c r="AA5635" s="609" t="s">
        <v>19</v>
      </c>
    </row>
    <row r="5636" spans="1:27" ht="18">
      <c r="A5636" s="2714"/>
      <c r="B5636" s="371"/>
      <c r="C5636" s="371"/>
      <c r="D5636" s="2716"/>
      <c r="E5636" s="586" t="s">
        <v>2749</v>
      </c>
      <c r="F5636" s="414"/>
      <c r="G5636" s="2457" t="s">
        <v>4436</v>
      </c>
      <c r="H5636" s="2464" t="s">
        <v>4437</v>
      </c>
      <c r="I5636" s="2464" t="str">
        <f>$W$4&amp;"发生额"</f>
        <v>2019年度发生额</v>
      </c>
      <c r="J5636" s="2469" t="str">
        <f>$W$5&amp;"发生额"</f>
        <v>2018年度发生额</v>
      </c>
      <c r="K5636" s="355" t="s">
        <v>5350</v>
      </c>
      <c r="L5636" s="434"/>
      <c r="M5636" s="435"/>
      <c r="N5636" s="434"/>
      <c r="O5636" s="434"/>
      <c r="P5636" s="435"/>
      <c r="Q5636" s="442"/>
      <c r="R5636" s="443"/>
      <c r="S5636" s="364"/>
      <c r="Z5636" s="609" t="s">
        <v>2066</v>
      </c>
      <c r="AA5636" s="609" t="s">
        <v>19</v>
      </c>
    </row>
    <row r="5637" spans="1:27" ht="18">
      <c r="A5637" s="2714"/>
      <c r="B5637" s="371">
        <v>101</v>
      </c>
      <c r="C5637" s="371" t="s">
        <v>2791</v>
      </c>
      <c r="D5637" s="2716">
        <f t="shared" ref="D5637:D5645" si="607">IF(OR(G5637="*",G5637="",G5637=0),0,COUNTIF($G$5637:$G$5645,G5637))</f>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8">
      <c r="A5638" s="2714"/>
      <c r="B5638" s="371">
        <v>102</v>
      </c>
      <c r="C5638" s="371" t="s">
        <v>2791</v>
      </c>
      <c r="D5638" s="2716">
        <f t="shared" si="607"/>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103</v>
      </c>
      <c r="C5639" s="371" t="s">
        <v>2791</v>
      </c>
      <c r="D5639" s="2716">
        <f t="shared" si="607"/>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104</v>
      </c>
      <c r="C5640" s="371" t="s">
        <v>2791</v>
      </c>
      <c r="D5640" s="2716">
        <f t="shared" si="607"/>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105</v>
      </c>
      <c r="C5641" s="371" t="s">
        <v>2791</v>
      </c>
      <c r="D5641" s="2716">
        <f t="shared" si="607"/>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
      <c r="A5642" s="2714"/>
      <c r="B5642" s="371">
        <v>106</v>
      </c>
      <c r="C5642" s="371" t="s">
        <v>2791</v>
      </c>
      <c r="D5642" s="2716">
        <f t="shared" si="607"/>
        <v>0</v>
      </c>
      <c r="E5642" s="2721">
        <v>1</v>
      </c>
      <c r="F5642" s="293"/>
      <c r="G5642" s="2467" t="s">
        <v>2792</v>
      </c>
      <c r="H5642" s="2298"/>
      <c r="I5642" s="2275"/>
      <c r="J5642" s="2296"/>
      <c r="K5642" s="439"/>
      <c r="L5642" s="437"/>
      <c r="M5642" s="438"/>
      <c r="N5642" s="439"/>
      <c r="O5642" s="437"/>
      <c r="P5642" s="438"/>
      <c r="Q5642" s="442"/>
      <c r="R5642" s="443"/>
      <c r="S5642" s="364"/>
      <c r="Z5642" s="609" t="s">
        <v>2066</v>
      </c>
      <c r="AA5642" s="609" t="s">
        <v>19</v>
      </c>
    </row>
    <row r="5643" spans="1:27" ht="18">
      <c r="A5643" s="2714"/>
      <c r="B5643" s="371">
        <v>107</v>
      </c>
      <c r="C5643" s="371" t="s">
        <v>2791</v>
      </c>
      <c r="D5643" s="2716">
        <f t="shared" si="607"/>
        <v>0</v>
      </c>
      <c r="E5643" s="2721">
        <v>1</v>
      </c>
      <c r="F5643" s="293"/>
      <c r="G5643" s="2467" t="s">
        <v>2792</v>
      </c>
      <c r="H5643" s="2298"/>
      <c r="I5643" s="2275"/>
      <c r="J5643" s="2296"/>
      <c r="K5643" s="439"/>
      <c r="L5643" s="437"/>
      <c r="M5643" s="438"/>
      <c r="N5643" s="439"/>
      <c r="O5643" s="437"/>
      <c r="P5643" s="438"/>
      <c r="Q5643" s="442"/>
      <c r="R5643" s="443"/>
      <c r="S5643" s="364"/>
      <c r="Z5643" s="609" t="s">
        <v>2066</v>
      </c>
      <c r="AA5643" s="609" t="s">
        <v>19</v>
      </c>
    </row>
    <row r="5644" spans="1:27" ht="18">
      <c r="A5644" s="2714"/>
      <c r="B5644" s="371">
        <v>108</v>
      </c>
      <c r="C5644" s="371" t="s">
        <v>2791</v>
      </c>
      <c r="D5644" s="2716">
        <f t="shared" si="607"/>
        <v>0</v>
      </c>
      <c r="E5644" s="2721">
        <v>1</v>
      </c>
      <c r="F5644" s="293"/>
      <c r="G5644" s="2467" t="s">
        <v>2792</v>
      </c>
      <c r="H5644" s="2298"/>
      <c r="I5644" s="2275"/>
      <c r="J5644" s="2296"/>
      <c r="K5644" s="439"/>
      <c r="L5644" s="437"/>
      <c r="M5644" s="438"/>
      <c r="N5644" s="439"/>
      <c r="O5644" s="437"/>
      <c r="P5644" s="438"/>
      <c r="Q5644" s="442"/>
      <c r="R5644" s="443"/>
      <c r="S5644" s="364"/>
      <c r="Z5644" s="609" t="s">
        <v>2066</v>
      </c>
      <c r="AA5644" s="609" t="s">
        <v>19</v>
      </c>
    </row>
    <row r="5645" spans="1:27" ht="18.75" thickBot="1">
      <c r="A5645" s="2714"/>
      <c r="B5645" s="371"/>
      <c r="C5645" s="371"/>
      <c r="D5645" s="2716">
        <f t="shared" si="607"/>
        <v>1</v>
      </c>
      <c r="E5645" s="2721" t="s">
        <v>2751</v>
      </c>
      <c r="F5645" s="293"/>
      <c r="G5645" s="374" t="s">
        <v>2752</v>
      </c>
      <c r="H5645" s="2261"/>
      <c r="I5645" s="1478">
        <f>SUMPRODUCT($E5636:$E5644,I5636:I5644)</f>
        <v>0</v>
      </c>
      <c r="J5645" s="1479">
        <f>SUMPRODUCT($E5636:$E5644,J5636:J5644)</f>
        <v>0</v>
      </c>
      <c r="K5645" s="439"/>
      <c r="L5645" s="437"/>
      <c r="M5645" s="440"/>
      <c r="N5645" s="439"/>
      <c r="O5645" s="437"/>
      <c r="P5645" s="440"/>
      <c r="Q5645" s="442"/>
      <c r="R5645" s="443"/>
      <c r="S5645" s="364"/>
      <c r="Z5645" s="609" t="s">
        <v>2066</v>
      </c>
      <c r="AA5645" s="609" t="s">
        <v>19</v>
      </c>
    </row>
    <row r="5646" spans="1:27" ht="18">
      <c r="A5646" s="2714"/>
      <c r="B5646" s="371"/>
      <c r="C5646" s="371" t="s">
        <v>2755</v>
      </c>
      <c r="D5646" s="2716"/>
      <c r="F5646" s="293"/>
      <c r="G5646" s="376"/>
      <c r="H5646" s="393"/>
      <c r="I5646" s="396"/>
      <c r="J5646" s="315"/>
      <c r="K5646" s="426"/>
      <c r="L5646" s="427"/>
      <c r="M5646" s="425"/>
      <c r="N5646" s="426"/>
      <c r="O5646" s="427"/>
      <c r="P5646" s="425"/>
      <c r="Q5646" s="442"/>
      <c r="R5646" s="443"/>
      <c r="S5646" s="364"/>
      <c r="Z5646" s="609" t="s">
        <v>2066</v>
      </c>
      <c r="AA5646" s="609" t="s">
        <v>19</v>
      </c>
    </row>
    <row r="5647" spans="1:27" ht="24">
      <c r="A5647" s="2714" t="s">
        <v>2069</v>
      </c>
      <c r="B5647" s="371">
        <v>5.21</v>
      </c>
      <c r="C5647" s="371"/>
      <c r="D5647" s="2716" t="str">
        <f>VLOOKUP($A5647,Sheet_NoteList,2,0)</f>
        <v>受托管理或承包情况表</v>
      </c>
      <c r="E5647" s="2716" t="s">
        <v>2742</v>
      </c>
      <c r="F5647" s="294"/>
      <c r="G5647" s="483" t="str">
        <f>"("&amp;B5647&amp;")"&amp;D5647</f>
        <v>(5.21)受托管理或承包情况表</v>
      </c>
      <c r="H5647" s="1517" t="str">
        <f>$A5647</f>
        <v>9120c</v>
      </c>
      <c r="I5647" s="343" t="s">
        <v>2743</v>
      </c>
      <c r="J5647" s="301"/>
      <c r="K5647" s="3071"/>
      <c r="L5647" s="315"/>
      <c r="M5647" s="301"/>
      <c r="N5647" s="3071"/>
      <c r="O5647" s="315"/>
      <c r="P5647" s="301"/>
      <c r="S5647" s="364"/>
      <c r="Z5647" s="609" t="s">
        <v>2066</v>
      </c>
      <c r="AA5647" s="609"/>
    </row>
    <row r="5648" spans="1:27" ht="0.75" customHeight="1" thickBot="1">
      <c r="A5648" s="2714"/>
      <c r="B5648" s="371"/>
      <c r="C5648" s="371"/>
      <c r="D5648" s="371"/>
      <c r="E5648" s="586"/>
      <c r="F5648" s="586"/>
      <c r="G5648" s="586" t="s">
        <v>4439</v>
      </c>
      <c r="H5648" s="371" t="s">
        <v>4440</v>
      </c>
      <c r="I5648" s="371" t="s">
        <v>4441</v>
      </c>
      <c r="J5648" s="371" t="s">
        <v>4442</v>
      </c>
      <c r="K5648" s="371" t="s">
        <v>4443</v>
      </c>
      <c r="L5648" s="371" t="s">
        <v>4444</v>
      </c>
      <c r="M5648" s="371" t="s">
        <v>4445</v>
      </c>
      <c r="N5648" s="291"/>
      <c r="O5648" s="291"/>
      <c r="P5648" s="291"/>
      <c r="S5648" s="364"/>
      <c r="Z5648" s="609" t="s">
        <v>2066</v>
      </c>
      <c r="AA5648" s="609"/>
    </row>
    <row r="5649" spans="1:27" ht="24">
      <c r="A5649" s="2714"/>
      <c r="B5649" s="371"/>
      <c r="C5649" s="371"/>
      <c r="D5649" s="371"/>
      <c r="E5649" s="586" t="s">
        <v>2749</v>
      </c>
      <c r="F5649" s="363"/>
      <c r="G5649" s="2457" t="s">
        <v>5238</v>
      </c>
      <c r="H5649" s="2464" t="s">
        <v>5239</v>
      </c>
      <c r="I5649" s="2464" t="s">
        <v>5240</v>
      </c>
      <c r="J5649" s="2464" t="s">
        <v>5241</v>
      </c>
      <c r="K5649" s="2464" t="s">
        <v>5242</v>
      </c>
      <c r="L5649" s="2464" t="s">
        <v>5243</v>
      </c>
      <c r="M5649" s="2469" t="s">
        <v>5244</v>
      </c>
      <c r="N5649" s="355" t="s">
        <v>5350</v>
      </c>
      <c r="O5649" s="291"/>
      <c r="P5649" s="291"/>
      <c r="S5649" s="364"/>
      <c r="Z5649" s="609" t="s">
        <v>2066</v>
      </c>
      <c r="AA5649" s="609"/>
    </row>
    <row r="5650" spans="1:27" ht="18">
      <c r="A5650" s="2714"/>
      <c r="B5650" s="371">
        <v>101</v>
      </c>
      <c r="C5650" s="371" t="s">
        <v>2791</v>
      </c>
      <c r="D5650" s="2716">
        <f t="shared" ref="D5650:D5655" si="608">IF(OR(G5650="*",G5650="",G5650=0),0,COUNTIF($G$5650:$G$5655,G5650))</f>
        <v>0</v>
      </c>
      <c r="E5650" s="2721">
        <v>1</v>
      </c>
      <c r="F5650" s="294"/>
      <c r="G5650" s="2467"/>
      <c r="H5650" s="2298"/>
      <c r="I5650" s="2298"/>
      <c r="J5650" s="2298"/>
      <c r="K5650" s="2298"/>
      <c r="L5650" s="2298"/>
      <c r="M5650" s="2296"/>
      <c r="N5650" s="291"/>
      <c r="O5650" s="291"/>
      <c r="P5650" s="291"/>
      <c r="S5650" s="364"/>
      <c r="Z5650" s="609" t="s">
        <v>2066</v>
      </c>
      <c r="AA5650" s="609"/>
    </row>
    <row r="5651" spans="1:27" ht="18">
      <c r="A5651" s="2714"/>
      <c r="B5651" s="371">
        <v>102</v>
      </c>
      <c r="C5651" s="371" t="s">
        <v>2791</v>
      </c>
      <c r="D5651" s="2716">
        <f t="shared" si="608"/>
        <v>0</v>
      </c>
      <c r="E5651" s="2721">
        <v>1</v>
      </c>
      <c r="F5651" s="294"/>
      <c r="G5651" s="2467" t="s">
        <v>2792</v>
      </c>
      <c r="H5651" s="2298"/>
      <c r="I5651" s="2298"/>
      <c r="J5651" s="2298"/>
      <c r="K5651" s="2298"/>
      <c r="L5651" s="2298"/>
      <c r="M5651" s="2296"/>
      <c r="N5651" s="291"/>
      <c r="O5651" s="291"/>
      <c r="P5651" s="291"/>
      <c r="S5651" s="364"/>
      <c r="Z5651" s="609" t="s">
        <v>2066</v>
      </c>
      <c r="AA5651" s="609"/>
    </row>
    <row r="5652" spans="1:27" ht="18">
      <c r="A5652" s="2714"/>
      <c r="B5652" s="371">
        <v>103</v>
      </c>
      <c r="C5652" s="371" t="s">
        <v>2791</v>
      </c>
      <c r="D5652" s="2716">
        <f t="shared" si="608"/>
        <v>0</v>
      </c>
      <c r="E5652" s="2721">
        <v>1</v>
      </c>
      <c r="F5652" s="294"/>
      <c r="G5652" s="2467" t="s">
        <v>2792</v>
      </c>
      <c r="H5652" s="2298"/>
      <c r="I5652" s="2298"/>
      <c r="J5652" s="2298"/>
      <c r="K5652" s="2298"/>
      <c r="L5652" s="2298"/>
      <c r="M5652" s="2296"/>
      <c r="N5652" s="291"/>
      <c r="O5652" s="291"/>
      <c r="P5652" s="291"/>
      <c r="S5652" s="364"/>
      <c r="Z5652" s="609" t="s">
        <v>2066</v>
      </c>
      <c r="AA5652" s="609"/>
    </row>
    <row r="5653" spans="1:27" ht="18">
      <c r="A5653" s="2714"/>
      <c r="B5653" s="371">
        <v>104</v>
      </c>
      <c r="C5653" s="371" t="s">
        <v>2791</v>
      </c>
      <c r="D5653" s="2716">
        <f t="shared" si="608"/>
        <v>0</v>
      </c>
      <c r="E5653" s="2721">
        <v>1</v>
      </c>
      <c r="F5653" s="294"/>
      <c r="G5653" s="2467" t="s">
        <v>2792</v>
      </c>
      <c r="H5653" s="2298"/>
      <c r="I5653" s="2298"/>
      <c r="J5653" s="2298"/>
      <c r="K5653" s="2298"/>
      <c r="L5653" s="2298"/>
      <c r="M5653" s="2296"/>
      <c r="N5653" s="291"/>
      <c r="O5653" s="291"/>
      <c r="P5653" s="291"/>
      <c r="S5653" s="364"/>
      <c r="Z5653" s="609" t="s">
        <v>2066</v>
      </c>
      <c r="AA5653" s="609"/>
    </row>
    <row r="5654" spans="1:27" ht="18">
      <c r="A5654" s="2714"/>
      <c r="B5654" s="371">
        <v>105</v>
      </c>
      <c r="C5654" s="371" t="s">
        <v>2791</v>
      </c>
      <c r="D5654" s="2716">
        <f t="shared" si="608"/>
        <v>0</v>
      </c>
      <c r="E5654" s="2721">
        <v>1</v>
      </c>
      <c r="F5654" s="294"/>
      <c r="G5654" s="2467" t="s">
        <v>2792</v>
      </c>
      <c r="H5654" s="2298"/>
      <c r="I5654" s="2298"/>
      <c r="J5654" s="2298"/>
      <c r="K5654" s="2298"/>
      <c r="L5654" s="2298"/>
      <c r="M5654" s="2296"/>
      <c r="N5654" s="291"/>
      <c r="O5654" s="291"/>
      <c r="P5654" s="291"/>
      <c r="S5654" s="364"/>
      <c r="Z5654" s="609" t="s">
        <v>2066</v>
      </c>
      <c r="AA5654" s="609"/>
    </row>
    <row r="5655" spans="1:27" ht="18.75" thickBot="1">
      <c r="A5655" s="2714"/>
      <c r="B5655" s="371"/>
      <c r="C5655" s="371"/>
      <c r="D5655" s="2716">
        <f t="shared" si="608"/>
        <v>1</v>
      </c>
      <c r="E5655" s="2721" t="s">
        <v>3032</v>
      </c>
      <c r="F5655" s="294"/>
      <c r="G5655" s="374" t="s">
        <v>2752</v>
      </c>
      <c r="H5655" s="2261"/>
      <c r="I5655" s="2261"/>
      <c r="J5655" s="2261"/>
      <c r="K5655" s="2261"/>
      <c r="L5655" s="2261"/>
      <c r="M5655" s="1479">
        <f>SUMPRODUCT($E5649:$E5654,M5649:M5654)</f>
        <v>0</v>
      </c>
      <c r="N5655" s="291"/>
      <c r="O5655" s="291"/>
      <c r="P5655" s="291"/>
      <c r="S5655" s="364"/>
      <c r="Z5655" s="609" t="s">
        <v>2066</v>
      </c>
      <c r="AA5655" s="609"/>
    </row>
    <row r="5656" spans="1:27" ht="18">
      <c r="A5656" s="2714"/>
      <c r="B5656" s="371"/>
      <c r="C5656" s="371" t="s">
        <v>2755</v>
      </c>
      <c r="D5656" s="371"/>
      <c r="F5656" s="294"/>
      <c r="G5656" s="301"/>
      <c r="H5656" s="393"/>
      <c r="I5656" s="393"/>
      <c r="J5656" s="393"/>
      <c r="K5656" s="393"/>
      <c r="L5656" s="393"/>
      <c r="M5656" s="315"/>
      <c r="N5656" s="291"/>
      <c r="O5656" s="291"/>
      <c r="P5656" s="291"/>
      <c r="S5656" s="364"/>
      <c r="Z5656" s="609" t="s">
        <v>2066</v>
      </c>
      <c r="AA5656" s="609"/>
    </row>
    <row r="5657" spans="1:27" ht="24">
      <c r="A5657" s="2714" t="s">
        <v>2072</v>
      </c>
      <c r="B5657" s="371">
        <v>5.22</v>
      </c>
      <c r="C5657" s="371"/>
      <c r="D5657" s="2716" t="str">
        <f>VLOOKUP($A5657,Sheet_NoteList,2,0)</f>
        <v>委托管理或出包情况表</v>
      </c>
      <c r="E5657" s="2716" t="s">
        <v>2742</v>
      </c>
      <c r="F5657" s="294"/>
      <c r="G5657" s="483" t="str">
        <f>"("&amp;B5657&amp;")"&amp;D5657</f>
        <v>(5.22)委托管理或出包情况表</v>
      </c>
      <c r="H5657" s="1517" t="str">
        <f>$A5657</f>
        <v>9120d</v>
      </c>
      <c r="I5657" s="343" t="s">
        <v>2743</v>
      </c>
      <c r="J5657" s="301"/>
      <c r="K5657" s="3071"/>
      <c r="L5657" s="315"/>
      <c r="M5657" s="301"/>
      <c r="N5657" s="3071"/>
      <c r="O5657" s="315"/>
      <c r="P5657" s="301"/>
      <c r="S5657" s="364"/>
      <c r="Z5657" s="609" t="s">
        <v>2066</v>
      </c>
      <c r="AA5657" s="609"/>
    </row>
    <row r="5658" spans="1:27" ht="0.75" customHeight="1" thickBot="1">
      <c r="A5658" s="2714"/>
      <c r="B5658" s="371"/>
      <c r="C5658" s="371"/>
      <c r="D5658" s="371"/>
      <c r="E5658" s="586"/>
      <c r="F5658" s="586"/>
      <c r="G5658" s="586" t="s">
        <v>4446</v>
      </c>
      <c r="H5658" s="371" t="s">
        <v>4440</v>
      </c>
      <c r="I5658" s="371" t="s">
        <v>4441</v>
      </c>
      <c r="J5658" s="371" t="s">
        <v>4442</v>
      </c>
      <c r="K5658" s="371" t="s">
        <v>4443</v>
      </c>
      <c r="L5658" s="371" t="s">
        <v>4444</v>
      </c>
      <c r="M5658" s="371" t="s">
        <v>4447</v>
      </c>
      <c r="N5658" s="291"/>
      <c r="O5658" s="291"/>
      <c r="P5658" s="291"/>
      <c r="S5658" s="364"/>
      <c r="Z5658" s="609" t="s">
        <v>2066</v>
      </c>
      <c r="AA5658" s="609"/>
    </row>
    <row r="5659" spans="1:27" ht="24">
      <c r="A5659" s="2714"/>
      <c r="B5659" s="371"/>
      <c r="C5659" s="371"/>
      <c r="D5659" s="371"/>
      <c r="E5659" s="586" t="s">
        <v>2749</v>
      </c>
      <c r="F5659" s="363"/>
      <c r="G5659" s="2457" t="s">
        <v>5238</v>
      </c>
      <c r="H5659" s="2464" t="s">
        <v>5239</v>
      </c>
      <c r="I5659" s="2464" t="s">
        <v>5245</v>
      </c>
      <c r="J5659" s="2464" t="s">
        <v>5246</v>
      </c>
      <c r="K5659" s="2464" t="s">
        <v>5247</v>
      </c>
      <c r="L5659" s="2464" t="s">
        <v>5248</v>
      </c>
      <c r="M5659" s="2469" t="s">
        <v>5249</v>
      </c>
      <c r="N5659" s="355" t="s">
        <v>5350</v>
      </c>
      <c r="O5659" s="291"/>
      <c r="P5659" s="291"/>
      <c r="S5659" s="364"/>
      <c r="Z5659" s="609" t="s">
        <v>2066</v>
      </c>
      <c r="AA5659" s="609"/>
    </row>
    <row r="5660" spans="1:27" ht="18">
      <c r="A5660" s="2714"/>
      <c r="B5660" s="371">
        <v>101</v>
      </c>
      <c r="C5660" s="371" t="s">
        <v>2791</v>
      </c>
      <c r="D5660" s="2716">
        <f t="shared" ref="D5660:D5665" si="609">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8">
      <c r="A5661" s="2714"/>
      <c r="B5661" s="371">
        <v>102</v>
      </c>
      <c r="C5661" s="371" t="s">
        <v>2791</v>
      </c>
      <c r="D5661" s="2716">
        <f t="shared" si="609"/>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8">
      <c r="A5662" s="2714"/>
      <c r="B5662" s="371">
        <v>103</v>
      </c>
      <c r="C5662" s="371" t="s">
        <v>2791</v>
      </c>
      <c r="D5662" s="2716">
        <f t="shared" si="609"/>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104</v>
      </c>
      <c r="C5663" s="371" t="s">
        <v>2791</v>
      </c>
      <c r="D5663" s="2716">
        <f t="shared" si="609"/>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105</v>
      </c>
      <c r="C5664" s="371" t="s">
        <v>2791</v>
      </c>
      <c r="D5664" s="2716">
        <f t="shared" si="609"/>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75" thickBot="1">
      <c r="A5665" s="2714"/>
      <c r="B5665" s="371"/>
      <c r="C5665" s="371"/>
      <c r="D5665" s="2716">
        <f t="shared" si="609"/>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8">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4" t="s">
        <v>2075</v>
      </c>
      <c r="B5667" s="371">
        <v>5.31</v>
      </c>
      <c r="C5667" s="371"/>
      <c r="D5667" s="2716" t="str">
        <f>VLOOKUP($A5667,Sheet_NoteList,2,0)</f>
        <v>关联租赁情况——公司出租</v>
      </c>
      <c r="E5667" s="2716" t="s">
        <v>2742</v>
      </c>
      <c r="F5667" s="294"/>
      <c r="G5667" s="483" t="str">
        <f>"("&amp;B5667&amp;")"&amp;D5667</f>
        <v>(5.31)关联租赁情况——公司出租</v>
      </c>
      <c r="H5667" s="1517" t="str">
        <f>$A5667</f>
        <v>9120e</v>
      </c>
      <c r="I5667" s="343" t="s">
        <v>2743</v>
      </c>
      <c r="J5667" s="301"/>
      <c r="K5667" s="3071"/>
      <c r="L5667" s="315"/>
      <c r="M5667" s="301"/>
      <c r="N5667" s="3071"/>
      <c r="O5667" s="315"/>
      <c r="P5667" s="301"/>
      <c r="S5667" s="364"/>
      <c r="Z5667" s="609" t="s">
        <v>2066</v>
      </c>
      <c r="AA5667" s="609"/>
    </row>
    <row r="5668" spans="1:27" ht="0.75" customHeight="1" thickBot="1">
      <c r="A5668" s="2714"/>
      <c r="B5668" s="371"/>
      <c r="C5668" s="371"/>
      <c r="D5668" s="371"/>
      <c r="E5668" s="586"/>
      <c r="F5668" s="586"/>
      <c r="G5668" s="586" t="s">
        <v>4448</v>
      </c>
      <c r="H5668" s="371" t="s">
        <v>4449</v>
      </c>
      <c r="I5668" s="371" t="s">
        <v>4450</v>
      </c>
      <c r="J5668" s="371" t="s">
        <v>4451</v>
      </c>
      <c r="K5668" s="301"/>
      <c r="L5668" s="301"/>
      <c r="M5668" s="301"/>
      <c r="N5668" s="291"/>
      <c r="O5668" s="291"/>
      <c r="P5668" s="291"/>
      <c r="S5668" s="364"/>
      <c r="Z5668" s="609" t="s">
        <v>2066</v>
      </c>
      <c r="AA5668" s="609"/>
    </row>
    <row r="5669" spans="1:27" ht="24">
      <c r="A5669" s="2714"/>
      <c r="B5669" s="371"/>
      <c r="C5669" s="371"/>
      <c r="D5669" s="371"/>
      <c r="E5669" s="586" t="s">
        <v>2749</v>
      </c>
      <c r="F5669" s="363"/>
      <c r="G5669" s="2457" t="s">
        <v>4452</v>
      </c>
      <c r="H5669" s="2464" t="s">
        <v>4453</v>
      </c>
      <c r="I5669" s="2464" t="str">
        <f>$W$4&amp;"确认的租赁收入"</f>
        <v>2019年度确认的租赁收入</v>
      </c>
      <c r="J5669" s="2469" t="str">
        <f>$W$5&amp;"确认的租赁收入"</f>
        <v>2018年度确认的租赁收入</v>
      </c>
      <c r="K5669" s="355" t="s">
        <v>5350</v>
      </c>
      <c r="L5669" s="301"/>
      <c r="M5669" s="301"/>
      <c r="N5669" s="291"/>
      <c r="O5669" s="291"/>
      <c r="P5669" s="291"/>
      <c r="S5669" s="364"/>
      <c r="Z5669" s="609" t="s">
        <v>2066</v>
      </c>
      <c r="AA5669" s="609"/>
    </row>
    <row r="5670" spans="1:27" ht="18">
      <c r="A5670" s="2714"/>
      <c r="B5670" s="371">
        <v>101</v>
      </c>
      <c r="C5670" s="371" t="s">
        <v>2791</v>
      </c>
      <c r="D5670" s="2716">
        <f t="shared" ref="D5670:D5675" si="610">IF(OR(G5670="*",G5670="",G5670=0),0,COUNTIF($G$5670:$G$5675,G5670))</f>
        <v>0</v>
      </c>
      <c r="E5670" s="2721">
        <v>1</v>
      </c>
      <c r="F5670" s="294"/>
      <c r="G5670" s="2467" t="s">
        <v>2792</v>
      </c>
      <c r="H5670" s="2298"/>
      <c r="I5670" s="2275"/>
      <c r="J5670" s="2296"/>
      <c r="K5670" s="301"/>
      <c r="L5670" s="301"/>
      <c r="M5670" s="301"/>
      <c r="N5670" s="291"/>
      <c r="O5670" s="291"/>
      <c r="P5670" s="291"/>
      <c r="S5670" s="364"/>
      <c r="Z5670" s="609" t="s">
        <v>2066</v>
      </c>
      <c r="AA5670" s="609"/>
    </row>
    <row r="5671" spans="1:27" ht="18">
      <c r="A5671" s="2714"/>
      <c r="B5671" s="371">
        <v>102</v>
      </c>
      <c r="C5671" s="371" t="s">
        <v>2791</v>
      </c>
      <c r="D5671" s="2716">
        <f t="shared" si="610"/>
        <v>0</v>
      </c>
      <c r="E5671" s="2721">
        <v>1</v>
      </c>
      <c r="F5671" s="294"/>
      <c r="G5671" s="2467" t="s">
        <v>2792</v>
      </c>
      <c r="H5671" s="2298"/>
      <c r="I5671" s="2275"/>
      <c r="J5671" s="2296"/>
      <c r="K5671" s="301"/>
      <c r="L5671" s="301"/>
      <c r="M5671" s="301"/>
      <c r="N5671" s="291"/>
      <c r="O5671" s="291"/>
      <c r="P5671" s="291"/>
      <c r="S5671" s="364"/>
      <c r="Z5671" s="609" t="s">
        <v>2066</v>
      </c>
      <c r="AA5671" s="609"/>
    </row>
    <row r="5672" spans="1:27" ht="18">
      <c r="A5672" s="2714"/>
      <c r="B5672" s="371">
        <v>103</v>
      </c>
      <c r="C5672" s="371" t="s">
        <v>2791</v>
      </c>
      <c r="D5672" s="2716">
        <f t="shared" si="610"/>
        <v>0</v>
      </c>
      <c r="E5672" s="2721">
        <v>1</v>
      </c>
      <c r="F5672" s="294"/>
      <c r="G5672" s="2467" t="s">
        <v>2792</v>
      </c>
      <c r="H5672" s="2298"/>
      <c r="I5672" s="2275"/>
      <c r="J5672" s="2296"/>
      <c r="K5672" s="301"/>
      <c r="L5672" s="301"/>
      <c r="M5672" s="301"/>
      <c r="N5672" s="291"/>
      <c r="O5672" s="291"/>
      <c r="P5672" s="291"/>
      <c r="S5672" s="364"/>
      <c r="Z5672" s="609" t="s">
        <v>2066</v>
      </c>
      <c r="AA5672" s="609"/>
    </row>
    <row r="5673" spans="1:27" ht="18">
      <c r="A5673" s="2714"/>
      <c r="B5673" s="371">
        <v>104</v>
      </c>
      <c r="C5673" s="371" t="s">
        <v>2791</v>
      </c>
      <c r="D5673" s="2716">
        <f t="shared" si="610"/>
        <v>0</v>
      </c>
      <c r="E5673" s="2721">
        <v>1</v>
      </c>
      <c r="F5673" s="294"/>
      <c r="G5673" s="2467" t="s">
        <v>2792</v>
      </c>
      <c r="H5673" s="2298"/>
      <c r="I5673" s="2275"/>
      <c r="J5673" s="2296"/>
      <c r="K5673" s="301"/>
      <c r="L5673" s="301"/>
      <c r="M5673" s="301"/>
      <c r="N5673" s="291"/>
      <c r="O5673" s="291"/>
      <c r="P5673" s="291"/>
      <c r="S5673" s="364"/>
      <c r="Z5673" s="609" t="s">
        <v>2066</v>
      </c>
      <c r="AA5673" s="609"/>
    </row>
    <row r="5674" spans="1:27" ht="18">
      <c r="A5674" s="2714"/>
      <c r="B5674" s="371">
        <v>105</v>
      </c>
      <c r="C5674" s="371" t="s">
        <v>2791</v>
      </c>
      <c r="D5674" s="2716">
        <f t="shared" si="610"/>
        <v>0</v>
      </c>
      <c r="E5674" s="2721">
        <v>1</v>
      </c>
      <c r="F5674" s="294"/>
      <c r="G5674" s="2467" t="s">
        <v>2792</v>
      </c>
      <c r="H5674" s="2298"/>
      <c r="I5674" s="2275"/>
      <c r="J5674" s="2296"/>
      <c r="K5674" s="301"/>
      <c r="L5674" s="301"/>
      <c r="M5674" s="301"/>
      <c r="N5674" s="291"/>
      <c r="O5674" s="291"/>
      <c r="P5674" s="291"/>
      <c r="S5674" s="364"/>
      <c r="Z5674" s="609" t="s">
        <v>2066</v>
      </c>
      <c r="AA5674" s="609"/>
    </row>
    <row r="5675" spans="1:27" ht="18.75" thickBot="1">
      <c r="A5675" s="2714"/>
      <c r="B5675" s="371"/>
      <c r="C5675" s="371"/>
      <c r="D5675" s="2716">
        <f t="shared" si="610"/>
        <v>1</v>
      </c>
      <c r="E5675" s="2721" t="s">
        <v>3032</v>
      </c>
      <c r="F5675" s="294"/>
      <c r="G5675" s="374" t="s">
        <v>2752</v>
      </c>
      <c r="H5675" s="2261"/>
      <c r="I5675" s="1478">
        <f>SUMPRODUCT($E5669:$E5674,I5669:I5674)</f>
        <v>0</v>
      </c>
      <c r="J5675" s="1479">
        <f>SUMPRODUCT($E5669:$E5674,J5669:J5674)</f>
        <v>0</v>
      </c>
      <c r="K5675" s="301"/>
      <c r="L5675" s="301"/>
      <c r="M5675" s="301"/>
      <c r="N5675" s="291"/>
      <c r="O5675" s="291"/>
      <c r="P5675" s="291"/>
      <c r="S5675" s="364"/>
      <c r="Z5675" s="609" t="s">
        <v>2066</v>
      </c>
      <c r="AA5675" s="609"/>
    </row>
    <row r="5676" spans="1:27" ht="18">
      <c r="A5676" s="2714"/>
      <c r="B5676" s="371"/>
      <c r="C5676" s="371" t="s">
        <v>2755</v>
      </c>
      <c r="D5676" s="371"/>
      <c r="F5676" s="294"/>
      <c r="G5676" s="301"/>
      <c r="H5676" s="393"/>
      <c r="I5676" s="315"/>
      <c r="J5676" s="315"/>
      <c r="K5676" s="301"/>
      <c r="L5676" s="301"/>
      <c r="M5676" s="301"/>
      <c r="N5676" s="291"/>
      <c r="O5676" s="291"/>
      <c r="P5676" s="291"/>
      <c r="S5676" s="364"/>
      <c r="Z5676" s="609" t="s">
        <v>2066</v>
      </c>
      <c r="AA5676" s="609"/>
    </row>
    <row r="5677" spans="1:27" ht="24">
      <c r="A5677" s="2714" t="s">
        <v>2077</v>
      </c>
      <c r="B5677" s="371">
        <v>5.32</v>
      </c>
      <c r="C5677" s="371"/>
      <c r="D5677" s="2716" t="str">
        <f>VLOOKUP($A5677,Sheet_NoteList,2,0)</f>
        <v>关联租赁情况——公司承租</v>
      </c>
      <c r="E5677" s="2716" t="s">
        <v>2742</v>
      </c>
      <c r="F5677" s="294"/>
      <c r="G5677" s="483" t="str">
        <f>"("&amp;B5677&amp;")"&amp;D5677</f>
        <v>(5.32)关联租赁情况——公司承租</v>
      </c>
      <c r="H5677" s="1517" t="str">
        <f>$A5677</f>
        <v>9120f</v>
      </c>
      <c r="I5677" s="343" t="s">
        <v>2743</v>
      </c>
      <c r="J5677" s="301"/>
      <c r="K5677" s="3071"/>
      <c r="L5677" s="315"/>
      <c r="M5677" s="301"/>
      <c r="N5677" s="3071"/>
      <c r="O5677" s="315"/>
      <c r="P5677" s="301"/>
      <c r="S5677" s="364"/>
      <c r="Z5677" s="609" t="s">
        <v>2066</v>
      </c>
      <c r="AA5677" s="609"/>
    </row>
    <row r="5678" spans="1:27" ht="0.75" customHeight="1" thickBot="1">
      <c r="A5678" s="2714"/>
      <c r="B5678" s="371"/>
      <c r="C5678" s="371"/>
      <c r="D5678" s="371"/>
      <c r="E5678" s="586"/>
      <c r="F5678" s="586"/>
      <c r="G5678" s="586" t="s">
        <v>4454</v>
      </c>
      <c r="H5678" s="371" t="s">
        <v>4449</v>
      </c>
      <c r="I5678" s="371" t="s">
        <v>4455</v>
      </c>
      <c r="J5678" s="371" t="s">
        <v>4456</v>
      </c>
      <c r="K5678" s="301"/>
      <c r="L5678" s="301"/>
      <c r="M5678" s="301"/>
      <c r="N5678" s="291"/>
      <c r="O5678" s="291"/>
      <c r="P5678" s="291"/>
      <c r="S5678" s="364"/>
      <c r="Z5678" s="609" t="s">
        <v>2066</v>
      </c>
      <c r="AA5678" s="609"/>
    </row>
    <row r="5679" spans="1:27" ht="24">
      <c r="A5679" s="2714"/>
      <c r="B5679" s="371"/>
      <c r="C5679" s="371"/>
      <c r="D5679" s="371"/>
      <c r="E5679" s="586" t="s">
        <v>2749</v>
      </c>
      <c r="F5679" s="363"/>
      <c r="G5679" s="2457" t="s">
        <v>4457</v>
      </c>
      <c r="H5679" s="2464" t="s">
        <v>4453</v>
      </c>
      <c r="I5679" s="2464" t="str">
        <f>$W$4&amp;"确认的租赁费"</f>
        <v>2019年度确认的租赁费</v>
      </c>
      <c r="J5679" s="2469" t="str">
        <f>$W$5&amp;"确认的租赁费"</f>
        <v>2018年度确认的租赁费</v>
      </c>
      <c r="K5679" s="355" t="s">
        <v>5350</v>
      </c>
      <c r="L5679" s="301"/>
      <c r="M5679" s="301"/>
      <c r="N5679" s="291"/>
      <c r="O5679" s="291"/>
      <c r="P5679" s="291"/>
      <c r="S5679" s="364"/>
      <c r="Z5679" s="609" t="s">
        <v>2066</v>
      </c>
      <c r="AA5679" s="609"/>
    </row>
    <row r="5680" spans="1:27" ht="18">
      <c r="A5680" s="2714"/>
      <c r="B5680" s="371">
        <v>101</v>
      </c>
      <c r="C5680" s="371" t="s">
        <v>2791</v>
      </c>
      <c r="D5680" s="2716">
        <f t="shared" ref="D5680:D5685" si="611">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8">
      <c r="A5681" s="2714"/>
      <c r="B5681" s="371">
        <v>102</v>
      </c>
      <c r="C5681" s="371" t="s">
        <v>2791</v>
      </c>
      <c r="D5681" s="2716">
        <f t="shared" si="611"/>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103</v>
      </c>
      <c r="C5682" s="371" t="s">
        <v>2791</v>
      </c>
      <c r="D5682" s="2716">
        <f t="shared" si="611"/>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104</v>
      </c>
      <c r="C5683" s="371" t="s">
        <v>2791</v>
      </c>
      <c r="D5683" s="2716">
        <f t="shared" si="611"/>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105</v>
      </c>
      <c r="C5684" s="371" t="s">
        <v>2791</v>
      </c>
      <c r="D5684" s="2716">
        <f t="shared" si="611"/>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75" thickBot="1">
      <c r="A5685" s="2714"/>
      <c r="B5685" s="371"/>
      <c r="C5685" s="371"/>
      <c r="D5685" s="2716">
        <f t="shared" si="611"/>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8">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4" t="s">
        <v>2079</v>
      </c>
      <c r="B5687" s="371">
        <v>5.41</v>
      </c>
      <c r="C5687" s="371"/>
      <c r="D5687" s="2716" t="str">
        <f>VLOOKUP($A5687,Sheet_NoteList,2,0)</f>
        <v>关联担保情况——作为担保方</v>
      </c>
      <c r="E5687" s="2716" t="s">
        <v>2742</v>
      </c>
      <c r="F5687" s="294"/>
      <c r="G5687" s="483" t="str">
        <f>"("&amp;B5687&amp;")"&amp;D5687</f>
        <v>(5.41)关联担保情况——作为担保方</v>
      </c>
      <c r="H5687" s="1517" t="str">
        <f>$A5687</f>
        <v>9120g</v>
      </c>
      <c r="I5687" s="343" t="s">
        <v>2743</v>
      </c>
      <c r="J5687" s="301"/>
      <c r="K5687" s="3071"/>
      <c r="L5687" s="315"/>
      <c r="M5687" s="301"/>
      <c r="N5687" s="3071"/>
      <c r="O5687" s="315"/>
      <c r="P5687" s="301"/>
      <c r="S5687" s="364"/>
      <c r="Z5687" s="609" t="s">
        <v>2066</v>
      </c>
      <c r="AA5687" s="609"/>
    </row>
    <row r="5688" spans="1:27" ht="0.75" customHeight="1" thickBot="1">
      <c r="A5688" s="2714"/>
      <c r="B5688" s="371"/>
      <c r="C5688" s="371"/>
      <c r="D5688" s="371"/>
      <c r="F5688" s="371"/>
      <c r="G5688" s="371" t="s">
        <v>4458</v>
      </c>
      <c r="H5688" s="371" t="s">
        <v>4459</v>
      </c>
      <c r="I5688" s="371" t="s">
        <v>4460</v>
      </c>
      <c r="J5688" s="371" t="s">
        <v>4461</v>
      </c>
      <c r="K5688" s="371" t="s">
        <v>4462</v>
      </c>
      <c r="L5688" s="301"/>
      <c r="M5688" s="301"/>
      <c r="N5688" s="291"/>
      <c r="O5688" s="291"/>
      <c r="P5688" s="291"/>
      <c r="S5688" s="364"/>
      <c r="Z5688" s="609" t="s">
        <v>2066</v>
      </c>
      <c r="AA5688" s="609"/>
    </row>
    <row r="5689" spans="1:27" ht="24">
      <c r="A5689" s="2714"/>
      <c r="B5689" s="371"/>
      <c r="C5689" s="371"/>
      <c r="D5689" s="371"/>
      <c r="E5689" s="2716" t="s">
        <v>2749</v>
      </c>
      <c r="F5689" s="294"/>
      <c r="G5689" s="410" t="s">
        <v>4463</v>
      </c>
      <c r="H5689" s="506" t="s">
        <v>4464</v>
      </c>
      <c r="I5689" s="412" t="s">
        <v>4465</v>
      </c>
      <c r="J5689" s="506" t="s">
        <v>4466</v>
      </c>
      <c r="K5689" s="507" t="s">
        <v>4467</v>
      </c>
      <c r="L5689" s="355" t="s">
        <v>5350</v>
      </c>
      <c r="M5689" s="301"/>
      <c r="N5689" s="291"/>
      <c r="O5689" s="291"/>
      <c r="P5689" s="291"/>
      <c r="S5689" s="364"/>
      <c r="Z5689" s="609" t="s">
        <v>2066</v>
      </c>
      <c r="AA5689" s="609"/>
    </row>
    <row r="5690" spans="1:27" ht="18">
      <c r="A5690" s="2714"/>
      <c r="B5690" s="371">
        <v>101</v>
      </c>
      <c r="C5690" s="371" t="s">
        <v>2791</v>
      </c>
      <c r="D5690" s="2716">
        <f t="shared" ref="D5690:D5695" si="612">IF(OR(G5690="*",G5690="",G5690=0),0,COUNTIF($G$5690:$G$5695,G5690))</f>
        <v>0</v>
      </c>
      <c r="E5690" s="2721">
        <v>1</v>
      </c>
      <c r="F5690" s="294"/>
      <c r="G5690" s="319" t="s">
        <v>2792</v>
      </c>
      <c r="H5690" s="309"/>
      <c r="I5690" s="360"/>
      <c r="J5690" s="360"/>
      <c r="K5690" s="388"/>
      <c r="L5690" s="301"/>
      <c r="M5690" s="301"/>
      <c r="N5690" s="291"/>
      <c r="O5690" s="291"/>
      <c r="P5690" s="291"/>
      <c r="S5690" s="364"/>
      <c r="Z5690" s="609" t="s">
        <v>2066</v>
      </c>
      <c r="AA5690" s="609"/>
    </row>
    <row r="5691" spans="1:27" ht="18">
      <c r="A5691" s="2714"/>
      <c r="B5691" s="371">
        <v>102</v>
      </c>
      <c r="C5691" s="371" t="s">
        <v>2791</v>
      </c>
      <c r="D5691" s="2716">
        <f t="shared" si="612"/>
        <v>0</v>
      </c>
      <c r="E5691" s="2721">
        <v>1</v>
      </c>
      <c r="F5691" s="294"/>
      <c r="G5691" s="319" t="s">
        <v>2792</v>
      </c>
      <c r="H5691" s="309"/>
      <c r="I5691" s="360"/>
      <c r="J5691" s="360"/>
      <c r="K5691" s="388"/>
      <c r="L5691" s="301"/>
      <c r="M5691" s="301"/>
      <c r="N5691" s="291"/>
      <c r="O5691" s="291"/>
      <c r="P5691" s="291"/>
      <c r="S5691" s="364"/>
      <c r="Z5691" s="609" t="s">
        <v>2066</v>
      </c>
      <c r="AA5691" s="609"/>
    </row>
    <row r="5692" spans="1:27" ht="18">
      <c r="A5692" s="2714"/>
      <c r="B5692" s="371">
        <v>103</v>
      </c>
      <c r="C5692" s="371" t="s">
        <v>2791</v>
      </c>
      <c r="D5692" s="2716">
        <f t="shared" si="612"/>
        <v>0</v>
      </c>
      <c r="E5692" s="2721">
        <v>1</v>
      </c>
      <c r="F5692" s="294"/>
      <c r="G5692" s="319" t="s">
        <v>2792</v>
      </c>
      <c r="H5692" s="309"/>
      <c r="I5692" s="360"/>
      <c r="J5692" s="360"/>
      <c r="K5692" s="388"/>
      <c r="L5692" s="301"/>
      <c r="M5692" s="301"/>
      <c r="N5692" s="291"/>
      <c r="O5692" s="291"/>
      <c r="P5692" s="291"/>
      <c r="S5692" s="364"/>
      <c r="Z5692" s="609" t="s">
        <v>2066</v>
      </c>
      <c r="AA5692" s="609"/>
    </row>
    <row r="5693" spans="1:27" ht="18">
      <c r="A5693" s="2714"/>
      <c r="B5693" s="371">
        <v>104</v>
      </c>
      <c r="C5693" s="371" t="s">
        <v>2791</v>
      </c>
      <c r="D5693" s="2716">
        <f t="shared" si="612"/>
        <v>0</v>
      </c>
      <c r="E5693" s="2721">
        <v>1</v>
      </c>
      <c r="F5693" s="294"/>
      <c r="G5693" s="319" t="s">
        <v>2792</v>
      </c>
      <c r="H5693" s="309"/>
      <c r="I5693" s="360"/>
      <c r="J5693" s="360"/>
      <c r="K5693" s="388"/>
      <c r="L5693" s="301"/>
      <c r="M5693" s="301"/>
      <c r="N5693" s="291"/>
      <c r="O5693" s="291"/>
      <c r="P5693" s="291"/>
      <c r="S5693" s="364"/>
      <c r="Z5693" s="609" t="s">
        <v>2066</v>
      </c>
      <c r="AA5693" s="609"/>
    </row>
    <row r="5694" spans="1:27" ht="18">
      <c r="A5694" s="2714"/>
      <c r="B5694" s="371">
        <v>105</v>
      </c>
      <c r="C5694" s="371" t="s">
        <v>2791</v>
      </c>
      <c r="D5694" s="2716">
        <f t="shared" si="612"/>
        <v>0</v>
      </c>
      <c r="E5694" s="2721">
        <v>1</v>
      </c>
      <c r="F5694" s="294"/>
      <c r="G5694" s="319" t="s">
        <v>2792</v>
      </c>
      <c r="H5694" s="309"/>
      <c r="I5694" s="360"/>
      <c r="J5694" s="360"/>
      <c r="K5694" s="388"/>
      <c r="L5694" s="301"/>
      <c r="M5694" s="301"/>
      <c r="N5694" s="291"/>
      <c r="O5694" s="291"/>
      <c r="P5694" s="291"/>
      <c r="S5694" s="364"/>
      <c r="Z5694" s="609" t="s">
        <v>2066</v>
      </c>
      <c r="AA5694" s="609"/>
    </row>
    <row r="5695" spans="1:27" ht="18.75" thickBot="1">
      <c r="A5695" s="2714"/>
      <c r="B5695" s="371"/>
      <c r="C5695" s="371"/>
      <c r="D5695" s="2716">
        <f t="shared" si="612"/>
        <v>1</v>
      </c>
      <c r="E5695" s="2721" t="s">
        <v>3032</v>
      </c>
      <c r="F5695" s="294"/>
      <c r="G5695" s="374" t="s">
        <v>2752</v>
      </c>
      <c r="H5695" s="375">
        <f>SUMPRODUCT($E5689:$E5694,H5689:H5694)</f>
        <v>0</v>
      </c>
      <c r="I5695" s="567"/>
      <c r="J5695" s="567"/>
      <c r="K5695" s="550"/>
      <c r="L5695" s="301"/>
      <c r="M5695" s="301"/>
      <c r="N5695" s="291"/>
      <c r="O5695" s="291"/>
      <c r="P5695" s="291"/>
      <c r="S5695" s="364"/>
      <c r="Z5695" s="609" t="s">
        <v>2066</v>
      </c>
      <c r="AA5695" s="609"/>
    </row>
    <row r="5696" spans="1:27" ht="18">
      <c r="A5696" s="2714"/>
      <c r="B5696" s="371"/>
      <c r="C5696" s="371" t="s">
        <v>2755</v>
      </c>
      <c r="D5696" s="371"/>
      <c r="F5696" s="294"/>
      <c r="G5696" s="301"/>
      <c r="H5696" s="315"/>
      <c r="I5696" s="393"/>
      <c r="J5696" s="393"/>
      <c r="K5696" s="393"/>
      <c r="L5696" s="301"/>
      <c r="M5696" s="301"/>
      <c r="N5696" s="291"/>
      <c r="O5696" s="291"/>
      <c r="P5696" s="291"/>
      <c r="S5696" s="364"/>
      <c r="Z5696" s="609" t="s">
        <v>2066</v>
      </c>
      <c r="AA5696" s="609"/>
    </row>
    <row r="5697" spans="1:27" ht="24">
      <c r="A5697" s="2714" t="s">
        <v>2081</v>
      </c>
      <c r="B5697" s="371">
        <v>5.42</v>
      </c>
      <c r="C5697" s="371"/>
      <c r="D5697" s="2716" t="str">
        <f>VLOOKUP($A5697,Sheet_NoteList,2,0)</f>
        <v>关联担保情况——作为被担保方</v>
      </c>
      <c r="E5697" s="2716" t="s">
        <v>2742</v>
      </c>
      <c r="F5697" s="294"/>
      <c r="G5697" s="483" t="str">
        <f>"("&amp;B5697&amp;")"&amp;D5697</f>
        <v>(5.42)关联担保情况——作为被担保方</v>
      </c>
      <c r="H5697" s="1517" t="str">
        <f>$A5697</f>
        <v>9120h</v>
      </c>
      <c r="I5697" s="343" t="s">
        <v>2743</v>
      </c>
      <c r="J5697" s="301"/>
      <c r="K5697" s="3071"/>
      <c r="L5697" s="315"/>
      <c r="M5697" s="301"/>
      <c r="N5697" s="3071"/>
      <c r="O5697" s="315"/>
      <c r="P5697" s="301"/>
      <c r="S5697" s="364"/>
      <c r="Z5697" s="609" t="s">
        <v>2066</v>
      </c>
      <c r="AA5697" s="609"/>
    </row>
    <row r="5698" spans="1:27" ht="0.75" customHeight="1" thickBot="1">
      <c r="A5698" s="2714"/>
      <c r="B5698" s="371"/>
      <c r="C5698" s="371"/>
      <c r="D5698" s="371"/>
      <c r="E5698" s="586"/>
      <c r="F5698" s="586"/>
      <c r="G5698" s="586" t="s">
        <v>4468</v>
      </c>
      <c r="H5698" s="371" t="s">
        <v>4459</v>
      </c>
      <c r="I5698" s="371" t="s">
        <v>4460</v>
      </c>
      <c r="J5698" s="371" t="s">
        <v>4461</v>
      </c>
      <c r="K5698" s="371" t="s">
        <v>4462</v>
      </c>
      <c r="L5698" s="301"/>
      <c r="M5698" s="301"/>
      <c r="N5698" s="291"/>
      <c r="O5698" s="291"/>
      <c r="P5698" s="291"/>
      <c r="S5698" s="364"/>
      <c r="Z5698" s="609" t="s">
        <v>2066</v>
      </c>
      <c r="AA5698" s="609"/>
    </row>
    <row r="5699" spans="1:27" ht="24">
      <c r="A5699" s="2714"/>
      <c r="B5699" s="371"/>
      <c r="C5699" s="371"/>
      <c r="D5699" s="371"/>
      <c r="E5699" s="586" t="s">
        <v>2749</v>
      </c>
      <c r="F5699" s="363"/>
      <c r="G5699" s="2457" t="s">
        <v>4469</v>
      </c>
      <c r="H5699" s="2464" t="s">
        <v>4464</v>
      </c>
      <c r="I5699" s="2464" t="s">
        <v>4465</v>
      </c>
      <c r="J5699" s="2464" t="s">
        <v>4466</v>
      </c>
      <c r="K5699" s="2469" t="s">
        <v>4467</v>
      </c>
      <c r="L5699" s="355" t="s">
        <v>5350</v>
      </c>
      <c r="M5699" s="301"/>
      <c r="N5699" s="291"/>
      <c r="O5699" s="291"/>
      <c r="P5699" s="291"/>
      <c r="S5699" s="364"/>
      <c r="Z5699" s="609" t="s">
        <v>2066</v>
      </c>
      <c r="AA5699" s="609"/>
    </row>
    <row r="5700" spans="1:27" ht="18">
      <c r="A5700" s="2714"/>
      <c r="B5700" s="371">
        <v>101</v>
      </c>
      <c r="C5700" s="371" t="s">
        <v>2791</v>
      </c>
      <c r="D5700" s="2716">
        <f t="shared" ref="D5700:D5705" si="613">IF(OR(G5700="*",G5700="",G5700=0),0,COUNTIF($G$5700:$G$5705,G5700))</f>
        <v>0</v>
      </c>
      <c r="E5700" s="2721">
        <v>1</v>
      </c>
      <c r="F5700" s="294"/>
      <c r="G5700" s="2467" t="s">
        <v>2792</v>
      </c>
      <c r="H5700" s="2275"/>
      <c r="I5700" s="2298"/>
      <c r="J5700" s="2298"/>
      <c r="K5700" s="2276"/>
      <c r="L5700" s="301"/>
      <c r="M5700" s="301"/>
      <c r="N5700" s="291"/>
      <c r="O5700" s="291"/>
      <c r="P5700" s="291"/>
      <c r="S5700" s="364"/>
      <c r="Z5700" s="609" t="s">
        <v>2066</v>
      </c>
      <c r="AA5700" s="609"/>
    </row>
    <row r="5701" spans="1:27" ht="18">
      <c r="A5701" s="2714"/>
      <c r="B5701" s="371">
        <v>102</v>
      </c>
      <c r="C5701" s="371" t="s">
        <v>2791</v>
      </c>
      <c r="D5701" s="2716">
        <f t="shared" si="613"/>
        <v>0</v>
      </c>
      <c r="E5701" s="2721">
        <v>1</v>
      </c>
      <c r="F5701" s="294"/>
      <c r="G5701" s="2467" t="s">
        <v>2792</v>
      </c>
      <c r="H5701" s="2275"/>
      <c r="I5701" s="2298"/>
      <c r="J5701" s="2298"/>
      <c r="K5701" s="2276"/>
      <c r="L5701" s="301"/>
      <c r="M5701" s="301"/>
      <c r="N5701" s="291"/>
      <c r="O5701" s="291"/>
      <c r="P5701" s="291"/>
      <c r="S5701" s="364"/>
      <c r="Z5701" s="609" t="s">
        <v>2066</v>
      </c>
      <c r="AA5701" s="609"/>
    </row>
    <row r="5702" spans="1:27" ht="18">
      <c r="A5702" s="2714"/>
      <c r="B5702" s="371">
        <v>103</v>
      </c>
      <c r="C5702" s="371" t="s">
        <v>2791</v>
      </c>
      <c r="D5702" s="2716">
        <f t="shared" si="613"/>
        <v>0</v>
      </c>
      <c r="E5702" s="2721">
        <v>1</v>
      </c>
      <c r="F5702" s="294"/>
      <c r="G5702" s="2467" t="s">
        <v>2792</v>
      </c>
      <c r="H5702" s="2275"/>
      <c r="I5702" s="2298"/>
      <c r="J5702" s="2298"/>
      <c r="K5702" s="2276"/>
      <c r="L5702" s="301"/>
      <c r="M5702" s="301"/>
      <c r="N5702" s="291"/>
      <c r="O5702" s="291"/>
      <c r="P5702" s="291"/>
      <c r="S5702" s="364"/>
      <c r="Z5702" s="609" t="s">
        <v>2066</v>
      </c>
      <c r="AA5702" s="609"/>
    </row>
    <row r="5703" spans="1:27" ht="18">
      <c r="A5703" s="2714"/>
      <c r="B5703" s="371">
        <v>104</v>
      </c>
      <c r="C5703" s="371" t="s">
        <v>2791</v>
      </c>
      <c r="D5703" s="2716">
        <f t="shared" si="613"/>
        <v>0</v>
      </c>
      <c r="E5703" s="2721">
        <v>1</v>
      </c>
      <c r="F5703" s="294"/>
      <c r="G5703" s="2467" t="s">
        <v>2792</v>
      </c>
      <c r="H5703" s="2275"/>
      <c r="I5703" s="2298"/>
      <c r="J5703" s="2298"/>
      <c r="K5703" s="2276"/>
      <c r="L5703" s="301"/>
      <c r="M5703" s="301"/>
      <c r="N5703" s="291"/>
      <c r="O5703" s="291"/>
      <c r="P5703" s="291"/>
      <c r="S5703" s="364"/>
      <c r="Z5703" s="609" t="s">
        <v>2066</v>
      </c>
      <c r="AA5703" s="609"/>
    </row>
    <row r="5704" spans="1:27" ht="18">
      <c r="A5704" s="2714"/>
      <c r="B5704" s="371">
        <v>105</v>
      </c>
      <c r="C5704" s="371" t="s">
        <v>2791</v>
      </c>
      <c r="D5704" s="2716">
        <f t="shared" si="613"/>
        <v>0</v>
      </c>
      <c r="E5704" s="2721">
        <v>1</v>
      </c>
      <c r="F5704" s="294"/>
      <c r="G5704" s="2467" t="s">
        <v>2792</v>
      </c>
      <c r="H5704" s="2275"/>
      <c r="I5704" s="2298"/>
      <c r="J5704" s="2298"/>
      <c r="K5704" s="2276"/>
      <c r="L5704" s="301"/>
      <c r="M5704" s="301"/>
      <c r="N5704" s="291"/>
      <c r="O5704" s="291"/>
      <c r="P5704" s="291"/>
      <c r="S5704" s="364"/>
      <c r="Z5704" s="609" t="s">
        <v>2066</v>
      </c>
      <c r="AA5704" s="609"/>
    </row>
    <row r="5705" spans="1:27" ht="18.75" thickBot="1">
      <c r="A5705" s="2714"/>
      <c r="B5705" s="371"/>
      <c r="C5705" s="371"/>
      <c r="D5705" s="2716">
        <f t="shared" si="613"/>
        <v>1</v>
      </c>
      <c r="E5705" s="2721" t="s">
        <v>3032</v>
      </c>
      <c r="F5705" s="294"/>
      <c r="G5705" s="374" t="s">
        <v>2752</v>
      </c>
      <c r="H5705" s="1478">
        <f>SUMPRODUCT($E5699:$E5704,H5699:H5704)</f>
        <v>0</v>
      </c>
      <c r="I5705" s="2261"/>
      <c r="J5705" s="2261"/>
      <c r="K5705" s="2260"/>
      <c r="L5705" s="301"/>
      <c r="M5705" s="301"/>
      <c r="N5705" s="291"/>
      <c r="O5705" s="291"/>
      <c r="P5705" s="291"/>
      <c r="S5705" s="364"/>
      <c r="Z5705" s="609" t="s">
        <v>2066</v>
      </c>
      <c r="AA5705" s="609"/>
    </row>
    <row r="5706" spans="1:27" ht="18">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4" t="s">
        <v>2083</v>
      </c>
      <c r="B5707" s="371">
        <v>5.51</v>
      </c>
      <c r="C5707" s="371"/>
      <c r="D5707" s="2716" t="str">
        <f>VLOOKUP($A5707,Sheet_NoteList,2,0)</f>
        <v>关联方资金拆借情况——拆入</v>
      </c>
      <c r="E5707" s="2716" t="s">
        <v>2742</v>
      </c>
      <c r="F5707" s="294"/>
      <c r="G5707" s="483" t="str">
        <f>"("&amp;B5707&amp;")"&amp;D5707</f>
        <v>(5.51)关联方资金拆借情况——拆入</v>
      </c>
      <c r="H5707" s="1517" t="str">
        <f>$A5707</f>
        <v>9120i</v>
      </c>
      <c r="I5707" s="343" t="s">
        <v>2743</v>
      </c>
      <c r="J5707" s="301"/>
      <c r="K5707" s="3071"/>
      <c r="L5707" s="315"/>
      <c r="M5707" s="301"/>
      <c r="N5707" s="3071"/>
      <c r="O5707" s="315"/>
      <c r="P5707" s="301"/>
      <c r="S5707" s="364"/>
      <c r="Z5707" s="609" t="s">
        <v>2066</v>
      </c>
      <c r="AA5707" s="609"/>
    </row>
    <row r="5708" spans="1:27" ht="0.75" customHeight="1" thickBot="1">
      <c r="A5708" s="2714"/>
      <c r="B5708" s="371"/>
      <c r="C5708" s="371"/>
      <c r="D5708" s="371"/>
      <c r="F5708" s="371"/>
      <c r="G5708" s="371" t="s">
        <v>4470</v>
      </c>
      <c r="H5708" s="371" t="s">
        <v>4471</v>
      </c>
      <c r="I5708" s="371" t="s">
        <v>4460</v>
      </c>
      <c r="J5708" s="371" t="s">
        <v>4461</v>
      </c>
      <c r="K5708" s="371" t="s">
        <v>4472</v>
      </c>
      <c r="L5708" s="301"/>
      <c r="M5708" s="301"/>
      <c r="N5708" s="291"/>
      <c r="O5708" s="291"/>
      <c r="P5708" s="291"/>
      <c r="S5708" s="364"/>
      <c r="Z5708" s="609" t="s">
        <v>2066</v>
      </c>
      <c r="AA5708" s="609"/>
    </row>
    <row r="5709" spans="1:27" ht="18">
      <c r="A5709" s="2714"/>
      <c r="B5709" s="371"/>
      <c r="C5709" s="371"/>
      <c r="D5709" s="371"/>
      <c r="E5709" s="2716" t="s">
        <v>2749</v>
      </c>
      <c r="F5709" s="294"/>
      <c r="G5709" s="410" t="s">
        <v>1423</v>
      </c>
      <c r="H5709" s="506" t="s">
        <v>4473</v>
      </c>
      <c r="I5709" s="412" t="s">
        <v>4474</v>
      </c>
      <c r="J5709" s="506" t="s">
        <v>3322</v>
      </c>
      <c r="K5709" s="507" t="s">
        <v>2758</v>
      </c>
      <c r="L5709" s="355" t="s">
        <v>5350</v>
      </c>
      <c r="M5709" s="301"/>
      <c r="N5709" s="291"/>
      <c r="O5709" s="291"/>
      <c r="P5709" s="291"/>
      <c r="S5709" s="364"/>
      <c r="Z5709" s="609" t="s">
        <v>2066</v>
      </c>
      <c r="AA5709" s="609"/>
    </row>
    <row r="5710" spans="1:27" ht="18">
      <c r="A5710" s="2714"/>
      <c r="B5710" s="371">
        <v>101</v>
      </c>
      <c r="C5710" s="371" t="s">
        <v>2791</v>
      </c>
      <c r="D5710" s="2716">
        <f t="shared" ref="D5710:D5715" si="614">IF(OR(G5710="*",G5710="",G5710=0),0,COUNTIF($G$5710:$G$5715,G5710))</f>
        <v>0</v>
      </c>
      <c r="E5710" s="2721">
        <v>1</v>
      </c>
      <c r="F5710" s="294"/>
      <c r="G5710" s="319" t="s">
        <v>2792</v>
      </c>
      <c r="H5710" s="309"/>
      <c r="I5710" s="360"/>
      <c r="J5710" s="360"/>
      <c r="K5710" s="388"/>
      <c r="L5710" s="301"/>
      <c r="M5710" s="301"/>
      <c r="N5710" s="291"/>
      <c r="O5710" s="291"/>
      <c r="P5710" s="291"/>
      <c r="S5710" s="364"/>
      <c r="Z5710" s="609" t="s">
        <v>2066</v>
      </c>
      <c r="AA5710" s="609"/>
    </row>
    <row r="5711" spans="1:27" ht="18">
      <c r="A5711" s="2714"/>
      <c r="B5711" s="371">
        <v>102</v>
      </c>
      <c r="C5711" s="371" t="s">
        <v>2791</v>
      </c>
      <c r="D5711" s="2716">
        <f t="shared" si="614"/>
        <v>0</v>
      </c>
      <c r="E5711" s="2721">
        <v>1</v>
      </c>
      <c r="F5711" s="294"/>
      <c r="G5711" s="319" t="s">
        <v>2792</v>
      </c>
      <c r="H5711" s="309"/>
      <c r="I5711" s="360"/>
      <c r="J5711" s="360"/>
      <c r="K5711" s="388"/>
      <c r="L5711" s="301"/>
      <c r="M5711" s="301"/>
      <c r="N5711" s="291"/>
      <c r="O5711" s="291"/>
      <c r="P5711" s="291"/>
      <c r="S5711" s="364"/>
      <c r="Z5711" s="609" t="s">
        <v>2066</v>
      </c>
      <c r="AA5711" s="609"/>
    </row>
    <row r="5712" spans="1:27" ht="18">
      <c r="A5712" s="2714"/>
      <c r="B5712" s="371">
        <v>103</v>
      </c>
      <c r="C5712" s="371" t="s">
        <v>2791</v>
      </c>
      <c r="D5712" s="2716">
        <f t="shared" si="614"/>
        <v>0</v>
      </c>
      <c r="E5712" s="2721">
        <v>1</v>
      </c>
      <c r="F5712" s="294"/>
      <c r="G5712" s="319" t="s">
        <v>2792</v>
      </c>
      <c r="H5712" s="309"/>
      <c r="I5712" s="360"/>
      <c r="J5712" s="360"/>
      <c r="K5712" s="388"/>
      <c r="L5712" s="301"/>
      <c r="M5712" s="301"/>
      <c r="N5712" s="291"/>
      <c r="O5712" s="291"/>
      <c r="P5712" s="291"/>
      <c r="S5712" s="364"/>
      <c r="Z5712" s="609" t="s">
        <v>2066</v>
      </c>
      <c r="AA5712" s="609"/>
    </row>
    <row r="5713" spans="1:27" ht="18">
      <c r="A5713" s="2714"/>
      <c r="B5713" s="371">
        <v>104</v>
      </c>
      <c r="C5713" s="371" t="s">
        <v>2791</v>
      </c>
      <c r="D5713" s="2716">
        <f t="shared" si="614"/>
        <v>0</v>
      </c>
      <c r="E5713" s="2721">
        <v>1</v>
      </c>
      <c r="F5713" s="294"/>
      <c r="G5713" s="319" t="s">
        <v>2792</v>
      </c>
      <c r="H5713" s="309"/>
      <c r="I5713" s="360"/>
      <c r="J5713" s="360"/>
      <c r="K5713" s="388"/>
      <c r="L5713" s="301"/>
      <c r="M5713" s="301"/>
      <c r="N5713" s="291"/>
      <c r="O5713" s="291"/>
      <c r="P5713" s="291"/>
      <c r="S5713" s="364"/>
      <c r="Z5713" s="609" t="s">
        <v>2066</v>
      </c>
      <c r="AA5713" s="609"/>
    </row>
    <row r="5714" spans="1:27" ht="18">
      <c r="A5714" s="2714"/>
      <c r="B5714" s="371">
        <v>105</v>
      </c>
      <c r="C5714" s="371" t="s">
        <v>2791</v>
      </c>
      <c r="D5714" s="2716">
        <f t="shared" si="614"/>
        <v>0</v>
      </c>
      <c r="E5714" s="2721">
        <v>1</v>
      </c>
      <c r="F5714" s="294"/>
      <c r="G5714" s="319" t="s">
        <v>2792</v>
      </c>
      <c r="H5714" s="309"/>
      <c r="I5714" s="360"/>
      <c r="J5714" s="360"/>
      <c r="K5714" s="388"/>
      <c r="L5714" s="301"/>
      <c r="M5714" s="301"/>
      <c r="N5714" s="291"/>
      <c r="O5714" s="291"/>
      <c r="P5714" s="291"/>
      <c r="S5714" s="364"/>
      <c r="Z5714" s="609" t="s">
        <v>2066</v>
      </c>
      <c r="AA5714" s="609"/>
    </row>
    <row r="5715" spans="1:27" ht="18.75" thickBot="1">
      <c r="A5715" s="2714"/>
      <c r="B5715" s="371"/>
      <c r="C5715" s="371"/>
      <c r="D5715" s="2716">
        <f t="shared" si="614"/>
        <v>1</v>
      </c>
      <c r="E5715" s="2721" t="s">
        <v>3032</v>
      </c>
      <c r="F5715" s="294"/>
      <c r="G5715" s="374" t="s">
        <v>2752</v>
      </c>
      <c r="H5715" s="375">
        <f>SUMPRODUCT($E5709:$E5714,H5709:H5714)</f>
        <v>0</v>
      </c>
      <c r="I5715" s="567"/>
      <c r="J5715" s="567"/>
      <c r="K5715" s="550"/>
      <c r="L5715" s="301"/>
      <c r="M5715" s="301"/>
      <c r="N5715" s="291"/>
      <c r="O5715" s="291"/>
      <c r="P5715" s="291"/>
      <c r="S5715" s="364"/>
      <c r="Z5715" s="609" t="s">
        <v>2066</v>
      </c>
      <c r="AA5715" s="609"/>
    </row>
    <row r="5716" spans="1:27" ht="18">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4" t="s">
        <v>2085</v>
      </c>
      <c r="B5717" s="371">
        <v>5.52</v>
      </c>
      <c r="C5717" s="371"/>
      <c r="D5717" s="2716" t="str">
        <f>VLOOKUP($A5717,Sheet_NoteList,2,0)</f>
        <v>关联方资金拆借情况——拆出</v>
      </c>
      <c r="E5717" s="2716" t="s">
        <v>2742</v>
      </c>
      <c r="F5717" s="294"/>
      <c r="G5717" s="483" t="str">
        <f>"("&amp;B5717&amp;")"&amp;D5717</f>
        <v>(5.52)关联方资金拆借情况——拆出</v>
      </c>
      <c r="H5717" s="1517" t="str">
        <f>$A5717</f>
        <v>9120j</v>
      </c>
      <c r="I5717" s="343" t="s">
        <v>2743</v>
      </c>
      <c r="J5717" s="301"/>
      <c r="K5717" s="3071"/>
      <c r="L5717" s="315"/>
      <c r="M5717" s="301"/>
      <c r="N5717" s="3071"/>
      <c r="O5717" s="315"/>
      <c r="P5717" s="301"/>
      <c r="S5717" s="364"/>
      <c r="Z5717" s="609" t="s">
        <v>2066</v>
      </c>
      <c r="AA5717" s="609"/>
    </row>
    <row r="5718" spans="1:27" ht="0.75" customHeight="1" thickBot="1">
      <c r="A5718" s="2714"/>
      <c r="B5718" s="371"/>
      <c r="C5718" s="371"/>
      <c r="D5718" s="371"/>
      <c r="E5718" s="586"/>
      <c r="F5718" s="586"/>
      <c r="G5718" s="586" t="s">
        <v>4475</v>
      </c>
      <c r="H5718" s="371" t="s">
        <v>4471</v>
      </c>
      <c r="I5718" s="371" t="s">
        <v>4460</v>
      </c>
      <c r="J5718" s="371" t="s">
        <v>4461</v>
      </c>
      <c r="K5718" s="371" t="s">
        <v>4472</v>
      </c>
      <c r="L5718" s="301"/>
      <c r="M5718" s="301"/>
      <c r="N5718" s="291"/>
      <c r="O5718" s="291"/>
      <c r="P5718" s="291"/>
      <c r="S5718" s="364"/>
      <c r="Z5718" s="609" t="s">
        <v>2066</v>
      </c>
      <c r="AA5718" s="609"/>
    </row>
    <row r="5719" spans="1:27" ht="18">
      <c r="A5719" s="2714"/>
      <c r="B5719" s="371"/>
      <c r="C5719" s="371"/>
      <c r="D5719" s="371"/>
      <c r="E5719" s="586" t="s">
        <v>2749</v>
      </c>
      <c r="F5719" s="363"/>
      <c r="G5719" s="2457" t="s">
        <v>1423</v>
      </c>
      <c r="H5719" s="2464" t="s">
        <v>4473</v>
      </c>
      <c r="I5719" s="2464" t="s">
        <v>4474</v>
      </c>
      <c r="J5719" s="2464" t="s">
        <v>3322</v>
      </c>
      <c r="K5719" s="2469" t="s">
        <v>2758</v>
      </c>
      <c r="L5719" s="355" t="s">
        <v>5350</v>
      </c>
      <c r="M5719" s="301"/>
      <c r="N5719" s="291"/>
      <c r="O5719" s="291"/>
      <c r="P5719" s="291"/>
      <c r="S5719" s="364"/>
      <c r="Z5719" s="609" t="s">
        <v>2066</v>
      </c>
      <c r="AA5719" s="609"/>
    </row>
    <row r="5720" spans="1:27" ht="18">
      <c r="A5720" s="2714"/>
      <c r="B5720" s="371">
        <v>101</v>
      </c>
      <c r="C5720" s="371" t="s">
        <v>2791</v>
      </c>
      <c r="D5720" s="2716">
        <f t="shared" ref="D5720:D5725" si="615">IF(OR(G5720="*",G5720="",G5720=0),0,COUNTIF($G$5720:$G$5725,G5720))</f>
        <v>0</v>
      </c>
      <c r="E5720" s="2721">
        <v>1</v>
      </c>
      <c r="F5720" s="294"/>
      <c r="G5720" s="2467" t="s">
        <v>2792</v>
      </c>
      <c r="H5720" s="2275"/>
      <c r="I5720" s="2298"/>
      <c r="J5720" s="2298"/>
      <c r="K5720" s="2276"/>
      <c r="L5720" s="301"/>
      <c r="M5720" s="301"/>
      <c r="N5720" s="291"/>
      <c r="O5720" s="291"/>
      <c r="P5720" s="291"/>
      <c r="S5720" s="364"/>
      <c r="Z5720" s="609" t="s">
        <v>2066</v>
      </c>
      <c r="AA5720" s="609"/>
    </row>
    <row r="5721" spans="1:27" ht="18">
      <c r="A5721" s="2714"/>
      <c r="B5721" s="371">
        <v>102</v>
      </c>
      <c r="C5721" s="371" t="s">
        <v>2791</v>
      </c>
      <c r="D5721" s="2716">
        <f t="shared" si="615"/>
        <v>0</v>
      </c>
      <c r="E5721" s="2721">
        <v>1</v>
      </c>
      <c r="F5721" s="294"/>
      <c r="G5721" s="2467" t="s">
        <v>2792</v>
      </c>
      <c r="H5721" s="2275"/>
      <c r="I5721" s="2298"/>
      <c r="J5721" s="2298"/>
      <c r="K5721" s="2276"/>
      <c r="L5721" s="301"/>
      <c r="M5721" s="301"/>
      <c r="N5721" s="291"/>
      <c r="O5721" s="291"/>
      <c r="P5721" s="291"/>
      <c r="S5721" s="364"/>
      <c r="Z5721" s="609" t="s">
        <v>2066</v>
      </c>
      <c r="AA5721" s="609"/>
    </row>
    <row r="5722" spans="1:27" ht="18">
      <c r="A5722" s="2714"/>
      <c r="B5722" s="371">
        <v>103</v>
      </c>
      <c r="C5722" s="371" t="s">
        <v>2791</v>
      </c>
      <c r="D5722" s="2716">
        <f t="shared" si="615"/>
        <v>0</v>
      </c>
      <c r="E5722" s="2721">
        <v>1</v>
      </c>
      <c r="F5722" s="294"/>
      <c r="G5722" s="2467" t="s">
        <v>2792</v>
      </c>
      <c r="H5722" s="2275"/>
      <c r="I5722" s="2298"/>
      <c r="J5722" s="2298"/>
      <c r="K5722" s="2276"/>
      <c r="L5722" s="301"/>
      <c r="M5722" s="301"/>
      <c r="N5722" s="291"/>
      <c r="O5722" s="291"/>
      <c r="P5722" s="291"/>
      <c r="S5722" s="364"/>
      <c r="Z5722" s="609" t="s">
        <v>2066</v>
      </c>
      <c r="AA5722" s="609"/>
    </row>
    <row r="5723" spans="1:27" ht="18">
      <c r="A5723" s="2714"/>
      <c r="B5723" s="371">
        <v>104</v>
      </c>
      <c r="C5723" s="371" t="s">
        <v>2791</v>
      </c>
      <c r="D5723" s="2716">
        <f t="shared" si="615"/>
        <v>0</v>
      </c>
      <c r="E5723" s="2721">
        <v>1</v>
      </c>
      <c r="F5723" s="294"/>
      <c r="G5723" s="2467" t="s">
        <v>2792</v>
      </c>
      <c r="H5723" s="2275"/>
      <c r="I5723" s="2298"/>
      <c r="J5723" s="2298"/>
      <c r="K5723" s="2276"/>
      <c r="L5723" s="301"/>
      <c r="M5723" s="301"/>
      <c r="N5723" s="291"/>
      <c r="O5723" s="291"/>
      <c r="P5723" s="291"/>
      <c r="S5723" s="364"/>
      <c r="Z5723" s="609" t="s">
        <v>2066</v>
      </c>
      <c r="AA5723" s="609"/>
    </row>
    <row r="5724" spans="1:27" ht="18">
      <c r="A5724" s="2714"/>
      <c r="B5724" s="371">
        <v>105</v>
      </c>
      <c r="C5724" s="371" t="s">
        <v>2791</v>
      </c>
      <c r="D5724" s="2716">
        <f t="shared" si="615"/>
        <v>0</v>
      </c>
      <c r="E5724" s="2721">
        <v>1</v>
      </c>
      <c r="F5724" s="294"/>
      <c r="G5724" s="2467" t="s">
        <v>2792</v>
      </c>
      <c r="H5724" s="2275"/>
      <c r="I5724" s="2298"/>
      <c r="J5724" s="2298"/>
      <c r="K5724" s="2276"/>
      <c r="L5724" s="301"/>
      <c r="M5724" s="301"/>
      <c r="N5724" s="291"/>
      <c r="O5724" s="291"/>
      <c r="P5724" s="291"/>
      <c r="S5724" s="364"/>
      <c r="Z5724" s="609" t="s">
        <v>2066</v>
      </c>
      <c r="AA5724" s="609"/>
    </row>
    <row r="5725" spans="1:27" ht="18.75" thickBot="1">
      <c r="A5725" s="2714"/>
      <c r="B5725" s="371"/>
      <c r="C5725" s="371"/>
      <c r="D5725" s="2716">
        <f t="shared" si="615"/>
        <v>1</v>
      </c>
      <c r="E5725" s="2721" t="s">
        <v>3032</v>
      </c>
      <c r="F5725" s="294"/>
      <c r="G5725" s="374" t="s">
        <v>2752</v>
      </c>
      <c r="H5725" s="1478">
        <f>SUMPRODUCT($E5719:$E5724,H5719:H5724)</f>
        <v>0</v>
      </c>
      <c r="I5725" s="2261"/>
      <c r="J5725" s="2261"/>
      <c r="K5725" s="2260"/>
      <c r="L5725" s="301"/>
      <c r="M5725" s="301"/>
      <c r="N5725" s="291"/>
      <c r="O5725" s="291"/>
      <c r="P5725" s="291"/>
      <c r="S5725" s="364"/>
      <c r="Z5725" s="609" t="s">
        <v>2066</v>
      </c>
      <c r="AA5725" s="609"/>
    </row>
    <row r="5726" spans="1:27" ht="18">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4" t="s">
        <v>2088</v>
      </c>
      <c r="B5727" s="371">
        <v>5.6</v>
      </c>
      <c r="C5727" s="371"/>
      <c r="D5727" s="2716" t="str">
        <f>VLOOKUP($A5727,Sheet_NoteList,2,0)</f>
        <v>关联方资产转让、债务重组情况</v>
      </c>
      <c r="E5727" s="2716" t="s">
        <v>2742</v>
      </c>
      <c r="F5727" s="294"/>
      <c r="G5727" s="483" t="str">
        <f>"("&amp;B5727&amp;")"&amp;D5727</f>
        <v>(5.6)关联方资产转让、债务重组情况</v>
      </c>
      <c r="H5727" s="1517" t="str">
        <f>$A5727</f>
        <v>9120k</v>
      </c>
      <c r="I5727" s="343" t="s">
        <v>2743</v>
      </c>
      <c r="J5727" s="301"/>
      <c r="K5727" s="3071"/>
      <c r="L5727" s="315"/>
      <c r="M5727" s="301"/>
      <c r="N5727" s="3071"/>
      <c r="O5727" s="315"/>
      <c r="P5727" s="301"/>
      <c r="S5727" s="364"/>
      <c r="Z5727" s="609" t="s">
        <v>2066</v>
      </c>
      <c r="AA5727" s="609"/>
    </row>
    <row r="5728" spans="1:27" ht="0.75" customHeight="1" thickBot="1">
      <c r="A5728" s="2714"/>
      <c r="B5728" s="371"/>
      <c r="C5728" s="371"/>
      <c r="D5728" s="371"/>
      <c r="F5728" s="371"/>
      <c r="G5728" s="371" t="s">
        <v>4476</v>
      </c>
      <c r="H5728" s="371" t="s">
        <v>4477</v>
      </c>
      <c r="I5728" s="371" t="s">
        <v>4478</v>
      </c>
      <c r="J5728" s="371" t="s">
        <v>4479</v>
      </c>
      <c r="K5728" s="301"/>
      <c r="L5728" s="301"/>
      <c r="M5728" s="301"/>
      <c r="N5728" s="291"/>
      <c r="O5728" s="291"/>
      <c r="P5728" s="291"/>
      <c r="S5728" s="364"/>
      <c r="Z5728" s="609" t="s">
        <v>2066</v>
      </c>
      <c r="AA5728" s="609"/>
    </row>
    <row r="5729" spans="1:27" ht="18">
      <c r="A5729" s="2714"/>
      <c r="B5729" s="371"/>
      <c r="C5729" s="371"/>
      <c r="D5729" s="371"/>
      <c r="E5729" s="2716" t="s">
        <v>2749</v>
      </c>
      <c r="F5729" s="294"/>
      <c r="G5729" s="410" t="s">
        <v>1423</v>
      </c>
      <c r="H5729" s="506" t="s">
        <v>4437</v>
      </c>
      <c r="I5729" s="501" t="str">
        <f>$W$4&amp;"发生额"</f>
        <v>2019年度发生额</v>
      </c>
      <c r="J5729" s="593" t="str">
        <f>$W$5&amp;"发生额"</f>
        <v>2018年度发生额</v>
      </c>
      <c r="K5729" s="355" t="s">
        <v>5350</v>
      </c>
      <c r="L5729" s="301"/>
      <c r="M5729" s="301"/>
      <c r="N5729" s="291"/>
      <c r="O5729" s="291"/>
      <c r="P5729" s="291"/>
      <c r="S5729" s="364"/>
      <c r="Z5729" s="609" t="s">
        <v>2066</v>
      </c>
      <c r="AA5729" s="609"/>
    </row>
    <row r="5730" spans="1:27" ht="18">
      <c r="A5730" s="2714"/>
      <c r="B5730" s="371">
        <v>101</v>
      </c>
      <c r="C5730" s="371" t="s">
        <v>2791</v>
      </c>
      <c r="D5730" s="2716">
        <f t="shared" ref="D5730:D5735" si="616">IF(OR(G5730="*",G5730="",G5730=0),0,COUNTIF($G$5730:$G$5735,G5730))</f>
        <v>0</v>
      </c>
      <c r="E5730" s="2721">
        <v>1</v>
      </c>
      <c r="F5730" s="294"/>
      <c r="G5730" s="319" t="s">
        <v>2792</v>
      </c>
      <c r="H5730" s="360"/>
      <c r="I5730" s="309"/>
      <c r="J5730" s="346"/>
      <c r="K5730" s="301"/>
      <c r="L5730" s="301"/>
      <c r="M5730" s="301"/>
      <c r="N5730" s="291"/>
      <c r="O5730" s="291"/>
      <c r="P5730" s="291"/>
      <c r="S5730" s="364"/>
      <c r="Z5730" s="609" t="s">
        <v>2066</v>
      </c>
      <c r="AA5730" s="609"/>
    </row>
    <row r="5731" spans="1:27" ht="18">
      <c r="A5731" s="2714"/>
      <c r="B5731" s="371">
        <v>102</v>
      </c>
      <c r="C5731" s="371" t="s">
        <v>2791</v>
      </c>
      <c r="D5731" s="2716">
        <f t="shared" si="616"/>
        <v>0</v>
      </c>
      <c r="E5731" s="2721">
        <v>1</v>
      </c>
      <c r="F5731" s="294"/>
      <c r="G5731" s="319" t="s">
        <v>2792</v>
      </c>
      <c r="H5731" s="360"/>
      <c r="I5731" s="309"/>
      <c r="J5731" s="346"/>
      <c r="K5731" s="301"/>
      <c r="L5731" s="301"/>
      <c r="M5731" s="301"/>
      <c r="N5731" s="291"/>
      <c r="O5731" s="291"/>
      <c r="P5731" s="291"/>
      <c r="S5731" s="364"/>
      <c r="Z5731" s="609" t="s">
        <v>2066</v>
      </c>
      <c r="AA5731" s="609"/>
    </row>
    <row r="5732" spans="1:27" ht="18">
      <c r="A5732" s="2714"/>
      <c r="B5732" s="371">
        <v>103</v>
      </c>
      <c r="C5732" s="371" t="s">
        <v>2791</v>
      </c>
      <c r="D5732" s="2716">
        <f t="shared" si="616"/>
        <v>0</v>
      </c>
      <c r="E5732" s="2721">
        <v>1</v>
      </c>
      <c r="F5732" s="294"/>
      <c r="G5732" s="319" t="s">
        <v>2792</v>
      </c>
      <c r="H5732" s="360"/>
      <c r="I5732" s="309"/>
      <c r="J5732" s="346"/>
      <c r="K5732" s="301"/>
      <c r="L5732" s="301"/>
      <c r="M5732" s="301"/>
      <c r="N5732" s="291"/>
      <c r="O5732" s="291"/>
      <c r="P5732" s="291"/>
      <c r="S5732" s="364"/>
      <c r="Z5732" s="609" t="s">
        <v>2066</v>
      </c>
      <c r="AA5732" s="609"/>
    </row>
    <row r="5733" spans="1:27" ht="18">
      <c r="A5733" s="2714"/>
      <c r="B5733" s="371">
        <v>104</v>
      </c>
      <c r="C5733" s="371" t="s">
        <v>2791</v>
      </c>
      <c r="D5733" s="2716">
        <f t="shared" si="616"/>
        <v>0</v>
      </c>
      <c r="E5733" s="2721">
        <v>1</v>
      </c>
      <c r="F5733" s="294"/>
      <c r="G5733" s="319" t="s">
        <v>2792</v>
      </c>
      <c r="H5733" s="360"/>
      <c r="I5733" s="309"/>
      <c r="J5733" s="346"/>
      <c r="K5733" s="301"/>
      <c r="L5733" s="301"/>
      <c r="M5733" s="301"/>
      <c r="N5733" s="291"/>
      <c r="O5733" s="291"/>
      <c r="P5733" s="291"/>
      <c r="S5733" s="364"/>
      <c r="Z5733" s="609" t="s">
        <v>2066</v>
      </c>
      <c r="AA5733" s="609"/>
    </row>
    <row r="5734" spans="1:27" ht="18">
      <c r="A5734" s="2714"/>
      <c r="B5734" s="371">
        <v>105</v>
      </c>
      <c r="C5734" s="371" t="s">
        <v>2791</v>
      </c>
      <c r="D5734" s="2716">
        <f t="shared" si="616"/>
        <v>0</v>
      </c>
      <c r="E5734" s="2721">
        <v>1</v>
      </c>
      <c r="F5734" s="294"/>
      <c r="G5734" s="319" t="s">
        <v>2792</v>
      </c>
      <c r="H5734" s="360"/>
      <c r="I5734" s="309"/>
      <c r="J5734" s="346"/>
      <c r="K5734" s="301"/>
      <c r="L5734" s="301"/>
      <c r="M5734" s="301"/>
      <c r="N5734" s="291"/>
      <c r="O5734" s="291"/>
      <c r="P5734" s="291"/>
      <c r="S5734" s="364"/>
      <c r="Z5734" s="609" t="s">
        <v>2066</v>
      </c>
      <c r="AA5734" s="609"/>
    </row>
    <row r="5735" spans="1:27" ht="18.75" thickBot="1">
      <c r="A5735" s="2714"/>
      <c r="B5735" s="371"/>
      <c r="C5735" s="371"/>
      <c r="D5735" s="2716">
        <f t="shared" si="616"/>
        <v>1</v>
      </c>
      <c r="E5735" s="2721" t="s">
        <v>3032</v>
      </c>
      <c r="F5735" s="294"/>
      <c r="G5735" s="374" t="s">
        <v>2752</v>
      </c>
      <c r="H5735" s="581"/>
      <c r="I5735" s="375">
        <f>SUMPRODUCT($E5729:$E5734,I5729:I5734)</f>
        <v>0</v>
      </c>
      <c r="J5735" s="395">
        <f>SUMPRODUCT($E5729:$E5734,J5729:J5734)</f>
        <v>0</v>
      </c>
      <c r="K5735" s="301"/>
      <c r="L5735" s="301"/>
      <c r="M5735" s="301"/>
      <c r="N5735" s="291"/>
      <c r="O5735" s="291"/>
      <c r="P5735" s="291"/>
      <c r="S5735" s="364"/>
      <c r="Z5735" s="609" t="s">
        <v>2066</v>
      </c>
      <c r="AA5735" s="609"/>
    </row>
    <row r="5736" spans="1:27" ht="18">
      <c r="A5736" s="2714"/>
      <c r="B5736" s="371"/>
      <c r="C5736" s="371" t="s">
        <v>2755</v>
      </c>
      <c r="D5736" s="371"/>
      <c r="F5736" s="294"/>
      <c r="G5736" s="301"/>
      <c r="H5736" s="393"/>
      <c r="I5736" s="315"/>
      <c r="J5736" s="315"/>
      <c r="K5736" s="301"/>
      <c r="L5736" s="301"/>
      <c r="M5736" s="301"/>
      <c r="N5736" s="291"/>
      <c r="O5736" s="291"/>
      <c r="P5736" s="291"/>
      <c r="S5736" s="364"/>
      <c r="Z5736" s="609" t="s">
        <v>2066</v>
      </c>
      <c r="AA5736" s="609"/>
    </row>
    <row r="5737" spans="1:27" ht="24">
      <c r="A5737" s="2714" t="s">
        <v>2091</v>
      </c>
      <c r="B5737" s="371">
        <v>5.7</v>
      </c>
      <c r="C5737" s="371"/>
      <c r="D5737" s="2716" t="str">
        <f>VLOOKUP($A5737,Sheet_NoteList,2,0)</f>
        <v>关键管理人员报酬情况</v>
      </c>
      <c r="E5737" s="2716" t="s">
        <v>2742</v>
      </c>
      <c r="F5737" s="294"/>
      <c r="G5737" s="483" t="str">
        <f>"("&amp;B5737&amp;")"&amp;D5737</f>
        <v>(5.7)关键管理人员报酬情况</v>
      </c>
      <c r="H5737" s="1517" t="str">
        <f>$A5737</f>
        <v>9120l</v>
      </c>
      <c r="I5737" s="343" t="s">
        <v>2743</v>
      </c>
      <c r="J5737" s="301"/>
      <c r="K5737" s="3071"/>
      <c r="L5737" s="315"/>
      <c r="M5737" s="301"/>
      <c r="N5737" s="3071"/>
      <c r="O5737" s="315"/>
      <c r="P5737" s="301"/>
      <c r="S5737" s="364"/>
      <c r="Z5737" s="609" t="s">
        <v>2066</v>
      </c>
      <c r="AA5737" s="609"/>
    </row>
    <row r="5738" spans="1:27" ht="0.75" customHeight="1" thickBot="1">
      <c r="A5738" s="2714"/>
      <c r="B5738" s="371"/>
      <c r="C5738" s="371"/>
      <c r="D5738" s="371"/>
      <c r="F5738" s="371"/>
      <c r="G5738" s="371" t="s">
        <v>4480</v>
      </c>
      <c r="H5738" s="371" t="s">
        <v>4223</v>
      </c>
      <c r="I5738" s="371" t="s">
        <v>4224</v>
      </c>
      <c r="K5738" s="301"/>
      <c r="L5738" s="301"/>
      <c r="M5738" s="301"/>
      <c r="N5738" s="291"/>
      <c r="O5738" s="291"/>
      <c r="P5738" s="291"/>
      <c r="S5738" s="364"/>
      <c r="Z5738" s="609" t="s">
        <v>2066</v>
      </c>
      <c r="AA5738" s="609"/>
    </row>
    <row r="5739" spans="1:27" ht="18">
      <c r="A5739" s="2714"/>
      <c r="B5739" s="371"/>
      <c r="C5739" s="371"/>
      <c r="D5739" s="371"/>
      <c r="E5739" s="2716" t="s">
        <v>2749</v>
      </c>
      <c r="F5739" s="294"/>
      <c r="G5739" s="410" t="s">
        <v>1423</v>
      </c>
      <c r="H5739" s="412" t="str">
        <f>$W$4&amp;"发生额"</f>
        <v>2019年度发生额</v>
      </c>
      <c r="I5739" s="507" t="str">
        <f>$W$5&amp;"发生额"</f>
        <v>2018年度发生额</v>
      </c>
      <c r="J5739" s="355" t="s">
        <v>5350</v>
      </c>
      <c r="K5739" s="301"/>
      <c r="L5739" s="301"/>
      <c r="M5739" s="301"/>
      <c r="N5739" s="291"/>
      <c r="O5739" s="291"/>
      <c r="P5739" s="291"/>
      <c r="S5739" s="364"/>
      <c r="Z5739" s="609" t="s">
        <v>2066</v>
      </c>
      <c r="AA5739" s="609"/>
    </row>
    <row r="5740" spans="1:27" ht="18">
      <c r="A5740" s="2714"/>
      <c r="B5740" s="371">
        <v>101</v>
      </c>
      <c r="C5740" s="371"/>
      <c r="D5740" s="2716">
        <f>IF(OR(G5740="*",G5740="",G5740=0),0,COUNTIF($G$5740:$G$5742,G5740))</f>
        <v>1</v>
      </c>
      <c r="E5740" s="2721">
        <v>1</v>
      </c>
      <c r="F5740" s="294"/>
      <c r="G5740" s="308" t="s">
        <v>4481</v>
      </c>
      <c r="H5740" s="309"/>
      <c r="I5740" s="346"/>
      <c r="K5740" s="301"/>
      <c r="L5740" s="301"/>
      <c r="M5740" s="301"/>
      <c r="N5740" s="291"/>
      <c r="O5740" s="291"/>
      <c r="P5740" s="291"/>
      <c r="S5740" s="364"/>
      <c r="Z5740" s="609" t="s">
        <v>2066</v>
      </c>
      <c r="AA5740" s="609"/>
    </row>
    <row r="5741" spans="1:27" ht="18">
      <c r="A5741" s="2714"/>
      <c r="B5741" s="371">
        <v>102</v>
      </c>
      <c r="C5741" s="371" t="s">
        <v>2791</v>
      </c>
      <c r="D5741" s="2716">
        <f>IF(OR(G5741="*",G5741="",G5741=0),0,COUNTIF($G$5740:$G$5742,G5741))</f>
        <v>0</v>
      </c>
      <c r="E5741" s="2721">
        <v>1</v>
      </c>
      <c r="F5741" s="294"/>
      <c r="G5741" s="319" t="s">
        <v>2792</v>
      </c>
      <c r="H5741" s="309"/>
      <c r="I5741" s="346"/>
      <c r="K5741" s="301"/>
      <c r="L5741" s="301"/>
      <c r="M5741" s="301"/>
      <c r="N5741" s="291"/>
      <c r="O5741" s="291"/>
      <c r="P5741" s="291"/>
      <c r="S5741" s="364"/>
      <c r="Z5741" s="609" t="s">
        <v>2066</v>
      </c>
      <c r="AA5741" s="609"/>
    </row>
    <row r="5742" spans="1:27" ht="18.75" thickBot="1">
      <c r="A5742" s="2714"/>
      <c r="B5742" s="371"/>
      <c r="C5742" s="371"/>
      <c r="D5742" s="2716">
        <f>IF(OR(G5742="*",G5742="",G5742=0),0,COUNTIF($G$5740:$G$5742,G5742))</f>
        <v>1</v>
      </c>
      <c r="E5742" s="2721" t="s">
        <v>3032</v>
      </c>
      <c r="F5742" s="294"/>
      <c r="G5742" s="374" t="s">
        <v>2752</v>
      </c>
      <c r="H5742" s="375">
        <f>SUMPRODUCT($E5739:$E5741,H5739:H5741)</f>
        <v>0</v>
      </c>
      <c r="I5742" s="395">
        <f>SUMPRODUCT($E5739:$E5741,I5739:I5741)</f>
        <v>0</v>
      </c>
      <c r="K5742" s="301"/>
      <c r="L5742" s="301"/>
      <c r="M5742" s="301"/>
      <c r="N5742" s="291"/>
      <c r="O5742" s="291"/>
      <c r="P5742" s="291"/>
      <c r="S5742" s="364"/>
      <c r="Z5742" s="609" t="s">
        <v>2066</v>
      </c>
      <c r="AA5742" s="609"/>
    </row>
    <row r="5743" spans="1:27" ht="18.75" thickBot="1">
      <c r="A5743" s="2714"/>
      <c r="B5743" s="371">
        <v>901</v>
      </c>
      <c r="C5743" s="371"/>
      <c r="D5743" s="2716"/>
      <c r="E5743" s="2716" t="s">
        <v>2753</v>
      </c>
      <c r="F5743" s="294"/>
      <c r="G5743" s="1602" t="s">
        <v>5524</v>
      </c>
      <c r="H5743" s="1600"/>
      <c r="I5743" s="1601"/>
      <c r="J5743" s="315"/>
      <c r="K5743" s="301"/>
      <c r="L5743" s="301"/>
      <c r="M5743" s="301"/>
      <c r="N5743" s="291"/>
      <c r="O5743" s="291"/>
      <c r="P5743" s="291"/>
      <c r="S5743" s="364"/>
      <c r="Z5743" s="609" t="s">
        <v>2066</v>
      </c>
      <c r="AA5743" s="609"/>
    </row>
    <row r="5744" spans="1:27" ht="18">
      <c r="A5744" s="2714"/>
      <c r="B5744" s="371"/>
      <c r="C5744" s="371" t="s">
        <v>2755</v>
      </c>
      <c r="D5744" s="371"/>
      <c r="F5744" s="294"/>
      <c r="G5744" s="301"/>
      <c r="H5744" s="393"/>
      <c r="I5744" s="315"/>
      <c r="J5744" s="315"/>
      <c r="K5744" s="301"/>
      <c r="L5744" s="301"/>
      <c r="M5744" s="301"/>
      <c r="N5744" s="291"/>
      <c r="O5744" s="291"/>
      <c r="P5744" s="291"/>
      <c r="S5744" s="364"/>
      <c r="Z5744" s="609" t="s">
        <v>2066</v>
      </c>
      <c r="AA5744" s="609"/>
    </row>
    <row r="5745" spans="1:27" ht="24">
      <c r="A5745" s="2714" t="s">
        <v>2094</v>
      </c>
      <c r="B5745" s="371">
        <v>6.1</v>
      </c>
      <c r="C5745" s="371"/>
      <c r="D5745" s="2716" t="str">
        <f>VLOOKUP($A5745,Sheet_NoteList,2,0)</f>
        <v>关联方应收应付款项——应收项目</v>
      </c>
      <c r="E5745" s="2716" t="s">
        <v>2742</v>
      </c>
      <c r="F5745" s="293"/>
      <c r="G5745" s="372" t="str">
        <f>"("&amp;B5745&amp;")"&amp;D5745</f>
        <v>(6.1)关联方应收应付款项——应收项目</v>
      </c>
      <c r="H5745" s="1517" t="str">
        <f>$A5745</f>
        <v>9120o</v>
      </c>
      <c r="I5745" s="343" t="s">
        <v>2743</v>
      </c>
      <c r="J5745" s="301" t="s">
        <v>2744</v>
      </c>
      <c r="K5745" s="2210">
        <f>H5758</f>
        <v>0</v>
      </c>
      <c r="L5745" s="349"/>
      <c r="M5745" s="301" t="s">
        <v>2745</v>
      </c>
      <c r="N5745" s="2210">
        <f>I5758</f>
        <v>0</v>
      </c>
      <c r="O5745" s="349"/>
      <c r="P5745" s="301"/>
      <c r="S5745" s="364"/>
      <c r="Z5745" s="609" t="s">
        <v>2066</v>
      </c>
      <c r="AA5745" s="609" t="s">
        <v>19</v>
      </c>
    </row>
    <row r="5746" spans="1:27" ht="0.75" customHeight="1">
      <c r="A5746" s="2714"/>
      <c r="B5746" s="371"/>
      <c r="C5746" s="371"/>
      <c r="D5746" s="2716"/>
      <c r="E5746" s="586"/>
      <c r="F5746" s="586"/>
      <c r="G5746" s="2224" t="s">
        <v>4482</v>
      </c>
      <c r="H5746" s="371" t="s">
        <v>2747</v>
      </c>
      <c r="I5746" s="371" t="s">
        <v>2748</v>
      </c>
      <c r="J5746" s="371" t="s">
        <v>2948</v>
      </c>
      <c r="K5746" s="547" t="s">
        <v>3034</v>
      </c>
      <c r="L5746" s="547" t="s">
        <v>3035</v>
      </c>
      <c r="M5746" s="433"/>
      <c r="N5746" s="428"/>
      <c r="O5746" s="428"/>
      <c r="P5746" s="433"/>
      <c r="Q5746" s="442"/>
      <c r="R5746" s="443"/>
      <c r="S5746" s="364"/>
      <c r="Z5746" s="609" t="s">
        <v>2066</v>
      </c>
      <c r="AA5746" s="609" t="s">
        <v>19</v>
      </c>
    </row>
    <row r="5747" spans="1:27" ht="0.75" customHeight="1" thickBot="1">
      <c r="A5747" s="2714"/>
      <c r="B5747" s="371"/>
      <c r="C5747" s="371"/>
      <c r="D5747" s="2716"/>
      <c r="E5747" s="586"/>
      <c r="F5747" s="586"/>
      <c r="G5747" s="2224"/>
      <c r="H5747" s="371" t="s">
        <v>4483</v>
      </c>
      <c r="I5747" s="371" t="s">
        <v>2855</v>
      </c>
      <c r="J5747" s="371" t="s">
        <v>2856</v>
      </c>
      <c r="K5747" s="547" t="s">
        <v>2858</v>
      </c>
      <c r="L5747" s="547" t="s">
        <v>2859</v>
      </c>
      <c r="M5747" s="433"/>
      <c r="N5747" s="428"/>
      <c r="O5747" s="428"/>
      <c r="P5747" s="433"/>
      <c r="Q5747" s="442"/>
      <c r="R5747" s="443"/>
      <c r="S5747" s="364"/>
      <c r="Z5747" s="609" t="s">
        <v>2066</v>
      </c>
      <c r="AA5747" s="609" t="s">
        <v>19</v>
      </c>
    </row>
    <row r="5748" spans="1:27" ht="18" customHeight="1">
      <c r="A5748" s="2714"/>
      <c r="B5748" s="371"/>
      <c r="C5748" s="371"/>
      <c r="D5748" s="2716"/>
      <c r="E5748" s="586" t="s">
        <v>2749</v>
      </c>
      <c r="F5748" s="414"/>
      <c r="G5748" s="3220" t="s">
        <v>1476</v>
      </c>
      <c r="H5748" s="3188" t="s">
        <v>1423</v>
      </c>
      <c r="I5748" s="3280" t="str">
        <f>$V$2</f>
        <v>2019年12月31日</v>
      </c>
      <c r="J5748" s="3281"/>
      <c r="K5748" s="3276" t="str">
        <f>$V$3</f>
        <v>2018年12月31日</v>
      </c>
      <c r="L5748" s="3277"/>
      <c r="M5748" s="355" t="s">
        <v>5351</v>
      </c>
      <c r="N5748" s="428"/>
      <c r="O5748" s="428"/>
      <c r="P5748" s="433"/>
      <c r="Q5748" s="442"/>
      <c r="R5748" s="443"/>
      <c r="S5748" s="364"/>
      <c r="Z5748" s="609" t="s">
        <v>2066</v>
      </c>
      <c r="AA5748" s="609" t="s">
        <v>19</v>
      </c>
    </row>
    <row r="5749" spans="1:27" ht="18">
      <c r="A5749" s="2714"/>
      <c r="B5749" s="371"/>
      <c r="C5749" s="371"/>
      <c r="D5749" s="2716"/>
      <c r="E5749" s="586" t="s">
        <v>2749</v>
      </c>
      <c r="F5749" s="414"/>
      <c r="G5749" s="3221"/>
      <c r="H5749" s="3241"/>
      <c r="I5749" s="2465" t="s">
        <v>2861</v>
      </c>
      <c r="J5749" s="2465" t="s">
        <v>2862</v>
      </c>
      <c r="K5749" s="419" t="s">
        <v>2861</v>
      </c>
      <c r="L5749" s="2468" t="s">
        <v>2862</v>
      </c>
      <c r="M5749" s="435"/>
      <c r="N5749" s="434"/>
      <c r="O5749" s="434"/>
      <c r="P5749" s="435"/>
      <c r="Q5749" s="442"/>
      <c r="R5749" s="443"/>
      <c r="S5749" s="364"/>
      <c r="Z5749" s="609" t="s">
        <v>2066</v>
      </c>
      <c r="AA5749" s="609" t="s">
        <v>19</v>
      </c>
    </row>
    <row r="5750" spans="1:27" ht="18">
      <c r="A5750" s="2714"/>
      <c r="B5750" s="371">
        <v>101</v>
      </c>
      <c r="C5750" s="371" t="s">
        <v>2791</v>
      </c>
      <c r="D5750" s="2716">
        <f t="shared" ref="D5750:D5758" si="617">IF(OR(G5750="*",G5750="",G5750=0),0,COUNTIF($G$5750:$G$5758,G5750))</f>
        <v>1</v>
      </c>
      <c r="E5750" s="2721">
        <v>1</v>
      </c>
      <c r="F5750" s="293"/>
      <c r="G5750" s="2568" t="s">
        <v>124</v>
      </c>
      <c r="H5750" s="2275"/>
      <c r="I5750" s="2275"/>
      <c r="J5750" s="2275"/>
      <c r="K5750" s="2275"/>
      <c r="L5750" s="2296"/>
      <c r="M5750" s="438"/>
      <c r="N5750" s="439"/>
      <c r="O5750" s="437"/>
      <c r="P5750" s="438"/>
      <c r="Q5750" s="442"/>
      <c r="R5750" s="443"/>
      <c r="S5750" s="364"/>
      <c r="Z5750" s="609" t="s">
        <v>2066</v>
      </c>
      <c r="AA5750" s="609" t="s">
        <v>19</v>
      </c>
    </row>
    <row r="5751" spans="1:27" ht="18">
      <c r="A5751" s="2714"/>
      <c r="B5751" s="371">
        <v>102</v>
      </c>
      <c r="C5751" s="371" t="s">
        <v>2791</v>
      </c>
      <c r="D5751" s="2716">
        <f t="shared" si="617"/>
        <v>1</v>
      </c>
      <c r="E5751" s="2721">
        <v>1</v>
      </c>
      <c r="F5751" s="293"/>
      <c r="G5751" s="2568" t="s">
        <v>109</v>
      </c>
      <c r="H5751" s="2275"/>
      <c r="I5751" s="2275"/>
      <c r="J5751" s="2275"/>
      <c r="K5751" s="2275"/>
      <c r="L5751" s="2296"/>
      <c r="M5751" s="438"/>
      <c r="N5751" s="439"/>
      <c r="O5751" s="437"/>
      <c r="P5751" s="438"/>
      <c r="Q5751" s="442"/>
      <c r="R5751" s="443"/>
      <c r="S5751" s="364"/>
      <c r="Z5751" s="609" t="s">
        <v>2066</v>
      </c>
      <c r="AA5751" s="609" t="s">
        <v>19</v>
      </c>
    </row>
    <row r="5752" spans="1:27" ht="18">
      <c r="A5752" s="2714"/>
      <c r="B5752" s="371">
        <v>103</v>
      </c>
      <c r="C5752" s="371" t="s">
        <v>2791</v>
      </c>
      <c r="D5752" s="2716">
        <f t="shared" si="617"/>
        <v>1</v>
      </c>
      <c r="E5752" s="2721">
        <v>1</v>
      </c>
      <c r="F5752" s="293"/>
      <c r="G5752" s="2568" t="s">
        <v>162</v>
      </c>
      <c r="H5752" s="2275"/>
      <c r="I5752" s="2275"/>
      <c r="J5752" s="2275"/>
      <c r="K5752" s="2275"/>
      <c r="L5752" s="2296"/>
      <c r="M5752" s="438"/>
      <c r="N5752" s="439"/>
      <c r="O5752" s="437"/>
      <c r="P5752" s="438"/>
      <c r="Q5752" s="442"/>
      <c r="R5752" s="443"/>
      <c r="S5752" s="364"/>
      <c r="Z5752" s="609" t="s">
        <v>2066</v>
      </c>
      <c r="AA5752" s="609" t="s">
        <v>19</v>
      </c>
    </row>
    <row r="5753" spans="1:27" ht="18">
      <c r="A5753" s="2714"/>
      <c r="B5753" s="371">
        <v>104</v>
      </c>
      <c r="C5753" s="371" t="s">
        <v>2791</v>
      </c>
      <c r="D5753" s="2716">
        <f t="shared" si="617"/>
        <v>1</v>
      </c>
      <c r="E5753" s="2721">
        <v>1</v>
      </c>
      <c r="F5753" s="293"/>
      <c r="G5753" s="2568" t="s">
        <v>201</v>
      </c>
      <c r="H5753" s="2275"/>
      <c r="I5753" s="2275"/>
      <c r="J5753" s="2275"/>
      <c r="K5753" s="2275"/>
      <c r="L5753" s="2296"/>
      <c r="M5753" s="438"/>
      <c r="N5753" s="439"/>
      <c r="O5753" s="437"/>
      <c r="P5753" s="438"/>
      <c r="Q5753" s="442"/>
      <c r="R5753" s="443"/>
      <c r="S5753" s="364"/>
      <c r="Z5753" s="609" t="s">
        <v>2066</v>
      </c>
      <c r="AA5753" s="609" t="s">
        <v>19</v>
      </c>
    </row>
    <row r="5754" spans="1:27" ht="18">
      <c r="A5754" s="2714"/>
      <c r="B5754" s="371">
        <v>105</v>
      </c>
      <c r="C5754" s="371" t="s">
        <v>2791</v>
      </c>
      <c r="D5754" s="2716">
        <f t="shared" si="617"/>
        <v>0</v>
      </c>
      <c r="E5754" s="2721">
        <v>1</v>
      </c>
      <c r="F5754" s="293"/>
      <c r="G5754" s="2467" t="s">
        <v>2792</v>
      </c>
      <c r="H5754" s="2275"/>
      <c r="I5754" s="2275"/>
      <c r="J5754" s="2275"/>
      <c r="K5754" s="2275"/>
      <c r="L5754" s="2296"/>
      <c r="M5754" s="438"/>
      <c r="N5754" s="439"/>
      <c r="O5754" s="437"/>
      <c r="P5754" s="438"/>
      <c r="Q5754" s="442"/>
      <c r="R5754" s="443"/>
      <c r="S5754" s="364"/>
      <c r="Z5754" s="609" t="s">
        <v>2066</v>
      </c>
      <c r="AA5754" s="609" t="s">
        <v>19</v>
      </c>
    </row>
    <row r="5755" spans="1:27" ht="18">
      <c r="A5755" s="2714"/>
      <c r="B5755" s="371">
        <v>106</v>
      </c>
      <c r="C5755" s="371" t="s">
        <v>2791</v>
      </c>
      <c r="D5755" s="2716">
        <f t="shared" si="617"/>
        <v>0</v>
      </c>
      <c r="E5755" s="2721">
        <v>1</v>
      </c>
      <c r="F5755" s="293"/>
      <c r="G5755" s="2467" t="s">
        <v>2792</v>
      </c>
      <c r="H5755" s="2275"/>
      <c r="I5755" s="2275"/>
      <c r="J5755" s="2275"/>
      <c r="K5755" s="2275"/>
      <c r="L5755" s="2296"/>
      <c r="M5755" s="438"/>
      <c r="N5755" s="439"/>
      <c r="O5755" s="437"/>
      <c r="P5755" s="438"/>
      <c r="Q5755" s="442"/>
      <c r="R5755" s="443"/>
      <c r="S5755" s="364"/>
      <c r="Z5755" s="609" t="s">
        <v>2066</v>
      </c>
      <c r="AA5755" s="609" t="s">
        <v>19</v>
      </c>
    </row>
    <row r="5756" spans="1:27" ht="18">
      <c r="A5756" s="2714"/>
      <c r="B5756" s="371">
        <v>107</v>
      </c>
      <c r="C5756" s="371" t="s">
        <v>2791</v>
      </c>
      <c r="D5756" s="2716">
        <f t="shared" si="617"/>
        <v>0</v>
      </c>
      <c r="E5756" s="2721">
        <v>1</v>
      </c>
      <c r="F5756" s="293"/>
      <c r="G5756" s="2467" t="s">
        <v>2792</v>
      </c>
      <c r="H5756" s="2275"/>
      <c r="I5756" s="2275"/>
      <c r="J5756" s="2275"/>
      <c r="K5756" s="2275"/>
      <c r="L5756" s="2296"/>
      <c r="M5756" s="438"/>
      <c r="N5756" s="439"/>
      <c r="O5756" s="437"/>
      <c r="P5756" s="438"/>
      <c r="Q5756" s="442"/>
      <c r="R5756" s="443"/>
      <c r="S5756" s="364"/>
      <c r="Z5756" s="609" t="s">
        <v>2066</v>
      </c>
      <c r="AA5756" s="609" t="s">
        <v>19</v>
      </c>
    </row>
    <row r="5757" spans="1:27" ht="18">
      <c r="A5757" s="2714"/>
      <c r="B5757" s="371">
        <v>108</v>
      </c>
      <c r="C5757" s="371" t="s">
        <v>2791</v>
      </c>
      <c r="D5757" s="2716">
        <f t="shared" si="617"/>
        <v>0</v>
      </c>
      <c r="E5757" s="2721">
        <v>1</v>
      </c>
      <c r="F5757" s="293"/>
      <c r="G5757" s="2467" t="s">
        <v>2792</v>
      </c>
      <c r="H5757" s="2275"/>
      <c r="I5757" s="2275"/>
      <c r="J5757" s="2275"/>
      <c r="K5757" s="2275"/>
      <c r="L5757" s="2296"/>
      <c r="M5757" s="438"/>
      <c r="N5757" s="439"/>
      <c r="O5757" s="437"/>
      <c r="P5757" s="438"/>
      <c r="Q5757" s="442"/>
      <c r="R5757" s="443"/>
      <c r="S5757" s="364"/>
      <c r="Z5757" s="609" t="s">
        <v>2066</v>
      </c>
      <c r="AA5757" s="609" t="s">
        <v>19</v>
      </c>
    </row>
    <row r="5758" spans="1:27" ht="18.75" thickBot="1">
      <c r="A5758" s="2714"/>
      <c r="B5758" s="371"/>
      <c r="C5758" s="371"/>
      <c r="D5758" s="2716">
        <f t="shared" si="617"/>
        <v>1</v>
      </c>
      <c r="E5758" s="2721" t="s">
        <v>2751</v>
      </c>
      <c r="F5758" s="293"/>
      <c r="G5758" s="374" t="s">
        <v>2752</v>
      </c>
      <c r="H5758" s="1478">
        <f>SUMPRODUCT($E5749:$E5757,H5749:H5757)</f>
        <v>0</v>
      </c>
      <c r="I5758" s="1478">
        <f>SUMPRODUCT($E5749:$E5757,I5749:I5757)</f>
        <v>0</v>
      </c>
      <c r="J5758" s="1478">
        <f>SUMPRODUCT($E5749:$E5757,J5749:J5757)</f>
        <v>0</v>
      </c>
      <c r="K5758" s="2377"/>
      <c r="L5758" s="2481"/>
      <c r="M5758" s="440"/>
      <c r="N5758" s="439"/>
      <c r="O5758" s="437"/>
      <c r="P5758" s="440"/>
      <c r="Q5758" s="442"/>
      <c r="R5758" s="443"/>
      <c r="S5758" s="364"/>
      <c r="Z5758" s="609" t="s">
        <v>2066</v>
      </c>
      <c r="AA5758" s="609" t="s">
        <v>19</v>
      </c>
    </row>
    <row r="5759" spans="1:27" ht="18">
      <c r="A5759" s="2714"/>
      <c r="B5759" s="371"/>
      <c r="C5759" s="371" t="s">
        <v>2755</v>
      </c>
      <c r="D5759" s="2716"/>
      <c r="F5759" s="293"/>
      <c r="G5759" s="376"/>
      <c r="H5759" s="315"/>
      <c r="I5759" s="396"/>
      <c r="J5759" s="315"/>
      <c r="K5759" s="423"/>
      <c r="L5759" s="315"/>
      <c r="M5759" s="425"/>
      <c r="N5759" s="426"/>
      <c r="O5759" s="427"/>
      <c r="P5759" s="425"/>
      <c r="Q5759" s="442"/>
      <c r="R5759" s="443"/>
      <c r="S5759" s="364"/>
      <c r="Z5759" s="609" t="s">
        <v>2066</v>
      </c>
      <c r="AA5759" s="609" t="s">
        <v>19</v>
      </c>
    </row>
    <row r="5760" spans="1:27" ht="24">
      <c r="A5760" s="2714" t="s">
        <v>2096</v>
      </c>
      <c r="B5760" s="371">
        <v>6.2</v>
      </c>
      <c r="C5760" s="371"/>
      <c r="D5760" s="2716" t="str">
        <f>VLOOKUP($A5760,Sheet_NoteList,2,0)</f>
        <v>关联方应收应付款项——应付项目</v>
      </c>
      <c r="E5760" s="2716" t="s">
        <v>2742</v>
      </c>
      <c r="F5760" s="293"/>
      <c r="G5760" s="372" t="str">
        <f>"("&amp;B5760&amp;")"&amp;D5760</f>
        <v>(6.2)关联方应收应付款项——应付项目</v>
      </c>
      <c r="H5760" s="1517" t="str">
        <f>$A5760</f>
        <v>9120p</v>
      </c>
      <c r="I5760" s="343" t="s">
        <v>2743</v>
      </c>
      <c r="J5760" s="301" t="s">
        <v>2744</v>
      </c>
      <c r="K5760" s="2210">
        <f>I5771</f>
        <v>0</v>
      </c>
      <c r="L5760" s="349"/>
      <c r="M5760" s="301" t="s">
        <v>2745</v>
      </c>
      <c r="N5760" s="2210">
        <f>J5771</f>
        <v>0</v>
      </c>
      <c r="O5760" s="349"/>
      <c r="P5760" s="301"/>
      <c r="S5760" s="364"/>
      <c r="Z5760" s="609" t="s">
        <v>2066</v>
      </c>
      <c r="AA5760" s="609" t="s">
        <v>19</v>
      </c>
    </row>
    <row r="5761" spans="1:27" ht="0.75" customHeight="1" thickBot="1">
      <c r="A5761" s="2714"/>
      <c r="B5761" s="371"/>
      <c r="C5761" s="371"/>
      <c r="D5761" s="2716"/>
      <c r="E5761" s="586"/>
      <c r="F5761" s="586"/>
      <c r="G5761" s="2224" t="s">
        <v>4484</v>
      </c>
      <c r="H5761" s="371" t="s">
        <v>3067</v>
      </c>
      <c r="I5761" s="371" t="s">
        <v>2748</v>
      </c>
      <c r="J5761" s="371" t="s">
        <v>2948</v>
      </c>
      <c r="K5761" s="428"/>
      <c r="L5761" s="428"/>
      <c r="M5761" s="433"/>
      <c r="N5761" s="428"/>
      <c r="O5761" s="428"/>
      <c r="P5761" s="433"/>
      <c r="Q5761" s="442"/>
      <c r="R5761" s="443"/>
      <c r="S5761" s="364"/>
      <c r="Z5761" s="609" t="s">
        <v>2066</v>
      </c>
      <c r="AA5761" s="609" t="s">
        <v>19</v>
      </c>
    </row>
    <row r="5762" spans="1:27" ht="18">
      <c r="A5762" s="2714"/>
      <c r="B5762" s="371"/>
      <c r="C5762" s="371"/>
      <c r="D5762" s="2716"/>
      <c r="E5762" s="586" t="s">
        <v>2749</v>
      </c>
      <c r="F5762" s="414"/>
      <c r="G5762" s="2457" t="s">
        <v>1476</v>
      </c>
      <c r="H5762" s="2464" t="s">
        <v>1423</v>
      </c>
      <c r="I5762" s="2503" t="str">
        <f>$V$2</f>
        <v>2019年12月31日</v>
      </c>
      <c r="J5762" s="2504" t="str">
        <f>$V$3</f>
        <v>2018年12月31日</v>
      </c>
      <c r="K5762" s="355" t="s">
        <v>5351</v>
      </c>
      <c r="L5762" s="434"/>
      <c r="M5762" s="435"/>
      <c r="N5762" s="434"/>
      <c r="O5762" s="434"/>
      <c r="P5762" s="435"/>
      <c r="Q5762" s="442"/>
      <c r="R5762" s="443"/>
      <c r="S5762" s="364"/>
      <c r="Z5762" s="609" t="s">
        <v>2066</v>
      </c>
      <c r="AA5762" s="609" t="s">
        <v>19</v>
      </c>
    </row>
    <row r="5763" spans="1:27" ht="18">
      <c r="A5763" s="2714"/>
      <c r="B5763" s="371">
        <v>101</v>
      </c>
      <c r="C5763" s="371" t="s">
        <v>2791</v>
      </c>
      <c r="D5763" s="2716">
        <f t="shared" ref="D5763:D5771" si="618">IF(OR(G5763="*",G5763="",G5763=0),0,COUNTIF($G$5763:$G$5771,G5763))</f>
        <v>1</v>
      </c>
      <c r="E5763" s="2721">
        <v>1</v>
      </c>
      <c r="F5763" s="293"/>
      <c r="G5763" s="2568" t="s">
        <v>476</v>
      </c>
      <c r="H5763" s="2298"/>
      <c r="I5763" s="2275"/>
      <c r="J5763" s="2296"/>
      <c r="K5763" s="439"/>
      <c r="L5763" s="437"/>
      <c r="M5763" s="438"/>
      <c r="N5763" s="439"/>
      <c r="O5763" s="437"/>
      <c r="P5763" s="438"/>
      <c r="Q5763" s="442"/>
      <c r="R5763" s="443"/>
      <c r="S5763" s="364"/>
      <c r="Z5763" s="609" t="s">
        <v>2066</v>
      </c>
      <c r="AA5763" s="609" t="s">
        <v>19</v>
      </c>
    </row>
    <row r="5764" spans="1:27" ht="18">
      <c r="A5764" s="2714"/>
      <c r="B5764" s="371">
        <v>102</v>
      </c>
      <c r="C5764" s="371" t="s">
        <v>2791</v>
      </c>
      <c r="D5764" s="2716">
        <f t="shared" si="618"/>
        <v>1</v>
      </c>
      <c r="E5764" s="2721">
        <v>1</v>
      </c>
      <c r="F5764" s="293"/>
      <c r="G5764" s="2568" t="s">
        <v>471</v>
      </c>
      <c r="H5764" s="2298"/>
      <c r="I5764" s="2275"/>
      <c r="J5764" s="2296"/>
      <c r="K5764" s="439"/>
      <c r="L5764" s="437"/>
      <c r="M5764" s="438"/>
      <c r="N5764" s="439"/>
      <c r="O5764" s="437"/>
      <c r="P5764" s="438"/>
      <c r="Q5764" s="442"/>
      <c r="R5764" s="443"/>
      <c r="S5764" s="364"/>
      <c r="Z5764" s="609" t="s">
        <v>2066</v>
      </c>
      <c r="AA5764" s="609" t="s">
        <v>19</v>
      </c>
    </row>
    <row r="5765" spans="1:27" ht="18">
      <c r="A5765" s="2714"/>
      <c r="B5765" s="371">
        <v>103</v>
      </c>
      <c r="C5765" s="371" t="s">
        <v>2791</v>
      </c>
      <c r="D5765" s="2716">
        <f t="shared" si="618"/>
        <v>1</v>
      </c>
      <c r="E5765" s="2721">
        <v>1</v>
      </c>
      <c r="F5765" s="293"/>
      <c r="G5765" s="2568" t="s">
        <v>484</v>
      </c>
      <c r="H5765" s="2298"/>
      <c r="I5765" s="2275"/>
      <c r="J5765" s="2296"/>
      <c r="K5765" s="439"/>
      <c r="L5765" s="437"/>
      <c r="M5765" s="438"/>
      <c r="N5765" s="439"/>
      <c r="O5765" s="437"/>
      <c r="P5765" s="438"/>
      <c r="Q5765" s="442"/>
      <c r="R5765" s="443"/>
      <c r="S5765" s="364"/>
      <c r="Z5765" s="609" t="s">
        <v>2066</v>
      </c>
      <c r="AA5765" s="609" t="s">
        <v>19</v>
      </c>
    </row>
    <row r="5766" spans="1:27" ht="18">
      <c r="A5766" s="2714"/>
      <c r="B5766" s="371">
        <v>104</v>
      </c>
      <c r="C5766" s="371" t="s">
        <v>2791</v>
      </c>
      <c r="D5766" s="2716">
        <f t="shared" si="618"/>
        <v>1</v>
      </c>
      <c r="E5766" s="2721">
        <v>1</v>
      </c>
      <c r="F5766" s="293"/>
      <c r="G5766" s="2568" t="s">
        <v>513</v>
      </c>
      <c r="H5766" s="2298"/>
      <c r="I5766" s="2275"/>
      <c r="J5766" s="2296"/>
      <c r="K5766" s="439"/>
      <c r="L5766" s="437"/>
      <c r="M5766" s="438"/>
      <c r="N5766" s="439"/>
      <c r="O5766" s="437"/>
      <c r="P5766" s="438"/>
      <c r="Q5766" s="442"/>
      <c r="R5766" s="443"/>
      <c r="S5766" s="364"/>
      <c r="Z5766" s="609" t="s">
        <v>2066</v>
      </c>
      <c r="AA5766" s="609" t="s">
        <v>19</v>
      </c>
    </row>
    <row r="5767" spans="1:27" ht="18">
      <c r="A5767" s="2714"/>
      <c r="B5767" s="371">
        <v>105</v>
      </c>
      <c r="C5767" s="371" t="s">
        <v>2791</v>
      </c>
      <c r="D5767" s="2716">
        <f t="shared" si="618"/>
        <v>0</v>
      </c>
      <c r="E5767" s="2721">
        <v>1</v>
      </c>
      <c r="F5767" s="293"/>
      <c r="G5767" s="2467" t="s">
        <v>2792</v>
      </c>
      <c r="H5767" s="2298"/>
      <c r="I5767" s="2275"/>
      <c r="J5767" s="2296"/>
      <c r="K5767" s="439"/>
      <c r="L5767" s="437"/>
      <c r="M5767" s="438"/>
      <c r="N5767" s="439"/>
      <c r="O5767" s="437"/>
      <c r="P5767" s="438"/>
      <c r="Q5767" s="442"/>
      <c r="R5767" s="443"/>
      <c r="S5767" s="364"/>
      <c r="Z5767" s="609" t="s">
        <v>2066</v>
      </c>
      <c r="AA5767" s="609" t="s">
        <v>19</v>
      </c>
    </row>
    <row r="5768" spans="1:27" ht="18">
      <c r="A5768" s="2714"/>
      <c r="B5768" s="371">
        <v>106</v>
      </c>
      <c r="C5768" s="371" t="s">
        <v>2791</v>
      </c>
      <c r="D5768" s="2716">
        <f t="shared" si="618"/>
        <v>0</v>
      </c>
      <c r="E5768" s="2721">
        <v>1</v>
      </c>
      <c r="F5768" s="293"/>
      <c r="G5768" s="2467" t="s">
        <v>2792</v>
      </c>
      <c r="H5768" s="2298"/>
      <c r="I5768" s="2275"/>
      <c r="J5768" s="2296"/>
      <c r="K5768" s="439"/>
      <c r="L5768" s="437"/>
      <c r="M5768" s="438"/>
      <c r="N5768" s="439"/>
      <c r="O5768" s="437"/>
      <c r="P5768" s="438"/>
      <c r="Q5768" s="442"/>
      <c r="R5768" s="443"/>
      <c r="S5768" s="364"/>
      <c r="Z5768" s="609" t="s">
        <v>2066</v>
      </c>
      <c r="AA5768" s="609" t="s">
        <v>19</v>
      </c>
    </row>
    <row r="5769" spans="1:27" ht="18">
      <c r="A5769" s="2714"/>
      <c r="B5769" s="371">
        <v>107</v>
      </c>
      <c r="C5769" s="371" t="s">
        <v>2791</v>
      </c>
      <c r="D5769" s="2716">
        <f t="shared" si="618"/>
        <v>0</v>
      </c>
      <c r="E5769" s="2721">
        <v>1</v>
      </c>
      <c r="F5769" s="293"/>
      <c r="G5769" s="2467" t="s">
        <v>2792</v>
      </c>
      <c r="H5769" s="2298"/>
      <c r="I5769" s="2275"/>
      <c r="J5769" s="2296"/>
      <c r="K5769" s="439"/>
      <c r="L5769" s="437"/>
      <c r="M5769" s="438"/>
      <c r="N5769" s="439"/>
      <c r="O5769" s="437"/>
      <c r="P5769" s="438"/>
      <c r="Q5769" s="442"/>
      <c r="R5769" s="443"/>
      <c r="S5769" s="364"/>
      <c r="Z5769" s="609" t="s">
        <v>2066</v>
      </c>
      <c r="AA5769" s="609" t="s">
        <v>19</v>
      </c>
    </row>
    <row r="5770" spans="1:27" ht="18">
      <c r="A5770" s="2714"/>
      <c r="B5770" s="371">
        <v>108</v>
      </c>
      <c r="C5770" s="371" t="s">
        <v>2791</v>
      </c>
      <c r="D5770" s="2716">
        <f t="shared" si="618"/>
        <v>0</v>
      </c>
      <c r="E5770" s="2721">
        <v>1</v>
      </c>
      <c r="F5770" s="293"/>
      <c r="G5770" s="2467" t="s">
        <v>2792</v>
      </c>
      <c r="H5770" s="2298"/>
      <c r="I5770" s="2275"/>
      <c r="J5770" s="2296"/>
      <c r="K5770" s="439"/>
      <c r="L5770" s="437"/>
      <c r="M5770" s="438"/>
      <c r="N5770" s="439"/>
      <c r="O5770" s="437"/>
      <c r="P5770" s="438"/>
      <c r="Q5770" s="442"/>
      <c r="R5770" s="443"/>
      <c r="S5770" s="364"/>
      <c r="Z5770" s="609" t="s">
        <v>2066</v>
      </c>
      <c r="AA5770" s="609" t="s">
        <v>19</v>
      </c>
    </row>
    <row r="5771" spans="1:27" ht="18.75" thickBot="1">
      <c r="A5771" s="2714"/>
      <c r="B5771" s="371"/>
      <c r="C5771" s="371"/>
      <c r="D5771" s="2716">
        <f t="shared" si="618"/>
        <v>1</v>
      </c>
      <c r="E5771" s="2721" t="s">
        <v>2751</v>
      </c>
      <c r="F5771" s="293"/>
      <c r="G5771" s="374" t="s">
        <v>2752</v>
      </c>
      <c r="H5771" s="2378">
        <f>SUMPRODUCT($E5762:$E5770,H5762:H5770)</f>
        <v>0</v>
      </c>
      <c r="I5771" s="1478">
        <f>SUMPRODUCT($E5762:$E5770,I5762:I5770)</f>
        <v>0</v>
      </c>
      <c r="J5771" s="1479">
        <f>SUMPRODUCT($E5762:$E5770,J5762:J5770)</f>
        <v>0</v>
      </c>
      <c r="K5771" s="439"/>
      <c r="L5771" s="437"/>
      <c r="M5771" s="440"/>
      <c r="N5771" s="439"/>
      <c r="O5771" s="437"/>
      <c r="P5771" s="440"/>
      <c r="Q5771" s="442"/>
      <c r="R5771" s="443"/>
      <c r="S5771" s="364"/>
      <c r="Z5771" s="609" t="s">
        <v>2066</v>
      </c>
      <c r="AA5771" s="609" t="s">
        <v>19</v>
      </c>
    </row>
    <row r="5772" spans="1:27" ht="18">
      <c r="A5772" s="2714"/>
      <c r="B5772" s="371"/>
      <c r="C5772" s="371" t="s">
        <v>2755</v>
      </c>
      <c r="D5772" s="2716"/>
      <c r="F5772" s="293"/>
      <c r="G5772" s="376"/>
      <c r="H5772" s="393"/>
      <c r="I5772" s="396"/>
      <c r="J5772" s="315"/>
      <c r="K5772" s="426"/>
      <c r="L5772" s="427"/>
      <c r="M5772" s="425"/>
      <c r="N5772" s="426"/>
      <c r="O5772" s="427"/>
      <c r="P5772" s="425"/>
      <c r="Q5772" s="442"/>
      <c r="R5772" s="443"/>
      <c r="S5772" s="364"/>
      <c r="Z5772" s="609" t="s">
        <v>2066</v>
      </c>
      <c r="AA5772" s="609" t="s">
        <v>19</v>
      </c>
    </row>
    <row r="5773" spans="1:27" ht="17.25">
      <c r="A5773" s="2715">
        <v>9367</v>
      </c>
      <c r="B5773" s="371" t="s">
        <v>6572</v>
      </c>
      <c r="C5773" s="2716" t="str">
        <f>VLOOKUP($A5773,Sheet_Items,2,0)</f>
        <v>终止经营</v>
      </c>
      <c r="D5773" s="371"/>
      <c r="E5773" s="2716" t="s">
        <v>2739</v>
      </c>
      <c r="F5773" s="371"/>
      <c r="G5773" s="305" t="str">
        <f>B5773&amp;" "&amp;C5773</f>
        <v>十四 5. 终止经营</v>
      </c>
      <c r="H5773" s="306"/>
      <c r="I5773" s="306"/>
      <c r="J5773" s="306"/>
      <c r="K5773" s="341"/>
      <c r="L5773" s="342"/>
      <c r="M5773" s="306"/>
      <c r="N5773" s="341"/>
      <c r="O5773" s="342"/>
      <c r="P5773" s="301"/>
      <c r="S5773" s="364"/>
      <c r="Z5773" s="609" t="s">
        <v>2155</v>
      </c>
      <c r="AA5773" s="609" t="s">
        <v>19</v>
      </c>
    </row>
    <row r="5774" spans="1:27" ht="24">
      <c r="A5774" s="2714" t="s">
        <v>2153</v>
      </c>
      <c r="B5774" s="371">
        <v>1</v>
      </c>
      <c r="C5774" s="371"/>
      <c r="D5774" s="2716" t="str">
        <f>VLOOKUP($A5774,Sheet_NoteList,2,0)</f>
        <v>其他重要事项（终止经营）</v>
      </c>
      <c r="E5774" s="2716" t="s">
        <v>2742</v>
      </c>
      <c r="F5774" s="371"/>
      <c r="G5774" s="372" t="str">
        <f>"("&amp;B5774&amp;")"&amp;D5774</f>
        <v>(1)其他重要事项（终止经营）</v>
      </c>
      <c r="H5774" s="1517" t="str">
        <f>$A5774</f>
        <v>9367a</v>
      </c>
      <c r="I5774" s="343" t="s">
        <v>2743</v>
      </c>
      <c r="J5774" s="301" t="s">
        <v>2744</v>
      </c>
      <c r="K5774" s="391"/>
      <c r="L5774" s="349"/>
      <c r="M5774" s="301" t="s">
        <v>2745</v>
      </c>
      <c r="N5774" s="391"/>
      <c r="O5774" s="349"/>
      <c r="P5774" s="301"/>
      <c r="S5774" s="364"/>
      <c r="Z5774" s="609" t="s">
        <v>2155</v>
      </c>
      <c r="AA5774" s="609" t="s">
        <v>19</v>
      </c>
    </row>
    <row r="5775" spans="1:27" ht="0.75" customHeight="1" thickBot="1">
      <c r="A5775" s="2714"/>
      <c r="B5775" s="371"/>
      <c r="C5775" s="371"/>
      <c r="D5775" s="2716"/>
      <c r="F5775" s="371"/>
      <c r="G5775" s="405" t="s">
        <v>4661</v>
      </c>
      <c r="H5775" s="371" t="s">
        <v>4223</v>
      </c>
      <c r="I5775" s="371" t="s">
        <v>4224</v>
      </c>
      <c r="J5775" s="301"/>
      <c r="K5775" s="391"/>
      <c r="L5775" s="349"/>
      <c r="M5775" s="301"/>
      <c r="N5775" s="391"/>
      <c r="O5775" s="349"/>
      <c r="P5775" s="301"/>
      <c r="S5775" s="364"/>
      <c r="Z5775" s="609" t="s">
        <v>2155</v>
      </c>
      <c r="AA5775" s="609" t="s">
        <v>19</v>
      </c>
    </row>
    <row r="5776" spans="1:27" ht="18">
      <c r="A5776" s="2714"/>
      <c r="B5776" s="371"/>
      <c r="C5776" s="371"/>
      <c r="D5776" s="2716"/>
      <c r="E5776" s="2716" t="s">
        <v>2749</v>
      </c>
      <c r="F5776" s="371"/>
      <c r="G5776" s="2563" t="s">
        <v>47</v>
      </c>
      <c r="H5776" s="2558" t="str">
        <f>$V$4</f>
        <v>2019年度</v>
      </c>
      <c r="I5776" s="2562" t="str">
        <f>$V$5</f>
        <v>2018年度</v>
      </c>
      <c r="J5776" s="355" t="s">
        <v>5352</v>
      </c>
      <c r="K5776" s="391"/>
      <c r="L5776" s="349"/>
      <c r="M5776" s="301"/>
      <c r="N5776" s="391"/>
      <c r="O5776" s="349"/>
      <c r="P5776" s="301"/>
      <c r="S5776" s="364"/>
      <c r="Z5776" s="609" t="s">
        <v>2155</v>
      </c>
      <c r="AA5776" s="609" t="s">
        <v>19</v>
      </c>
    </row>
    <row r="5777" spans="1:27" ht="18">
      <c r="A5777" s="2714"/>
      <c r="B5777" s="371">
        <v>103</v>
      </c>
      <c r="C5777" s="371"/>
      <c r="D5777" s="2716">
        <f t="shared" ref="D5777:D5793" si="619">IF(OR(G5777="*",G5777="",G5777=0),0,COUNTIF($G$5777:$G$5793,G5777))</f>
        <v>1</v>
      </c>
      <c r="E5777" s="2721">
        <v>1</v>
      </c>
      <c r="F5777" s="371"/>
      <c r="G5777" s="308" t="s">
        <v>4662</v>
      </c>
      <c r="H5777" s="309"/>
      <c r="I5777" s="346"/>
      <c r="J5777" s="301"/>
      <c r="K5777" s="391"/>
      <c r="L5777" s="349"/>
      <c r="M5777" s="301"/>
      <c r="N5777" s="391"/>
      <c r="O5777" s="349"/>
      <c r="P5777" s="301"/>
      <c r="S5777" s="364"/>
      <c r="Z5777" s="609" t="s">
        <v>2155</v>
      </c>
      <c r="AA5777" s="609" t="s">
        <v>19</v>
      </c>
    </row>
    <row r="5778" spans="1:27" ht="18">
      <c r="A5778" s="2714"/>
      <c r="B5778" s="371">
        <v>104</v>
      </c>
      <c r="C5778" s="371"/>
      <c r="D5778" s="2716">
        <f t="shared" si="619"/>
        <v>1</v>
      </c>
      <c r="E5778" s="2721">
        <v>1</v>
      </c>
      <c r="F5778" s="371"/>
      <c r="G5778" s="308" t="s">
        <v>4663</v>
      </c>
      <c r="H5778" s="309"/>
      <c r="I5778" s="346"/>
      <c r="J5778" s="301"/>
      <c r="K5778" s="391"/>
      <c r="L5778" s="349"/>
      <c r="M5778" s="301"/>
      <c r="N5778" s="391"/>
      <c r="O5778" s="349"/>
      <c r="P5778" s="301"/>
      <c r="S5778" s="364"/>
      <c r="Z5778" s="609" t="s">
        <v>2155</v>
      </c>
      <c r="AA5778" s="609" t="s">
        <v>19</v>
      </c>
    </row>
    <row r="5779" spans="1:27" ht="18">
      <c r="A5779" s="2714"/>
      <c r="B5779" s="371">
        <v>105</v>
      </c>
      <c r="C5779" s="371"/>
      <c r="D5779" s="2716">
        <f t="shared" si="619"/>
        <v>1</v>
      </c>
      <c r="E5779" s="2721">
        <v>1</v>
      </c>
      <c r="F5779" s="371"/>
      <c r="G5779" s="308" t="s">
        <v>4664</v>
      </c>
      <c r="H5779" s="309"/>
      <c r="I5779" s="346"/>
      <c r="J5779" s="301"/>
      <c r="K5779" s="391"/>
      <c r="L5779" s="349"/>
      <c r="M5779" s="301"/>
      <c r="N5779" s="391"/>
      <c r="O5779" s="349"/>
      <c r="P5779" s="301"/>
      <c r="S5779" s="364"/>
      <c r="Z5779" s="609" t="s">
        <v>2155</v>
      </c>
      <c r="AA5779" s="609" t="s">
        <v>19</v>
      </c>
    </row>
    <row r="5780" spans="1:27" ht="18">
      <c r="A5780" s="2714"/>
      <c r="B5780" s="371">
        <v>106</v>
      </c>
      <c r="C5780" s="371"/>
      <c r="D5780" s="2716">
        <f t="shared" si="619"/>
        <v>1</v>
      </c>
      <c r="E5780" s="2721">
        <v>1</v>
      </c>
      <c r="F5780" s="371"/>
      <c r="G5780" s="308" t="s">
        <v>4665</v>
      </c>
      <c r="H5780" s="309"/>
      <c r="I5780" s="346"/>
      <c r="J5780" s="301"/>
      <c r="K5780" s="391"/>
      <c r="L5780" s="349"/>
      <c r="M5780" s="301"/>
      <c r="N5780" s="391"/>
      <c r="O5780" s="349"/>
      <c r="P5780" s="301"/>
      <c r="S5780" s="364"/>
      <c r="Z5780" s="609" t="s">
        <v>2155</v>
      </c>
      <c r="AA5780" s="609" t="s">
        <v>19</v>
      </c>
    </row>
    <row r="5781" spans="1:27" ht="18">
      <c r="A5781" s="2714"/>
      <c r="B5781" s="371">
        <v>107</v>
      </c>
      <c r="C5781" s="371"/>
      <c r="D5781" s="2716">
        <f t="shared" si="619"/>
        <v>1</v>
      </c>
      <c r="E5781" s="2721">
        <v>1</v>
      </c>
      <c r="F5781" s="371"/>
      <c r="G5781" s="308" t="s">
        <v>4666</v>
      </c>
      <c r="H5781" s="309">
        <f>H5779-H5780</f>
        <v>0</v>
      </c>
      <c r="I5781" s="346">
        <f>I5779-I5780</f>
        <v>0</v>
      </c>
      <c r="J5781" s="301"/>
      <c r="K5781" s="391"/>
      <c r="L5781" s="349"/>
      <c r="M5781" s="301"/>
      <c r="N5781" s="391"/>
      <c r="O5781" s="349"/>
      <c r="P5781" s="301"/>
      <c r="S5781" s="364"/>
      <c r="Z5781" s="609" t="s">
        <v>2155</v>
      </c>
      <c r="AA5781" s="609" t="s">
        <v>19</v>
      </c>
    </row>
    <row r="5782" spans="1:27" ht="18">
      <c r="A5782" s="2714"/>
      <c r="B5782" s="371">
        <v>108</v>
      </c>
      <c r="C5782" s="371"/>
      <c r="D5782" s="2716">
        <f t="shared" si="619"/>
        <v>1</v>
      </c>
      <c r="E5782" s="2721">
        <v>1</v>
      </c>
      <c r="F5782" s="371"/>
      <c r="G5782" s="308" t="s">
        <v>5250</v>
      </c>
      <c r="H5782" s="309"/>
      <c r="I5782" s="346"/>
      <c r="J5782" s="301"/>
      <c r="K5782" s="391"/>
      <c r="L5782" s="349"/>
      <c r="M5782" s="301"/>
      <c r="N5782" s="391"/>
      <c r="O5782" s="349"/>
      <c r="P5782" s="301"/>
      <c r="S5782" s="364"/>
      <c r="Z5782" s="609" t="s">
        <v>2155</v>
      </c>
      <c r="AA5782" s="609" t="s">
        <v>19</v>
      </c>
    </row>
    <row r="5783" spans="1:27" ht="18">
      <c r="A5783" s="2714"/>
      <c r="B5783" s="371">
        <v>109</v>
      </c>
      <c r="C5783" s="371"/>
      <c r="D5783" s="2716">
        <f t="shared" si="619"/>
        <v>1</v>
      </c>
      <c r="E5783" s="2721">
        <v>1</v>
      </c>
      <c r="F5783" s="371"/>
      <c r="G5783" s="308" t="s">
        <v>4667</v>
      </c>
      <c r="H5783" s="309"/>
      <c r="I5783" s="346"/>
      <c r="J5783" s="301"/>
      <c r="K5783" s="391"/>
      <c r="L5783" s="349"/>
      <c r="M5783" s="301"/>
      <c r="N5783" s="391"/>
      <c r="O5783" s="349"/>
      <c r="P5783" s="301"/>
      <c r="S5783" s="364"/>
      <c r="Z5783" s="609" t="s">
        <v>2155</v>
      </c>
      <c r="AA5783" s="609" t="s">
        <v>19</v>
      </c>
    </row>
    <row r="5784" spans="1:27" ht="18">
      <c r="A5784" s="2714"/>
      <c r="B5784" s="371">
        <v>110</v>
      </c>
      <c r="C5784" s="371"/>
      <c r="D5784" s="2716">
        <f t="shared" si="619"/>
        <v>1</v>
      </c>
      <c r="E5784" s="2721">
        <v>1</v>
      </c>
      <c r="F5784" s="371"/>
      <c r="G5784" s="308" t="s">
        <v>4668</v>
      </c>
      <c r="H5784" s="309"/>
      <c r="I5784" s="346"/>
      <c r="J5784" s="301"/>
      <c r="K5784" s="391"/>
      <c r="L5784" s="349"/>
      <c r="M5784" s="301"/>
      <c r="N5784" s="391"/>
      <c r="O5784" s="349"/>
      <c r="P5784" s="301"/>
      <c r="S5784" s="364"/>
      <c r="Z5784" s="609" t="s">
        <v>2155</v>
      </c>
      <c r="AA5784" s="609" t="s">
        <v>19</v>
      </c>
    </row>
    <row r="5785" spans="1:27" ht="18">
      <c r="A5785" s="2714"/>
      <c r="B5785" s="371">
        <v>111</v>
      </c>
      <c r="C5785" s="371"/>
      <c r="D5785" s="2716">
        <f t="shared" si="619"/>
        <v>1</v>
      </c>
      <c r="E5785" s="2721">
        <v>1</v>
      </c>
      <c r="F5785" s="371"/>
      <c r="G5785" s="308" t="s">
        <v>4669</v>
      </c>
      <c r="H5785" s="309">
        <f>H5783-H5784</f>
        <v>0</v>
      </c>
      <c r="I5785" s="346">
        <f>I5783-I5784</f>
        <v>0</v>
      </c>
      <c r="J5785" s="301"/>
      <c r="K5785" s="391"/>
      <c r="L5785" s="349"/>
      <c r="M5785" s="301"/>
      <c r="N5785" s="391"/>
      <c r="O5785" s="349"/>
      <c r="P5785" s="301"/>
      <c r="S5785" s="364"/>
      <c r="Z5785" s="609" t="s">
        <v>2155</v>
      </c>
      <c r="AA5785" s="609" t="s">
        <v>19</v>
      </c>
    </row>
    <row r="5786" spans="1:27" ht="18">
      <c r="A5786" s="2714"/>
      <c r="B5786" s="371">
        <v>112</v>
      </c>
      <c r="C5786" s="371"/>
      <c r="D5786" s="2716">
        <f t="shared" si="619"/>
        <v>1</v>
      </c>
      <c r="E5786" s="2721">
        <v>1</v>
      </c>
      <c r="F5786" s="371"/>
      <c r="G5786" s="308" t="s">
        <v>4670</v>
      </c>
      <c r="H5786" s="309">
        <f>H5781+H5782+H5785</f>
        <v>0</v>
      </c>
      <c r="I5786" s="346">
        <f>I5781+I5782+I5785</f>
        <v>0</v>
      </c>
      <c r="J5786" s="301"/>
      <c r="K5786" s="391"/>
      <c r="L5786" s="349"/>
      <c r="M5786" s="301"/>
      <c r="N5786" s="391"/>
      <c r="O5786" s="349"/>
      <c r="P5786" s="301"/>
      <c r="S5786" s="364"/>
      <c r="Z5786" s="609" t="s">
        <v>2155</v>
      </c>
      <c r="AA5786" s="609" t="s">
        <v>19</v>
      </c>
    </row>
    <row r="5787" spans="1:27" ht="24">
      <c r="A5787" s="2714"/>
      <c r="B5787" s="371">
        <v>113</v>
      </c>
      <c r="C5787" s="371"/>
      <c r="D5787" s="2716">
        <f t="shared" si="619"/>
        <v>1</v>
      </c>
      <c r="E5787" s="2721">
        <v>1</v>
      </c>
      <c r="F5787" s="371"/>
      <c r="G5787" s="308" t="s">
        <v>4671</v>
      </c>
      <c r="H5787" s="309"/>
      <c r="I5787" s="346"/>
      <c r="J5787" s="301"/>
      <c r="K5787" s="391"/>
      <c r="L5787" s="349"/>
      <c r="M5787" s="301"/>
      <c r="N5787" s="391"/>
      <c r="O5787" s="349"/>
      <c r="P5787" s="301"/>
      <c r="S5787" s="364"/>
      <c r="Z5787" s="609" t="s">
        <v>2155</v>
      </c>
      <c r="AA5787" s="609" t="s">
        <v>19</v>
      </c>
    </row>
    <row r="5788" spans="1:27" ht="24">
      <c r="A5788" s="2714"/>
      <c r="B5788" s="371">
        <v>114</v>
      </c>
      <c r="C5788" s="371"/>
      <c r="D5788" s="2716">
        <f t="shared" si="619"/>
        <v>1</v>
      </c>
      <c r="E5788" s="2721">
        <v>1</v>
      </c>
      <c r="F5788" s="371"/>
      <c r="G5788" s="308" t="s">
        <v>4672</v>
      </c>
      <c r="H5788" s="309"/>
      <c r="I5788" s="346"/>
      <c r="J5788" s="301"/>
      <c r="K5788" s="391"/>
      <c r="L5788" s="349"/>
      <c r="M5788" s="301"/>
      <c r="N5788" s="391"/>
      <c r="O5788" s="349"/>
      <c r="P5788" s="301"/>
      <c r="S5788" s="364"/>
      <c r="Z5788" s="609" t="s">
        <v>2155</v>
      </c>
      <c r="AA5788" s="609" t="s">
        <v>19</v>
      </c>
    </row>
    <row r="5789" spans="1:27" ht="18">
      <c r="A5789" s="2714"/>
      <c r="B5789" s="371">
        <v>115</v>
      </c>
      <c r="C5789" s="371"/>
      <c r="D5789" s="2716">
        <f t="shared" si="619"/>
        <v>1</v>
      </c>
      <c r="E5789" s="2721">
        <v>1</v>
      </c>
      <c r="F5789" s="371"/>
      <c r="G5789" s="308" t="s">
        <v>4673</v>
      </c>
      <c r="H5789" s="309"/>
      <c r="I5789" s="346"/>
      <c r="J5789" s="301"/>
      <c r="K5789" s="391"/>
      <c r="L5789" s="349"/>
      <c r="M5789" s="301"/>
      <c r="N5789" s="391"/>
      <c r="O5789" s="349"/>
      <c r="P5789" s="301"/>
      <c r="S5789" s="364"/>
      <c r="Z5789" s="609" t="s">
        <v>2155</v>
      </c>
      <c r="AA5789" s="609" t="s">
        <v>19</v>
      </c>
    </row>
    <row r="5790" spans="1:27" ht="18">
      <c r="A5790" s="2714"/>
      <c r="B5790" s="371">
        <v>116</v>
      </c>
      <c r="C5790" s="371"/>
      <c r="D5790" s="2716">
        <f t="shared" si="619"/>
        <v>1</v>
      </c>
      <c r="E5790" s="2721">
        <v>1</v>
      </c>
      <c r="F5790" s="371"/>
      <c r="G5790" s="308" t="s">
        <v>4674</v>
      </c>
      <c r="H5790" s="309"/>
      <c r="I5790" s="346"/>
      <c r="J5790" s="301"/>
      <c r="K5790" s="391"/>
      <c r="L5790" s="349"/>
      <c r="M5790" s="301"/>
      <c r="N5790" s="391"/>
      <c r="O5790" s="349"/>
      <c r="P5790" s="301"/>
      <c r="S5790" s="364"/>
      <c r="Z5790" s="609" t="s">
        <v>2155</v>
      </c>
      <c r="AA5790" s="609" t="s">
        <v>19</v>
      </c>
    </row>
    <row r="5791" spans="1:27" ht="18">
      <c r="A5791" s="2714"/>
      <c r="B5791" s="371">
        <v>117</v>
      </c>
      <c r="C5791" s="371"/>
      <c r="D5791" s="2716">
        <f t="shared" si="619"/>
        <v>1</v>
      </c>
      <c r="E5791" s="2721">
        <v>1</v>
      </c>
      <c r="F5791" s="371"/>
      <c r="G5791" s="308" t="s">
        <v>4675</v>
      </c>
      <c r="H5791" s="309"/>
      <c r="I5791" s="346"/>
      <c r="J5791" s="301"/>
      <c r="K5791" s="391"/>
      <c r="L5791" s="349"/>
      <c r="M5791" s="301"/>
      <c r="N5791" s="391"/>
      <c r="O5791" s="349"/>
      <c r="P5791" s="301"/>
      <c r="S5791" s="364"/>
      <c r="Z5791" s="609" t="s">
        <v>2155</v>
      </c>
      <c r="AA5791" s="609" t="s">
        <v>19</v>
      </c>
    </row>
    <row r="5792" spans="1:27" ht="18">
      <c r="A5792" s="2714"/>
      <c r="B5792" s="371">
        <v>118</v>
      </c>
      <c r="C5792" s="371" t="s">
        <v>2791</v>
      </c>
      <c r="D5792" s="2716">
        <f t="shared" si="619"/>
        <v>0</v>
      </c>
      <c r="E5792" s="2721">
        <v>1</v>
      </c>
      <c r="F5792" s="371"/>
      <c r="G5792" s="319" t="s">
        <v>2792</v>
      </c>
      <c r="H5792" s="309"/>
      <c r="I5792" s="346"/>
      <c r="J5792" s="301"/>
      <c r="K5792" s="391"/>
      <c r="L5792" s="349"/>
      <c r="M5792" s="301"/>
      <c r="N5792" s="391"/>
      <c r="O5792" s="349"/>
      <c r="P5792" s="301"/>
      <c r="S5792" s="364"/>
      <c r="Z5792" s="609" t="s">
        <v>2155</v>
      </c>
      <c r="AA5792" s="609" t="s">
        <v>19</v>
      </c>
    </row>
    <row r="5793" spans="1:31" ht="18.75" thickBot="1">
      <c r="A5793" s="2714"/>
      <c r="B5793" s="371"/>
      <c r="C5793" s="371"/>
      <c r="D5793" s="2716">
        <f t="shared" si="619"/>
        <v>0</v>
      </c>
      <c r="E5793" s="2721" t="s">
        <v>3595</v>
      </c>
      <c r="F5793" s="371"/>
      <c r="G5793" s="2617"/>
      <c r="H5793" s="2485"/>
      <c r="I5793" s="2502"/>
      <c r="J5793" s="301"/>
      <c r="K5793" s="391"/>
      <c r="L5793" s="349"/>
      <c r="M5793" s="301"/>
      <c r="N5793" s="391"/>
      <c r="O5793" s="349"/>
      <c r="P5793" s="301"/>
      <c r="S5793" s="364"/>
      <c r="Z5793" s="609" t="s">
        <v>2155</v>
      </c>
      <c r="AA5793" s="609" t="s">
        <v>19</v>
      </c>
    </row>
    <row r="5794" spans="1:31" ht="18">
      <c r="A5794" s="2714"/>
      <c r="B5794" s="371"/>
      <c r="C5794" s="371" t="s">
        <v>2755</v>
      </c>
      <c r="D5794" s="2716"/>
      <c r="F5794" s="371"/>
      <c r="G5794" s="376"/>
      <c r="H5794" s="315"/>
      <c r="I5794" s="396"/>
      <c r="J5794" s="301"/>
      <c r="K5794" s="391"/>
      <c r="L5794" s="349"/>
      <c r="M5794" s="301"/>
      <c r="N5794" s="391"/>
      <c r="O5794" s="349"/>
      <c r="P5794" s="301"/>
      <c r="S5794" s="364"/>
      <c r="Z5794" s="609" t="s">
        <v>2155</v>
      </c>
      <c r="AA5794" s="609" t="s">
        <v>19</v>
      </c>
    </row>
    <row r="5795" spans="1:31" ht="24" hidden="1">
      <c r="A5795" s="2714" t="s">
        <v>6103</v>
      </c>
      <c r="B5795" s="371">
        <v>1</v>
      </c>
      <c r="C5795" s="371"/>
      <c r="D5795" s="2716" t="str">
        <f>VLOOKUP($A5795,Sheet_NoteList,2,0)</f>
        <v>其他重要事项——终止经营</v>
      </c>
      <c r="E5795" s="2716" t="s">
        <v>6614</v>
      </c>
      <c r="F5795" s="293"/>
      <c r="G5795" s="372" t="str">
        <f>"("&amp;B5795&amp;")"&amp;D5795</f>
        <v>(1)其他重要事项——终止经营</v>
      </c>
      <c r="H5795" s="1517" t="str">
        <f>$A5795</f>
        <v>9367b</v>
      </c>
      <c r="I5795" s="343" t="s">
        <v>6617</v>
      </c>
      <c r="J5795" s="301" t="s">
        <v>6615</v>
      </c>
      <c r="K5795" s="2210">
        <f>H5801</f>
        <v>0</v>
      </c>
      <c r="L5795" s="349"/>
      <c r="M5795" s="301" t="s">
        <v>6619</v>
      </c>
      <c r="N5795" s="2210">
        <f>I5801</f>
        <v>0</v>
      </c>
      <c r="O5795" s="349"/>
      <c r="P5795" s="301"/>
      <c r="S5795" s="364"/>
      <c r="Z5795" s="609" t="s">
        <v>2155</v>
      </c>
      <c r="AA5795" s="609" t="s">
        <v>19</v>
      </c>
      <c r="AE5795" s="369" t="s">
        <v>2761</v>
      </c>
    </row>
    <row r="5796" spans="1:31" ht="0.75" hidden="1" customHeight="1" thickBot="1">
      <c r="A5796" s="2714"/>
      <c r="B5796" s="371"/>
      <c r="C5796" s="371"/>
      <c r="D5796" s="2716"/>
      <c r="E5796" s="586"/>
      <c r="F5796" s="586"/>
      <c r="G5796" s="2224" t="s">
        <v>6104</v>
      </c>
      <c r="H5796" s="1617" t="s">
        <v>6283</v>
      </c>
      <c r="I5796" s="371" t="s">
        <v>6284</v>
      </c>
      <c r="J5796" s="371" t="s">
        <v>6285</v>
      </c>
      <c r="K5796" s="371" t="s">
        <v>6106</v>
      </c>
      <c r="L5796" s="371" t="s">
        <v>6107</v>
      </c>
      <c r="M5796" s="371" t="s">
        <v>6108</v>
      </c>
      <c r="N5796" s="391"/>
      <c r="O5796" s="349"/>
      <c r="P5796" s="301"/>
      <c r="S5796" s="364"/>
      <c r="Z5796" s="609" t="s">
        <v>2155</v>
      </c>
      <c r="AA5796" s="609" t="s">
        <v>19</v>
      </c>
      <c r="AE5796" s="369" t="s">
        <v>2761</v>
      </c>
    </row>
    <row r="5797" spans="1:31" ht="36" hidden="1">
      <c r="A5797" s="2714"/>
      <c r="B5797" s="371"/>
      <c r="C5797" s="371"/>
      <c r="D5797" s="2716"/>
      <c r="E5797" s="586" t="s">
        <v>2749</v>
      </c>
      <c r="F5797" s="414"/>
      <c r="G5797" s="2466" t="s">
        <v>47</v>
      </c>
      <c r="H5797" s="2455" t="s">
        <v>4218</v>
      </c>
      <c r="I5797" s="2455" t="s">
        <v>6105</v>
      </c>
      <c r="J5797" s="2455" t="s">
        <v>861</v>
      </c>
      <c r="K5797" s="2455" t="s">
        <v>717</v>
      </c>
      <c r="L5797" s="2455" t="s">
        <v>871</v>
      </c>
      <c r="M5797" s="2456" t="s">
        <v>6109</v>
      </c>
      <c r="N5797" s="2452" t="s">
        <v>5990</v>
      </c>
      <c r="O5797" s="349"/>
      <c r="P5797" s="301"/>
      <c r="S5797" s="364"/>
      <c r="Z5797" s="609" t="s">
        <v>2155</v>
      </c>
      <c r="AA5797" s="609" t="s">
        <v>19</v>
      </c>
      <c r="AE5797" s="369" t="s">
        <v>2761</v>
      </c>
    </row>
    <row r="5798" spans="1:31" ht="18" hidden="1">
      <c r="A5798" s="2714"/>
      <c r="B5798" s="371">
        <v>101</v>
      </c>
      <c r="C5798" s="371" t="s">
        <v>2791</v>
      </c>
      <c r="D5798" s="2716">
        <f t="shared" ref="D5798:D5801" si="620">IF(OR(G5798="*",G5798="",G5798=0),0,COUNTIF($G$5798:$G$5801,G5798))</f>
        <v>0</v>
      </c>
      <c r="E5798" s="2721">
        <v>1</v>
      </c>
      <c r="F5798" s="293"/>
      <c r="G5798" s="2467" t="s">
        <v>2792</v>
      </c>
      <c r="H5798" s="2275"/>
      <c r="I5798" s="2275"/>
      <c r="J5798" s="2275"/>
      <c r="K5798" s="2275"/>
      <c r="L5798" s="2275"/>
      <c r="M5798" s="2296"/>
      <c r="N5798" s="391"/>
      <c r="O5798" s="349"/>
      <c r="P5798" s="301"/>
      <c r="S5798" s="364"/>
      <c r="Z5798" s="609" t="s">
        <v>2155</v>
      </c>
      <c r="AA5798" s="609" t="s">
        <v>19</v>
      </c>
      <c r="AE5798" s="369" t="s">
        <v>2761</v>
      </c>
    </row>
    <row r="5799" spans="1:31" ht="18" hidden="1">
      <c r="A5799" s="2714"/>
      <c r="B5799" s="371">
        <v>102</v>
      </c>
      <c r="C5799" s="371" t="s">
        <v>2791</v>
      </c>
      <c r="D5799" s="2716">
        <f t="shared" si="620"/>
        <v>0</v>
      </c>
      <c r="E5799" s="2721">
        <v>1</v>
      </c>
      <c r="F5799" s="293"/>
      <c r="G5799" s="2467" t="s">
        <v>2792</v>
      </c>
      <c r="H5799" s="2275"/>
      <c r="I5799" s="2275"/>
      <c r="J5799" s="2275"/>
      <c r="K5799" s="2275"/>
      <c r="L5799" s="2275"/>
      <c r="M5799" s="2296"/>
      <c r="N5799" s="391"/>
      <c r="O5799" s="349"/>
      <c r="P5799" s="301"/>
      <c r="S5799" s="364"/>
      <c r="Z5799" s="609" t="s">
        <v>2155</v>
      </c>
      <c r="AA5799" s="609" t="s">
        <v>19</v>
      </c>
      <c r="AE5799" s="369" t="s">
        <v>2761</v>
      </c>
    </row>
    <row r="5800" spans="1:31" ht="18" hidden="1">
      <c r="A5800" s="2714"/>
      <c r="B5800" s="371">
        <v>103</v>
      </c>
      <c r="C5800" s="371" t="s">
        <v>2791</v>
      </c>
      <c r="D5800" s="2716">
        <f t="shared" si="620"/>
        <v>0</v>
      </c>
      <c r="E5800" s="2721">
        <v>1</v>
      </c>
      <c r="F5800" s="293"/>
      <c r="G5800" s="2467" t="s">
        <v>2792</v>
      </c>
      <c r="H5800" s="2275"/>
      <c r="I5800" s="2275"/>
      <c r="J5800" s="2275"/>
      <c r="K5800" s="2275"/>
      <c r="L5800" s="2275"/>
      <c r="M5800" s="2296"/>
      <c r="N5800" s="391"/>
      <c r="O5800" s="349"/>
      <c r="P5800" s="301"/>
      <c r="S5800" s="364"/>
      <c r="Z5800" s="609" t="s">
        <v>2155</v>
      </c>
      <c r="AA5800" s="609" t="s">
        <v>19</v>
      </c>
      <c r="AE5800" s="369" t="s">
        <v>2761</v>
      </c>
    </row>
    <row r="5801" spans="1:31" ht="18.75" hidden="1" thickBot="1">
      <c r="A5801" s="2714"/>
      <c r="B5801" s="371"/>
      <c r="C5801" s="371"/>
      <c r="D5801" s="2716">
        <f t="shared" si="620"/>
        <v>1</v>
      </c>
      <c r="E5801" s="2721" t="s">
        <v>2751</v>
      </c>
      <c r="F5801" s="293"/>
      <c r="G5801" s="310" t="s">
        <v>2752</v>
      </c>
      <c r="H5801" s="1481">
        <f t="shared" ref="H5801:M5801" si="621">SUMPRODUCT($E5797:$E5800,H5797:H5800)</f>
        <v>0</v>
      </c>
      <c r="I5801" s="1481">
        <f t="shared" si="621"/>
        <v>0</v>
      </c>
      <c r="J5801" s="1481">
        <f t="shared" si="621"/>
        <v>0</v>
      </c>
      <c r="K5801" s="1481">
        <f t="shared" si="621"/>
        <v>0</v>
      </c>
      <c r="L5801" s="1481">
        <f t="shared" si="621"/>
        <v>0</v>
      </c>
      <c r="M5801" s="1482">
        <f t="shared" si="621"/>
        <v>0</v>
      </c>
      <c r="N5801" s="391"/>
      <c r="O5801" s="349"/>
      <c r="P5801" s="301"/>
      <c r="S5801" s="364"/>
      <c r="Z5801" s="609" t="s">
        <v>2155</v>
      </c>
      <c r="AA5801" s="609" t="s">
        <v>19</v>
      </c>
      <c r="AE5801" s="369" t="s">
        <v>2761</v>
      </c>
    </row>
    <row r="5802" spans="1:31" ht="18" hidden="1">
      <c r="A5802" s="2714"/>
      <c r="B5802" s="371"/>
      <c r="C5802" s="371" t="s">
        <v>2755</v>
      </c>
      <c r="D5802" s="2716"/>
      <c r="F5802" s="293"/>
      <c r="G5802" s="376"/>
      <c r="H5802" s="1576"/>
      <c r="I5802" s="396"/>
      <c r="J5802" s="315"/>
      <c r="K5802" s="423"/>
      <c r="L5802" s="315"/>
      <c r="M5802" s="315"/>
      <c r="N5802" s="391"/>
      <c r="O5802" s="349"/>
      <c r="P5802" s="301"/>
      <c r="S5802" s="364"/>
      <c r="Z5802" s="609" t="s">
        <v>2155</v>
      </c>
      <c r="AA5802" s="609" t="s">
        <v>19</v>
      </c>
      <c r="AE5802" s="369" t="s">
        <v>2761</v>
      </c>
    </row>
    <row r="5803" spans="1:31" ht="24">
      <c r="A5803" s="2714">
        <v>9601</v>
      </c>
      <c r="B5803" s="371" t="s">
        <v>6573</v>
      </c>
      <c r="C5803" s="2716" t="str">
        <f>VLOOKUP($A5803,Sheet_Items,2,0)</f>
        <v>当期非经常性损益明细表</v>
      </c>
      <c r="D5803" s="371"/>
      <c r="E5803" s="2716" t="s">
        <v>2739</v>
      </c>
      <c r="F5803" s="294"/>
      <c r="G5803" s="305" t="str">
        <f>B5803&amp;" "&amp;C5803</f>
        <v>十六 1. 当期非经常性损益明细表</v>
      </c>
      <c r="H5803" s="306"/>
      <c r="I5803" s="306"/>
      <c r="J5803" s="306"/>
      <c r="K5803" s="539"/>
      <c r="L5803" s="342"/>
      <c r="M5803" s="306"/>
      <c r="N5803" s="539"/>
      <c r="O5803" s="306"/>
      <c r="P5803" s="301"/>
      <c r="S5803" s="364"/>
      <c r="Z5803" s="609" t="s">
        <v>2182</v>
      </c>
      <c r="AA5803" s="609"/>
    </row>
    <row r="5804" spans="1:31" ht="18">
      <c r="A5804" s="2714" t="s">
        <v>2181</v>
      </c>
      <c r="B5804" s="371">
        <v>1</v>
      </c>
      <c r="C5804" s="371"/>
      <c r="D5804" s="2716" t="str">
        <f>VLOOKUP($A5804,Sheet_NoteList,2,0)</f>
        <v>当期非经常性损益明细表</v>
      </c>
      <c r="E5804" s="2716" t="s">
        <v>2742</v>
      </c>
      <c r="F5804" s="294"/>
      <c r="G5804" s="307" t="str">
        <f>"("&amp;B5804&amp;")"&amp;D5804</f>
        <v>(1)当期非经常性损益明细表</v>
      </c>
      <c r="H5804" s="1517" t="str">
        <f>$A5804</f>
        <v>9601a</v>
      </c>
      <c r="I5804" s="343" t="s">
        <v>2743</v>
      </c>
      <c r="J5804" s="301"/>
      <c r="K5804" s="3074">
        <f>H5834</f>
        <v>0</v>
      </c>
      <c r="L5804" s="315"/>
      <c r="M5804" s="301"/>
      <c r="N5804" s="3074">
        <f>I5834</f>
        <v>0</v>
      </c>
      <c r="O5804" s="315"/>
      <c r="P5804" s="301"/>
      <c r="S5804" s="364"/>
      <c r="Z5804" s="609" t="s">
        <v>2182</v>
      </c>
      <c r="AA5804" s="609"/>
    </row>
    <row r="5805" spans="1:31" ht="0.75" customHeight="1" thickBot="1">
      <c r="A5805" s="2714"/>
      <c r="B5805" s="371"/>
      <c r="C5805" s="371"/>
      <c r="D5805" s="371"/>
      <c r="F5805" s="371"/>
      <c r="G5805" s="371" t="s">
        <v>4676</v>
      </c>
      <c r="H5805" s="371" t="s">
        <v>4223</v>
      </c>
      <c r="I5805" s="371" t="s">
        <v>2928</v>
      </c>
      <c r="J5805" s="371" t="s">
        <v>6321</v>
      </c>
      <c r="M5805" s="291"/>
      <c r="N5805" s="291"/>
      <c r="O5805" s="291"/>
      <c r="P5805" s="291"/>
      <c r="S5805" s="364"/>
      <c r="Z5805" s="609" t="s">
        <v>2182</v>
      </c>
      <c r="AA5805" s="609"/>
    </row>
    <row r="5806" spans="1:31" ht="18">
      <c r="A5806" s="2714"/>
      <c r="B5806" s="371"/>
      <c r="C5806" s="371"/>
      <c r="D5806" s="371"/>
      <c r="E5806" s="2716" t="s">
        <v>2749</v>
      </c>
      <c r="F5806" s="294"/>
      <c r="G5806" s="2498" t="s">
        <v>47</v>
      </c>
      <c r="H5806" s="2499" t="str">
        <f>$V$4</f>
        <v>2019年度</v>
      </c>
      <c r="I5806" s="2499" t="str">
        <f>$V$5</f>
        <v>2018年度</v>
      </c>
      <c r="J5806" s="2500" t="s">
        <v>2758</v>
      </c>
      <c r="K5806" s="355" t="s">
        <v>5353</v>
      </c>
      <c r="M5806" s="291"/>
      <c r="N5806" s="291"/>
      <c r="O5806" s="291"/>
      <c r="P5806" s="291"/>
      <c r="S5806" s="364"/>
      <c r="Z5806" s="609" t="s">
        <v>2182</v>
      </c>
      <c r="AA5806" s="609"/>
    </row>
    <row r="5807" spans="1:31" ht="18">
      <c r="A5807" s="2714"/>
      <c r="B5807" s="371">
        <v>101</v>
      </c>
      <c r="C5807" s="371"/>
      <c r="D5807" s="2716">
        <f t="shared" ref="D5807:D5834" si="622">IF(OR(G5807="*",G5807="",G5807=0),0,COUNTIF($G$5807:$G$5834,G5807))</f>
        <v>1</v>
      </c>
      <c r="E5807" s="2721">
        <v>1</v>
      </c>
      <c r="F5807" s="294"/>
      <c r="G5807" s="308" t="s">
        <v>4677</v>
      </c>
      <c r="H5807" s="309"/>
      <c r="I5807" s="309"/>
      <c r="J5807" s="388"/>
      <c r="K5807" s="626"/>
      <c r="M5807" s="291"/>
      <c r="N5807" s="291"/>
      <c r="O5807" s="291"/>
      <c r="P5807" s="291"/>
      <c r="S5807" s="364"/>
      <c r="Z5807" s="609" t="s">
        <v>2182</v>
      </c>
      <c r="AA5807" s="609"/>
    </row>
    <row r="5808" spans="1:31" ht="36">
      <c r="A5808" s="2714"/>
      <c r="B5808" s="371">
        <v>102</v>
      </c>
      <c r="C5808" s="371"/>
      <c r="D5808" s="2716">
        <f t="shared" si="622"/>
        <v>1</v>
      </c>
      <c r="E5808" s="2721">
        <v>1</v>
      </c>
      <c r="F5808" s="294"/>
      <c r="G5808" s="308" t="s">
        <v>4678</v>
      </c>
      <c r="H5808" s="309"/>
      <c r="I5808" s="309"/>
      <c r="J5808" s="388"/>
      <c r="K5808" s="626"/>
      <c r="M5808" s="291"/>
      <c r="N5808" s="291"/>
      <c r="O5808" s="291"/>
      <c r="P5808" s="291"/>
      <c r="S5808" s="364"/>
      <c r="Z5808" s="609" t="s">
        <v>2182</v>
      </c>
      <c r="AA5808" s="609"/>
    </row>
    <row r="5809" spans="1:27" ht="60">
      <c r="A5809" s="2714"/>
      <c r="B5809" s="371">
        <v>103</v>
      </c>
      <c r="C5809" s="371"/>
      <c r="D5809" s="2716">
        <f t="shared" si="622"/>
        <v>1</v>
      </c>
      <c r="E5809" s="2721">
        <v>1</v>
      </c>
      <c r="F5809" s="294"/>
      <c r="G5809" s="308" t="s">
        <v>4679</v>
      </c>
      <c r="H5809" s="309"/>
      <c r="I5809" s="309"/>
      <c r="J5809" s="388"/>
      <c r="K5809" s="626"/>
      <c r="M5809" s="291"/>
      <c r="N5809" s="291"/>
      <c r="O5809" s="291"/>
      <c r="P5809" s="291"/>
      <c r="S5809" s="364"/>
      <c r="Z5809" s="609" t="s">
        <v>2182</v>
      </c>
      <c r="AA5809" s="609"/>
    </row>
    <row r="5810" spans="1:27" ht="24">
      <c r="A5810" s="2714"/>
      <c r="B5810" s="371">
        <v>104</v>
      </c>
      <c r="C5810" s="371"/>
      <c r="D5810" s="2716">
        <f t="shared" si="622"/>
        <v>1</v>
      </c>
      <c r="E5810" s="2721">
        <v>1</v>
      </c>
      <c r="F5810" s="294"/>
      <c r="G5810" s="308" t="s">
        <v>4680</v>
      </c>
      <c r="H5810" s="309"/>
      <c r="I5810" s="309"/>
      <c r="J5810" s="388"/>
      <c r="K5810" s="626"/>
      <c r="M5810" s="291"/>
      <c r="N5810" s="291"/>
      <c r="O5810" s="291"/>
      <c r="P5810" s="291"/>
      <c r="S5810" s="364"/>
      <c r="Z5810" s="609" t="s">
        <v>2182</v>
      </c>
      <c r="AA5810" s="609"/>
    </row>
    <row r="5811" spans="1:27" ht="48">
      <c r="A5811" s="2714"/>
      <c r="B5811" s="371">
        <v>105</v>
      </c>
      <c r="C5811" s="371"/>
      <c r="D5811" s="2716">
        <f t="shared" si="622"/>
        <v>1</v>
      </c>
      <c r="E5811" s="2721">
        <v>1</v>
      </c>
      <c r="F5811" s="294"/>
      <c r="G5811" s="308" t="s">
        <v>4681</v>
      </c>
      <c r="H5811" s="309"/>
      <c r="I5811" s="309"/>
      <c r="J5811" s="388"/>
      <c r="K5811" s="626"/>
      <c r="M5811" s="291"/>
      <c r="N5811" s="291"/>
      <c r="O5811" s="291"/>
      <c r="P5811" s="291"/>
      <c r="S5811" s="364"/>
      <c r="Z5811" s="609" t="s">
        <v>2182</v>
      </c>
      <c r="AA5811" s="609"/>
    </row>
    <row r="5812" spans="1:27" ht="18">
      <c r="A5812" s="2714"/>
      <c r="B5812" s="371">
        <v>106</v>
      </c>
      <c r="C5812" s="371"/>
      <c r="D5812" s="2716">
        <f t="shared" si="622"/>
        <v>1</v>
      </c>
      <c r="E5812" s="2721">
        <v>1</v>
      </c>
      <c r="F5812" s="294"/>
      <c r="G5812" s="308" t="s">
        <v>4682</v>
      </c>
      <c r="H5812" s="309"/>
      <c r="I5812" s="309"/>
      <c r="J5812" s="388"/>
      <c r="K5812" s="626"/>
      <c r="M5812" s="291"/>
      <c r="N5812" s="291"/>
      <c r="O5812" s="291"/>
      <c r="P5812" s="291"/>
      <c r="S5812" s="364"/>
      <c r="Z5812" s="609" t="s">
        <v>2182</v>
      </c>
      <c r="AA5812" s="609"/>
    </row>
    <row r="5813" spans="1:27" ht="24">
      <c r="A5813" s="2714"/>
      <c r="B5813" s="371">
        <v>107</v>
      </c>
      <c r="C5813" s="371"/>
      <c r="D5813" s="2716">
        <f t="shared" si="622"/>
        <v>1</v>
      </c>
      <c r="E5813" s="2721">
        <v>1</v>
      </c>
      <c r="F5813" s="294"/>
      <c r="G5813" s="308" t="s">
        <v>4683</v>
      </c>
      <c r="H5813" s="309"/>
      <c r="I5813" s="309"/>
      <c r="J5813" s="388"/>
      <c r="K5813" s="626"/>
      <c r="M5813" s="291"/>
      <c r="N5813" s="291"/>
      <c r="O5813" s="291"/>
      <c r="P5813" s="291"/>
      <c r="S5813" s="364"/>
      <c r="Z5813" s="609" t="s">
        <v>2182</v>
      </c>
      <c r="AA5813" s="609"/>
    </row>
    <row r="5814" spans="1:27" ht="36">
      <c r="A5814" s="2714"/>
      <c r="B5814" s="371">
        <v>108</v>
      </c>
      <c r="C5814" s="371"/>
      <c r="D5814" s="2716">
        <f t="shared" si="622"/>
        <v>1</v>
      </c>
      <c r="E5814" s="2721">
        <v>1</v>
      </c>
      <c r="F5814" s="294"/>
      <c r="G5814" s="308" t="s">
        <v>4684</v>
      </c>
      <c r="H5814" s="309"/>
      <c r="I5814" s="309"/>
      <c r="J5814" s="388"/>
      <c r="K5814" s="626"/>
      <c r="M5814" s="291"/>
      <c r="N5814" s="291"/>
      <c r="O5814" s="291"/>
      <c r="P5814" s="291"/>
      <c r="S5814" s="364"/>
      <c r="Z5814" s="609" t="s">
        <v>2182</v>
      </c>
      <c r="AA5814" s="609"/>
    </row>
    <row r="5815" spans="1:27" ht="18">
      <c r="A5815" s="2714"/>
      <c r="B5815" s="371">
        <v>109</v>
      </c>
      <c r="C5815" s="371"/>
      <c r="D5815" s="2716">
        <f t="shared" si="622"/>
        <v>1</v>
      </c>
      <c r="E5815" s="2721">
        <v>1</v>
      </c>
      <c r="F5815" s="294"/>
      <c r="G5815" s="308" t="s">
        <v>4685</v>
      </c>
      <c r="H5815" s="309"/>
      <c r="I5815" s="309"/>
      <c r="J5815" s="388"/>
      <c r="K5815" s="626"/>
      <c r="M5815" s="291"/>
      <c r="N5815" s="291"/>
      <c r="O5815" s="291"/>
      <c r="P5815" s="291"/>
      <c r="S5815" s="364"/>
      <c r="Z5815" s="609" t="s">
        <v>2182</v>
      </c>
      <c r="AA5815" s="609"/>
    </row>
    <row r="5816" spans="1:27" ht="24">
      <c r="A5816" s="2714"/>
      <c r="B5816" s="371">
        <v>110</v>
      </c>
      <c r="C5816" s="371"/>
      <c r="D5816" s="2716">
        <f t="shared" si="622"/>
        <v>1</v>
      </c>
      <c r="E5816" s="2721">
        <v>1</v>
      </c>
      <c r="F5816" s="294"/>
      <c r="G5816" s="308" t="s">
        <v>4686</v>
      </c>
      <c r="H5816" s="309"/>
      <c r="I5816" s="309"/>
      <c r="J5816" s="388"/>
      <c r="K5816" s="626"/>
      <c r="M5816" s="291"/>
      <c r="N5816" s="291"/>
      <c r="O5816" s="291"/>
      <c r="P5816" s="291"/>
      <c r="S5816" s="364"/>
      <c r="Z5816" s="609" t="s">
        <v>2182</v>
      </c>
      <c r="AA5816" s="609"/>
    </row>
    <row r="5817" spans="1:27" ht="24">
      <c r="A5817" s="2714"/>
      <c r="B5817" s="371">
        <v>111</v>
      </c>
      <c r="C5817" s="371"/>
      <c r="D5817" s="2716">
        <f t="shared" si="622"/>
        <v>1</v>
      </c>
      <c r="E5817" s="2721">
        <v>1</v>
      </c>
      <c r="F5817" s="294"/>
      <c r="G5817" s="308" t="s">
        <v>4687</v>
      </c>
      <c r="H5817" s="309"/>
      <c r="I5817" s="309"/>
      <c r="J5817" s="388"/>
      <c r="K5817" s="626"/>
      <c r="M5817" s="291"/>
      <c r="N5817" s="291"/>
      <c r="O5817" s="291"/>
      <c r="P5817" s="291"/>
      <c r="S5817" s="364"/>
      <c r="Z5817" s="609" t="s">
        <v>2182</v>
      </c>
      <c r="AA5817" s="609"/>
    </row>
    <row r="5818" spans="1:27" ht="36">
      <c r="A5818" s="2714"/>
      <c r="B5818" s="371">
        <v>112</v>
      </c>
      <c r="C5818" s="371"/>
      <c r="D5818" s="2716">
        <f t="shared" si="622"/>
        <v>1</v>
      </c>
      <c r="E5818" s="2721">
        <v>1</v>
      </c>
      <c r="F5818" s="294"/>
      <c r="G5818" s="308" t="s">
        <v>4688</v>
      </c>
      <c r="H5818" s="309"/>
      <c r="I5818" s="309"/>
      <c r="J5818" s="388"/>
      <c r="K5818" s="626"/>
      <c r="M5818" s="291"/>
      <c r="N5818" s="291"/>
      <c r="O5818" s="291"/>
      <c r="P5818" s="291"/>
      <c r="S5818" s="364"/>
      <c r="Z5818" s="609" t="s">
        <v>2182</v>
      </c>
      <c r="AA5818" s="609"/>
    </row>
    <row r="5819" spans="1:27" ht="24">
      <c r="A5819" s="2714"/>
      <c r="B5819" s="371">
        <v>113</v>
      </c>
      <c r="C5819" s="371"/>
      <c r="D5819" s="2716">
        <f t="shared" si="622"/>
        <v>1</v>
      </c>
      <c r="E5819" s="2721">
        <v>1</v>
      </c>
      <c r="F5819" s="294"/>
      <c r="G5819" s="308" t="s">
        <v>4689</v>
      </c>
      <c r="H5819" s="309"/>
      <c r="I5819" s="309"/>
      <c r="J5819" s="388"/>
      <c r="K5819" s="626"/>
      <c r="M5819" s="291"/>
      <c r="N5819" s="291"/>
      <c r="O5819" s="291"/>
      <c r="P5819" s="291"/>
      <c r="S5819" s="364"/>
      <c r="Z5819" s="609" t="s">
        <v>2182</v>
      </c>
      <c r="AA5819" s="609"/>
    </row>
    <row r="5820" spans="1:27" ht="108">
      <c r="A5820" s="2714"/>
      <c r="B5820" s="371">
        <v>114</v>
      </c>
      <c r="C5820" s="371"/>
      <c r="D5820" s="2716">
        <f t="shared" si="622"/>
        <v>1</v>
      </c>
      <c r="E5820" s="2721">
        <v>1</v>
      </c>
      <c r="F5820" s="294"/>
      <c r="G5820" s="1474" t="s">
        <v>6148</v>
      </c>
      <c r="H5820" s="309"/>
      <c r="I5820" s="2277">
        <v>0</v>
      </c>
      <c r="J5820" s="388"/>
      <c r="K5820" s="626"/>
      <c r="M5820" s="291"/>
      <c r="N5820" s="291"/>
      <c r="O5820" s="291"/>
      <c r="P5820" s="291"/>
      <c r="S5820" s="364"/>
      <c r="Z5820" s="609" t="s">
        <v>2182</v>
      </c>
      <c r="AA5820" s="609"/>
    </row>
    <row r="5821" spans="1:27" ht="84">
      <c r="A5821" s="2714"/>
      <c r="B5821" s="371">
        <v>115</v>
      </c>
      <c r="C5821" s="371"/>
      <c r="D5821" s="2716">
        <f t="shared" si="622"/>
        <v>1</v>
      </c>
      <c r="E5821" s="2721">
        <v>1</v>
      </c>
      <c r="F5821" s="294"/>
      <c r="G5821" s="308" t="s">
        <v>4690</v>
      </c>
      <c r="H5821" s="2277">
        <v>0</v>
      </c>
      <c r="I5821" s="309"/>
      <c r="J5821" s="388"/>
      <c r="K5821" s="626"/>
      <c r="M5821" s="291"/>
      <c r="N5821" s="291"/>
      <c r="O5821" s="291"/>
      <c r="P5821" s="291"/>
      <c r="S5821" s="364"/>
      <c r="Z5821" s="609" t="s">
        <v>2182</v>
      </c>
      <c r="AA5821" s="609"/>
    </row>
    <row r="5822" spans="1:27" ht="24">
      <c r="A5822" s="2714"/>
      <c r="B5822" s="371">
        <v>116</v>
      </c>
      <c r="C5822" s="371"/>
      <c r="D5822" s="2716">
        <f t="shared" si="622"/>
        <v>1</v>
      </c>
      <c r="E5822" s="2721">
        <v>1</v>
      </c>
      <c r="F5822" s="294"/>
      <c r="G5822" s="308" t="s">
        <v>4691</v>
      </c>
      <c r="H5822" s="309"/>
      <c r="I5822" s="309"/>
      <c r="J5822" s="388"/>
      <c r="K5822" s="626"/>
      <c r="M5822" s="291"/>
      <c r="N5822" s="291"/>
      <c r="O5822" s="291"/>
      <c r="P5822" s="291"/>
      <c r="S5822" s="364"/>
      <c r="Z5822" s="609" t="s">
        <v>2182</v>
      </c>
      <c r="AA5822" s="609"/>
    </row>
    <row r="5823" spans="1:27" ht="18">
      <c r="A5823" s="2714"/>
      <c r="B5823" s="371">
        <v>117</v>
      </c>
      <c r="C5823" s="371"/>
      <c r="D5823" s="2716">
        <f t="shared" si="622"/>
        <v>1</v>
      </c>
      <c r="E5823" s="2721">
        <v>1</v>
      </c>
      <c r="F5823" s="294"/>
      <c r="G5823" s="308" t="s">
        <v>4692</v>
      </c>
      <c r="H5823" s="309"/>
      <c r="I5823" s="309"/>
      <c r="J5823" s="388"/>
      <c r="K5823" s="626"/>
      <c r="M5823" s="291"/>
      <c r="N5823" s="291"/>
      <c r="O5823" s="291"/>
      <c r="P5823" s="291"/>
      <c r="S5823" s="364"/>
      <c r="Z5823" s="609" t="s">
        <v>2182</v>
      </c>
      <c r="AA5823" s="609"/>
    </row>
    <row r="5824" spans="1:27" ht="36">
      <c r="A5824" s="2714"/>
      <c r="B5824" s="371">
        <v>118</v>
      </c>
      <c r="C5824" s="371"/>
      <c r="D5824" s="2716">
        <f t="shared" si="622"/>
        <v>1</v>
      </c>
      <c r="E5824" s="2721">
        <v>1</v>
      </c>
      <c r="F5824" s="294"/>
      <c r="G5824" s="308" t="s">
        <v>4693</v>
      </c>
      <c r="H5824" s="309"/>
      <c r="I5824" s="309"/>
      <c r="J5824" s="388"/>
      <c r="K5824" s="626"/>
      <c r="M5824" s="291"/>
      <c r="N5824" s="291"/>
      <c r="O5824" s="291"/>
      <c r="P5824" s="291"/>
      <c r="S5824" s="364"/>
      <c r="Z5824" s="609" t="s">
        <v>2182</v>
      </c>
      <c r="AA5824" s="609"/>
    </row>
    <row r="5825" spans="1:27" ht="36">
      <c r="A5825" s="2714"/>
      <c r="B5825" s="371">
        <v>119</v>
      </c>
      <c r="C5825" s="371"/>
      <c r="D5825" s="2716">
        <f t="shared" si="622"/>
        <v>1</v>
      </c>
      <c r="E5825" s="2721">
        <v>1</v>
      </c>
      <c r="F5825" s="294"/>
      <c r="G5825" s="308" t="s">
        <v>4694</v>
      </c>
      <c r="H5825" s="309"/>
      <c r="I5825" s="309"/>
      <c r="J5825" s="388"/>
      <c r="K5825" s="626"/>
      <c r="M5825" s="291"/>
      <c r="N5825" s="291"/>
      <c r="O5825" s="291"/>
      <c r="P5825" s="291"/>
      <c r="S5825" s="364"/>
      <c r="Z5825" s="609" t="s">
        <v>2182</v>
      </c>
      <c r="AA5825" s="609"/>
    </row>
    <row r="5826" spans="1:27" ht="18">
      <c r="A5826" s="2714"/>
      <c r="B5826" s="371">
        <v>120</v>
      </c>
      <c r="C5826" s="371"/>
      <c r="D5826" s="2716">
        <f t="shared" si="622"/>
        <v>1</v>
      </c>
      <c r="E5826" s="2721">
        <v>1</v>
      </c>
      <c r="F5826" s="294"/>
      <c r="G5826" s="308" t="s">
        <v>4695</v>
      </c>
      <c r="H5826" s="309"/>
      <c r="I5826" s="309"/>
      <c r="J5826" s="388"/>
      <c r="K5826" s="626"/>
      <c r="M5826" s="291"/>
      <c r="N5826" s="291"/>
      <c r="O5826" s="291"/>
      <c r="P5826" s="291"/>
      <c r="S5826" s="364"/>
      <c r="Z5826" s="609" t="s">
        <v>2182</v>
      </c>
      <c r="AA5826" s="609"/>
    </row>
    <row r="5827" spans="1:27" ht="24">
      <c r="A5827" s="2714"/>
      <c r="B5827" s="371">
        <v>121</v>
      </c>
      <c r="C5827" s="371"/>
      <c r="D5827" s="2716">
        <f t="shared" si="622"/>
        <v>1</v>
      </c>
      <c r="E5827" s="2721">
        <v>1</v>
      </c>
      <c r="F5827" s="294"/>
      <c r="G5827" s="308" t="s">
        <v>4696</v>
      </c>
      <c r="H5827" s="309"/>
      <c r="I5827" s="309"/>
      <c r="J5827" s="388"/>
      <c r="K5827" s="626"/>
      <c r="M5827" s="291"/>
      <c r="N5827" s="291"/>
      <c r="O5827" s="291"/>
      <c r="P5827" s="291"/>
      <c r="S5827" s="364"/>
      <c r="Z5827" s="609" t="s">
        <v>2182</v>
      </c>
      <c r="AA5827" s="609"/>
    </row>
    <row r="5828" spans="1:27" ht="24">
      <c r="A5828" s="2714"/>
      <c r="B5828" s="371">
        <v>122</v>
      </c>
      <c r="C5828" s="371"/>
      <c r="D5828" s="2716">
        <f t="shared" si="622"/>
        <v>1</v>
      </c>
      <c r="E5828" s="2721">
        <v>1</v>
      </c>
      <c r="F5828" s="294"/>
      <c r="G5828" s="308" t="s">
        <v>2185</v>
      </c>
      <c r="H5828" s="309"/>
      <c r="I5828" s="309"/>
      <c r="J5828" s="388"/>
      <c r="K5828" s="626"/>
      <c r="M5828" s="291"/>
      <c r="N5828" s="291"/>
      <c r="O5828" s="291"/>
      <c r="P5828" s="291"/>
      <c r="S5828" s="364"/>
      <c r="Z5828" s="609" t="s">
        <v>2182</v>
      </c>
      <c r="AA5828" s="609"/>
    </row>
    <row r="5829" spans="1:27" ht="18">
      <c r="A5829" s="2714"/>
      <c r="B5829" s="371">
        <v>123</v>
      </c>
      <c r="C5829" s="371" t="s">
        <v>2791</v>
      </c>
      <c r="D5829" s="2716">
        <f t="shared" si="622"/>
        <v>0</v>
      </c>
      <c r="E5829" s="2721">
        <v>1</v>
      </c>
      <c r="F5829" s="294"/>
      <c r="G5829" s="319" t="s">
        <v>2792</v>
      </c>
      <c r="H5829" s="309"/>
      <c r="I5829" s="309"/>
      <c r="J5829" s="388"/>
      <c r="K5829" s="626"/>
      <c r="M5829" s="291"/>
      <c r="N5829" s="291"/>
      <c r="O5829" s="291"/>
      <c r="P5829" s="291"/>
      <c r="S5829" s="364"/>
      <c r="Z5829" s="609" t="s">
        <v>2182</v>
      </c>
      <c r="AA5829" s="609"/>
    </row>
    <row r="5830" spans="1:27" ht="18">
      <c r="A5830" s="2714"/>
      <c r="B5830" s="371">
        <v>124</v>
      </c>
      <c r="C5830" s="371"/>
      <c r="D5830" s="2716">
        <f t="shared" si="622"/>
        <v>1</v>
      </c>
      <c r="E5830" s="2721">
        <v>0</v>
      </c>
      <c r="F5830" s="294"/>
      <c r="G5830" s="308" t="s">
        <v>4697</v>
      </c>
      <c r="H5830" s="309">
        <f>SUM(H5807:H5829)</f>
        <v>0</v>
      </c>
      <c r="I5830" s="309">
        <f>SUM(I5807:I5829)</f>
        <v>0</v>
      </c>
      <c r="J5830" s="388"/>
      <c r="K5830" s="626"/>
      <c r="M5830" s="291"/>
      <c r="N5830" s="291"/>
      <c r="O5830" s="291"/>
      <c r="P5830" s="291"/>
      <c r="S5830" s="364"/>
      <c r="Z5830" s="609" t="s">
        <v>2182</v>
      </c>
      <c r="AA5830" s="609"/>
    </row>
    <row r="5831" spans="1:27" ht="24">
      <c r="A5831" s="2714"/>
      <c r="B5831" s="371">
        <v>126</v>
      </c>
      <c r="C5831" s="371"/>
      <c r="D5831" s="2716">
        <f t="shared" si="622"/>
        <v>1</v>
      </c>
      <c r="E5831" s="2721">
        <v>-1</v>
      </c>
      <c r="F5831" s="294"/>
      <c r="G5831" s="308" t="s">
        <v>4698</v>
      </c>
      <c r="H5831" s="309"/>
      <c r="I5831" s="309"/>
      <c r="J5831" s="388"/>
      <c r="K5831" s="626"/>
      <c r="M5831" s="291"/>
      <c r="N5831" s="291"/>
      <c r="O5831" s="291"/>
      <c r="P5831" s="291"/>
      <c r="S5831" s="364"/>
      <c r="Z5831" s="609" t="s">
        <v>2182</v>
      </c>
      <c r="AA5831" s="609"/>
    </row>
    <row r="5832" spans="1:27" ht="18">
      <c r="A5832" s="2714"/>
      <c r="B5832" s="371">
        <v>127</v>
      </c>
      <c r="C5832" s="371"/>
      <c r="D5832" s="2716">
        <f t="shared" si="622"/>
        <v>1</v>
      </c>
      <c r="E5832" s="2721">
        <v>0</v>
      </c>
      <c r="F5832" s="294"/>
      <c r="G5832" s="308" t="s">
        <v>4699</v>
      </c>
      <c r="H5832" s="309">
        <f>SUM(H5830,-H5831)</f>
        <v>0</v>
      </c>
      <c r="I5832" s="309">
        <f>SUM(I5830,-I5831)</f>
        <v>0</v>
      </c>
      <c r="J5832" s="388"/>
      <c r="K5832" s="626"/>
      <c r="M5832" s="291"/>
      <c r="N5832" s="291"/>
      <c r="O5832" s="291"/>
      <c r="P5832" s="291"/>
      <c r="S5832" s="364"/>
      <c r="Z5832" s="609" t="s">
        <v>2182</v>
      </c>
      <c r="AA5832" s="609"/>
    </row>
    <row r="5833" spans="1:27" ht="24">
      <c r="A5833" s="2714"/>
      <c r="B5833" s="371">
        <v>128</v>
      </c>
      <c r="C5833" s="371"/>
      <c r="D5833" s="2716">
        <f t="shared" si="622"/>
        <v>1</v>
      </c>
      <c r="E5833" s="2721">
        <v>-1</v>
      </c>
      <c r="F5833" s="294"/>
      <c r="G5833" s="308" t="s">
        <v>4700</v>
      </c>
      <c r="H5833" s="309"/>
      <c r="I5833" s="309"/>
      <c r="J5833" s="388"/>
      <c r="K5833" s="626"/>
      <c r="M5833" s="291"/>
      <c r="N5833" s="291"/>
      <c r="O5833" s="291"/>
      <c r="P5833" s="291"/>
      <c r="S5833" s="364"/>
      <c r="Z5833" s="609" t="s">
        <v>2182</v>
      </c>
      <c r="AA5833" s="609"/>
    </row>
    <row r="5834" spans="1:27" ht="24.75" thickBot="1">
      <c r="A5834" s="2714"/>
      <c r="B5834" s="371"/>
      <c r="C5834" s="371"/>
      <c r="D5834" s="2716">
        <f t="shared" si="622"/>
        <v>1</v>
      </c>
      <c r="E5834" s="2721" t="s">
        <v>3032</v>
      </c>
      <c r="F5834" s="294"/>
      <c r="G5834" s="2234" t="s">
        <v>4701</v>
      </c>
      <c r="H5834" s="2325">
        <f>SUMPRODUCT($E5806:$E5833,H5806:H5833)</f>
        <v>0</v>
      </c>
      <c r="I5834" s="2325">
        <f>SUMPRODUCT($E5806:$E5833,I5806:I5833)</f>
        <v>0</v>
      </c>
      <c r="J5834" s="2505"/>
      <c r="M5834" s="291"/>
      <c r="N5834" s="291"/>
      <c r="O5834" s="291"/>
      <c r="P5834" s="291"/>
      <c r="S5834" s="364"/>
      <c r="Z5834" s="609" t="s">
        <v>2182</v>
      </c>
      <c r="AA5834" s="609"/>
    </row>
    <row r="5835" spans="1:27" ht="18">
      <c r="A5835" s="2714"/>
      <c r="B5835" s="371"/>
      <c r="C5835" s="371" t="s">
        <v>2755</v>
      </c>
      <c r="D5835" s="371"/>
      <c r="F5835" s="294"/>
      <c r="G5835" s="301"/>
      <c r="H5835" s="315"/>
      <c r="I5835" s="315"/>
      <c r="J5835" s="393"/>
      <c r="K5835" s="349"/>
      <c r="L5835" s="350"/>
      <c r="M5835" s="291"/>
      <c r="N5835" s="291"/>
      <c r="O5835" s="291"/>
      <c r="P5835" s="291"/>
      <c r="S5835" s="364"/>
      <c r="Z5835" s="609" t="s">
        <v>2182</v>
      </c>
      <c r="AA5835" s="609"/>
    </row>
    <row r="5836" spans="1:27" ht="60">
      <c r="A5836" s="2714" t="s">
        <v>2187</v>
      </c>
      <c r="B5836" s="371">
        <v>2</v>
      </c>
      <c r="C5836" s="371"/>
      <c r="D5836" s="2716" t="str">
        <f>VLOOKUP($A5836,Sheet_NoteList,2,0)</f>
        <v>将《公开发行证券的公司信息披露解释性公告第1号——非经常性损益》中列举的非经常性损益项目界定为经常性损益的项目及原因</v>
      </c>
      <c r="E5836" s="2716" t="s">
        <v>2742</v>
      </c>
      <c r="F5836" s="294"/>
      <c r="G5836" s="372" t="str">
        <f>"("&amp;B5836&amp;")"&amp;D5836</f>
        <v>(2)将《公开发行证券的公司信息披露解释性公告第1号——非经常性损益》中列举的非经常性损益项目界定为经常性损益的项目及原因</v>
      </c>
      <c r="H5836" s="1517" t="str">
        <f>$A5836</f>
        <v>9601c</v>
      </c>
      <c r="I5836" s="343" t="s">
        <v>2743</v>
      </c>
      <c r="J5836" s="301"/>
      <c r="K5836" s="3071"/>
      <c r="L5836" s="315"/>
      <c r="M5836" s="301"/>
      <c r="N5836" s="3071"/>
      <c r="O5836" s="315"/>
      <c r="P5836" s="301"/>
      <c r="S5836" s="364"/>
      <c r="Z5836" s="609" t="s">
        <v>2182</v>
      </c>
      <c r="AA5836" s="609"/>
    </row>
    <row r="5837" spans="1:27" ht="0.75" customHeight="1" thickBot="1">
      <c r="A5837" s="2714"/>
      <c r="B5837" s="371"/>
      <c r="C5837" s="371"/>
      <c r="D5837" s="371"/>
      <c r="F5837" s="371"/>
      <c r="G5837" s="371" t="s">
        <v>4702</v>
      </c>
      <c r="H5837" s="371" t="s">
        <v>4703</v>
      </c>
      <c r="I5837" s="371" t="s">
        <v>4704</v>
      </c>
      <c r="M5837" s="291"/>
      <c r="N5837" s="291"/>
      <c r="O5837" s="291"/>
      <c r="P5837" s="291"/>
      <c r="S5837" s="364"/>
      <c r="Z5837" s="609" t="s">
        <v>2182</v>
      </c>
      <c r="AA5837" s="609"/>
    </row>
    <row r="5838" spans="1:27" ht="18">
      <c r="A5838" s="2714"/>
      <c r="B5838" s="371"/>
      <c r="C5838" s="371"/>
      <c r="D5838" s="371"/>
      <c r="E5838" s="2716" t="s">
        <v>2749</v>
      </c>
      <c r="F5838" s="294"/>
      <c r="G5838" s="2498" t="s">
        <v>47</v>
      </c>
      <c r="H5838" s="2499" t="s">
        <v>4705</v>
      </c>
      <c r="I5838" s="2500" t="s">
        <v>4660</v>
      </c>
      <c r="J5838" s="355" t="s">
        <v>5353</v>
      </c>
      <c r="M5838" s="291"/>
      <c r="N5838" s="291"/>
      <c r="O5838" s="291"/>
      <c r="P5838" s="291"/>
      <c r="S5838" s="364"/>
      <c r="Z5838" s="609" t="s">
        <v>2182</v>
      </c>
      <c r="AA5838" s="609"/>
    </row>
    <row r="5839" spans="1:27" ht="18">
      <c r="A5839" s="2714"/>
      <c r="B5839" s="371">
        <v>101</v>
      </c>
      <c r="C5839" s="371" t="s">
        <v>2791</v>
      </c>
      <c r="D5839" s="2716">
        <f t="shared" ref="D5839:D5844" si="623">IF(OR(G5839="*",G5839="",G5839=0),0,COUNTIF($G$5839:$G$5844,G5839))</f>
        <v>0</v>
      </c>
      <c r="E5839" s="2721">
        <v>1</v>
      </c>
      <c r="F5839" s="294"/>
      <c r="G5839" s="319" t="s">
        <v>2792</v>
      </c>
      <c r="H5839" s="309"/>
      <c r="I5839" s="388"/>
      <c r="M5839" s="291"/>
      <c r="N5839" s="291"/>
      <c r="O5839" s="291"/>
      <c r="P5839" s="291"/>
      <c r="S5839" s="364"/>
      <c r="Z5839" s="609" t="s">
        <v>2182</v>
      </c>
      <c r="AA5839" s="609"/>
    </row>
    <row r="5840" spans="1:27" ht="18">
      <c r="A5840" s="2714"/>
      <c r="B5840" s="371">
        <v>102</v>
      </c>
      <c r="C5840" s="371" t="s">
        <v>2791</v>
      </c>
      <c r="D5840" s="2716">
        <f t="shared" si="623"/>
        <v>0</v>
      </c>
      <c r="E5840" s="2721">
        <v>1</v>
      </c>
      <c r="F5840" s="294"/>
      <c r="G5840" s="319" t="s">
        <v>2792</v>
      </c>
      <c r="H5840" s="309"/>
      <c r="I5840" s="388"/>
      <c r="M5840" s="291"/>
      <c r="N5840" s="291"/>
      <c r="O5840" s="291"/>
      <c r="P5840" s="291"/>
      <c r="S5840" s="364"/>
      <c r="Z5840" s="609" t="s">
        <v>2182</v>
      </c>
      <c r="AA5840" s="609"/>
    </row>
    <row r="5841" spans="1:27" ht="18">
      <c r="A5841" s="2714"/>
      <c r="B5841" s="371">
        <v>103</v>
      </c>
      <c r="C5841" s="371" t="s">
        <v>2791</v>
      </c>
      <c r="D5841" s="2716">
        <f t="shared" si="623"/>
        <v>0</v>
      </c>
      <c r="E5841" s="2721">
        <v>1</v>
      </c>
      <c r="F5841" s="294"/>
      <c r="G5841" s="319" t="s">
        <v>2792</v>
      </c>
      <c r="H5841" s="309"/>
      <c r="I5841" s="388"/>
      <c r="M5841" s="291"/>
      <c r="N5841" s="291"/>
      <c r="O5841" s="291"/>
      <c r="P5841" s="291"/>
      <c r="S5841" s="364"/>
      <c r="Z5841" s="609" t="s">
        <v>2182</v>
      </c>
      <c r="AA5841" s="609"/>
    </row>
    <row r="5842" spans="1:27" ht="18">
      <c r="A5842" s="2714"/>
      <c r="B5842" s="371">
        <v>104</v>
      </c>
      <c r="C5842" s="371" t="s">
        <v>2791</v>
      </c>
      <c r="D5842" s="2716">
        <f t="shared" si="623"/>
        <v>0</v>
      </c>
      <c r="E5842" s="2721">
        <v>1</v>
      </c>
      <c r="F5842" s="294"/>
      <c r="G5842" s="319" t="s">
        <v>2792</v>
      </c>
      <c r="H5842" s="309"/>
      <c r="I5842" s="388"/>
      <c r="M5842" s="291"/>
      <c r="N5842" s="291"/>
      <c r="O5842" s="291"/>
      <c r="P5842" s="291"/>
      <c r="S5842" s="364"/>
      <c r="Z5842" s="609" t="s">
        <v>2182</v>
      </c>
      <c r="AA5842" s="609"/>
    </row>
    <row r="5843" spans="1:27" ht="18">
      <c r="A5843" s="2714"/>
      <c r="B5843" s="371">
        <v>105</v>
      </c>
      <c r="C5843" s="371" t="s">
        <v>2791</v>
      </c>
      <c r="D5843" s="2716">
        <f t="shared" si="623"/>
        <v>0</v>
      </c>
      <c r="E5843" s="2721">
        <v>1</v>
      </c>
      <c r="F5843" s="294"/>
      <c r="G5843" s="319" t="s">
        <v>2792</v>
      </c>
      <c r="H5843" s="309"/>
      <c r="I5843" s="388"/>
      <c r="M5843" s="291"/>
      <c r="N5843" s="291"/>
      <c r="O5843" s="291"/>
      <c r="P5843" s="291"/>
      <c r="S5843" s="364"/>
      <c r="Z5843" s="609" t="s">
        <v>2182</v>
      </c>
      <c r="AA5843" s="609"/>
    </row>
    <row r="5844" spans="1:27" ht="18.75" thickBot="1">
      <c r="A5844" s="2714"/>
      <c r="B5844" s="371"/>
      <c r="C5844" s="371"/>
      <c r="D5844" s="2716">
        <f t="shared" si="623"/>
        <v>1</v>
      </c>
      <c r="E5844" s="2721" t="s">
        <v>3032</v>
      </c>
      <c r="F5844" s="294"/>
      <c r="G5844" s="2506" t="s">
        <v>2752</v>
      </c>
      <c r="H5844" s="2485">
        <f>SUMPRODUCT($E5838:$E5843,H5838:H5843)</f>
        <v>0</v>
      </c>
      <c r="I5844" s="2505"/>
      <c r="M5844" s="291"/>
      <c r="N5844" s="291"/>
      <c r="O5844" s="291"/>
      <c r="P5844" s="291"/>
      <c r="S5844" s="364"/>
      <c r="Z5844" s="609" t="s">
        <v>2182</v>
      </c>
      <c r="AA5844" s="609"/>
    </row>
    <row r="5845" spans="1:27" ht="18">
      <c r="A5845" s="2714"/>
      <c r="B5845" s="371"/>
      <c r="C5845" s="371" t="s">
        <v>2755</v>
      </c>
      <c r="D5845" s="371"/>
      <c r="F5845" s="294"/>
      <c r="G5845" s="301"/>
      <c r="H5845" s="315"/>
      <c r="I5845" s="393"/>
      <c r="J5845" s="349"/>
      <c r="K5845" s="349"/>
      <c r="L5845" s="350"/>
      <c r="M5845" s="291"/>
      <c r="N5845" s="291"/>
      <c r="O5845" s="291"/>
      <c r="P5845" s="291"/>
      <c r="S5845" s="364"/>
      <c r="Z5845" s="609" t="s">
        <v>2182</v>
      </c>
      <c r="AA5845" s="609"/>
    </row>
    <row r="5846" spans="1:27" ht="24">
      <c r="A5846" s="2714" t="s">
        <v>2184</v>
      </c>
      <c r="B5846" s="371">
        <v>3</v>
      </c>
      <c r="C5846" s="371"/>
      <c r="D5846" s="2716" t="str">
        <f>VLOOKUP($A5846,Sheet_NoteList,2,0)</f>
        <v>其他符合非经常性损益定义的损益项目</v>
      </c>
      <c r="E5846" s="2716" t="s">
        <v>6532</v>
      </c>
      <c r="F5846" s="294"/>
      <c r="G5846" s="372" t="str">
        <f>"("&amp;B5846&amp;")"&amp;D5846</f>
        <v>(3)其他符合非经常性损益定义的损益项目</v>
      </c>
      <c r="H5846" s="1517" t="str">
        <f>$A5846</f>
        <v>9601b</v>
      </c>
      <c r="I5846" s="343" t="s">
        <v>5980</v>
      </c>
      <c r="J5846" s="301"/>
      <c r="K5846" s="3071"/>
      <c r="L5846" s="315"/>
      <c r="M5846" s="301"/>
      <c r="N5846" s="3071"/>
      <c r="O5846" s="315"/>
      <c r="P5846" s="301"/>
      <c r="S5846" s="364"/>
      <c r="Z5846" s="609" t="s">
        <v>2182</v>
      </c>
      <c r="AA5846" s="609"/>
    </row>
    <row r="5847" spans="1:27" ht="0.75" customHeight="1" thickBot="1">
      <c r="A5847" s="2714"/>
      <c r="B5847" s="371"/>
      <c r="C5847" s="371"/>
      <c r="D5847" s="371"/>
      <c r="E5847" s="586"/>
      <c r="F5847" s="586"/>
      <c r="G5847" s="586" t="s">
        <v>4706</v>
      </c>
      <c r="H5847" s="371" t="s">
        <v>4703</v>
      </c>
      <c r="I5847" s="371" t="s">
        <v>4704</v>
      </c>
      <c r="M5847" s="291"/>
      <c r="N5847" s="291"/>
      <c r="O5847" s="291"/>
      <c r="P5847" s="291"/>
      <c r="S5847" s="364"/>
      <c r="Z5847" s="609" t="s">
        <v>2182</v>
      </c>
      <c r="AA5847" s="609"/>
    </row>
    <row r="5848" spans="1:27" ht="18">
      <c r="A5848" s="2714"/>
      <c r="B5848" s="371"/>
      <c r="C5848" s="371"/>
      <c r="D5848" s="371"/>
      <c r="E5848" s="586" t="s">
        <v>2749</v>
      </c>
      <c r="F5848" s="363"/>
      <c r="G5848" s="2458" t="s">
        <v>47</v>
      </c>
      <c r="H5848" s="2459" t="s">
        <v>4705</v>
      </c>
      <c r="I5848" s="2460" t="s">
        <v>4660</v>
      </c>
      <c r="M5848" s="291"/>
      <c r="N5848" s="291"/>
      <c r="O5848" s="291"/>
      <c r="P5848" s="291"/>
      <c r="S5848" s="364"/>
      <c r="Z5848" s="609" t="s">
        <v>2182</v>
      </c>
      <c r="AA5848" s="609"/>
    </row>
    <row r="5849" spans="1:27" ht="18">
      <c r="A5849" s="2714"/>
      <c r="B5849" s="371">
        <v>101</v>
      </c>
      <c r="C5849" s="371" t="s">
        <v>2791</v>
      </c>
      <c r="D5849" s="2716">
        <f t="shared" ref="D5849:D5854" si="624">IF(OR(G5849="*",G5849="",G5849=0),0,COUNTIF($G$5849:$G$5854,G5849))</f>
        <v>0</v>
      </c>
      <c r="E5849" s="2721">
        <v>1</v>
      </c>
      <c r="F5849" s="294"/>
      <c r="G5849" s="2467" t="s">
        <v>2792</v>
      </c>
      <c r="H5849" s="2275"/>
      <c r="I5849" s="2276"/>
      <c r="M5849" s="291"/>
      <c r="N5849" s="291"/>
      <c r="O5849" s="291"/>
      <c r="P5849" s="291"/>
      <c r="S5849" s="364"/>
      <c r="Z5849" s="609" t="s">
        <v>2182</v>
      </c>
      <c r="AA5849" s="609"/>
    </row>
    <row r="5850" spans="1:27" ht="18">
      <c r="A5850" s="2714"/>
      <c r="B5850" s="371">
        <v>102</v>
      </c>
      <c r="C5850" s="371" t="s">
        <v>2791</v>
      </c>
      <c r="D5850" s="2716">
        <f t="shared" si="624"/>
        <v>0</v>
      </c>
      <c r="E5850" s="2721">
        <v>1</v>
      </c>
      <c r="F5850" s="294"/>
      <c r="G5850" s="2467" t="s">
        <v>2792</v>
      </c>
      <c r="H5850" s="2275"/>
      <c r="I5850" s="2276"/>
      <c r="M5850" s="291"/>
      <c r="N5850" s="291"/>
      <c r="O5850" s="291"/>
      <c r="P5850" s="291"/>
      <c r="S5850" s="364"/>
      <c r="Z5850" s="609" t="s">
        <v>2182</v>
      </c>
      <c r="AA5850" s="609"/>
    </row>
    <row r="5851" spans="1:27" ht="18">
      <c r="A5851" s="2714"/>
      <c r="B5851" s="371">
        <v>103</v>
      </c>
      <c r="C5851" s="371" t="s">
        <v>2791</v>
      </c>
      <c r="D5851" s="2716">
        <f t="shared" si="624"/>
        <v>0</v>
      </c>
      <c r="E5851" s="2721">
        <v>1</v>
      </c>
      <c r="F5851" s="294"/>
      <c r="G5851" s="2467" t="s">
        <v>2792</v>
      </c>
      <c r="H5851" s="2275"/>
      <c r="I5851" s="2276"/>
      <c r="M5851" s="291"/>
      <c r="N5851" s="291"/>
      <c r="O5851" s="291"/>
      <c r="P5851" s="291"/>
      <c r="S5851" s="364"/>
      <c r="Z5851" s="609" t="s">
        <v>2182</v>
      </c>
      <c r="AA5851" s="609"/>
    </row>
    <row r="5852" spans="1:27" ht="18">
      <c r="A5852" s="2714"/>
      <c r="B5852" s="371">
        <v>104</v>
      </c>
      <c r="C5852" s="371" t="s">
        <v>2791</v>
      </c>
      <c r="D5852" s="2716">
        <f t="shared" si="624"/>
        <v>0</v>
      </c>
      <c r="E5852" s="2721">
        <v>1</v>
      </c>
      <c r="F5852" s="294"/>
      <c r="G5852" s="2467" t="s">
        <v>2792</v>
      </c>
      <c r="H5852" s="2275"/>
      <c r="I5852" s="2276"/>
      <c r="M5852" s="291"/>
      <c r="N5852" s="291"/>
      <c r="O5852" s="291"/>
      <c r="P5852" s="291"/>
      <c r="S5852" s="364"/>
      <c r="Z5852" s="609" t="s">
        <v>2182</v>
      </c>
      <c r="AA5852" s="609"/>
    </row>
    <row r="5853" spans="1:27" ht="18">
      <c r="A5853" s="2714"/>
      <c r="B5853" s="371">
        <v>105</v>
      </c>
      <c r="C5853" s="371" t="s">
        <v>2791</v>
      </c>
      <c r="D5853" s="2716">
        <f t="shared" si="624"/>
        <v>0</v>
      </c>
      <c r="E5853" s="2721">
        <v>1</v>
      </c>
      <c r="F5853" s="294"/>
      <c r="G5853" s="2467" t="s">
        <v>2792</v>
      </c>
      <c r="H5853" s="2275"/>
      <c r="I5853" s="2276"/>
      <c r="M5853" s="291"/>
      <c r="N5853" s="291"/>
      <c r="O5853" s="291"/>
      <c r="P5853" s="291"/>
      <c r="S5853" s="364"/>
      <c r="Z5853" s="609" t="s">
        <v>2182</v>
      </c>
      <c r="AA5853" s="609"/>
    </row>
    <row r="5854" spans="1:27" ht="18.75" thickBot="1">
      <c r="A5854" s="2714"/>
      <c r="B5854" s="371"/>
      <c r="C5854" s="371"/>
      <c r="D5854" s="2716">
        <f t="shared" si="624"/>
        <v>1</v>
      </c>
      <c r="E5854" s="2721" t="s">
        <v>3032</v>
      </c>
      <c r="F5854" s="294"/>
      <c r="G5854" s="1529" t="s">
        <v>2752</v>
      </c>
      <c r="H5854" s="1527">
        <f>SUMPRODUCT($E5848:$E5853,H5848:H5853)</f>
        <v>0</v>
      </c>
      <c r="I5854" s="2266"/>
      <c r="M5854" s="291"/>
      <c r="N5854" s="291"/>
      <c r="O5854" s="291"/>
      <c r="P5854" s="291"/>
      <c r="S5854" s="364"/>
      <c r="Z5854" s="609" t="s">
        <v>2182</v>
      </c>
      <c r="AA5854" s="609"/>
    </row>
    <row r="5855" spans="1:27" ht="18">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4" t="s">
        <v>2190</v>
      </c>
      <c r="B5856" s="371">
        <v>4</v>
      </c>
      <c r="C5856" s="371"/>
      <c r="D5856" s="2716" t="str">
        <f>VLOOKUP($A5856,Sheet_NoteList,2,0)</f>
        <v>报告年度不再作为非经常性损益列报的项目</v>
      </c>
      <c r="E5856" s="2716" t="s">
        <v>6532</v>
      </c>
      <c r="F5856" s="294"/>
      <c r="G5856" s="372" t="str">
        <f>"("&amp;B5856&amp;")"&amp;D5856</f>
        <v>(4)报告年度不再作为非经常性损益列报的项目</v>
      </c>
      <c r="H5856" s="1517" t="str">
        <f>$A5856</f>
        <v>9601d</v>
      </c>
      <c r="I5856" s="343" t="s">
        <v>5977</v>
      </c>
      <c r="J5856" s="301"/>
      <c r="K5856" s="3071"/>
      <c r="L5856" s="315"/>
      <c r="M5856" s="301"/>
      <c r="N5856" s="3071"/>
      <c r="O5856" s="315"/>
      <c r="P5856" s="301"/>
      <c r="S5856" s="364"/>
      <c r="Z5856" s="609" t="s">
        <v>2182</v>
      </c>
      <c r="AA5856" s="609"/>
    </row>
    <row r="5857" spans="1:27" ht="0.75" customHeight="1" thickBot="1">
      <c r="A5857" s="2714"/>
      <c r="B5857" s="371"/>
      <c r="C5857" s="371"/>
      <c r="D5857" s="371"/>
      <c r="E5857" s="586"/>
      <c r="F5857" s="586"/>
      <c r="G5857" s="586" t="s">
        <v>4707</v>
      </c>
      <c r="H5857" s="371" t="s">
        <v>4703</v>
      </c>
      <c r="I5857" s="371" t="s">
        <v>4704</v>
      </c>
      <c r="M5857" s="291"/>
      <c r="N5857" s="291"/>
      <c r="O5857" s="291"/>
      <c r="P5857" s="291"/>
      <c r="S5857" s="364"/>
      <c r="Z5857" s="609" t="s">
        <v>2182</v>
      </c>
      <c r="AA5857" s="609"/>
    </row>
    <row r="5858" spans="1:27" ht="18">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8">
      <c r="A5859" s="2714"/>
      <c r="B5859" s="371">
        <v>101</v>
      </c>
      <c r="C5859" s="371" t="s">
        <v>2791</v>
      </c>
      <c r="D5859" s="2716">
        <f t="shared" ref="D5859:D5864" si="625">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8">
      <c r="A5860" s="2714"/>
      <c r="B5860" s="371">
        <v>102</v>
      </c>
      <c r="C5860" s="371" t="s">
        <v>2791</v>
      </c>
      <c r="D5860" s="2716">
        <f t="shared" si="625"/>
        <v>0</v>
      </c>
      <c r="E5860" s="2721">
        <v>1</v>
      </c>
      <c r="F5860" s="294"/>
      <c r="G5860" s="2467" t="s">
        <v>2792</v>
      </c>
      <c r="H5860" s="2275"/>
      <c r="I5860" s="2276"/>
      <c r="M5860" s="291"/>
      <c r="N5860" s="291"/>
      <c r="O5860" s="291"/>
      <c r="P5860" s="291"/>
      <c r="S5860" s="364"/>
      <c r="Z5860" s="609" t="s">
        <v>2182</v>
      </c>
      <c r="AA5860" s="609"/>
    </row>
    <row r="5861" spans="1:27" ht="18">
      <c r="A5861" s="2714"/>
      <c r="B5861" s="371">
        <v>103</v>
      </c>
      <c r="C5861" s="371" t="s">
        <v>2791</v>
      </c>
      <c r="D5861" s="2716">
        <f t="shared" si="625"/>
        <v>0</v>
      </c>
      <c r="E5861" s="2721">
        <v>1</v>
      </c>
      <c r="F5861" s="294"/>
      <c r="G5861" s="2467" t="s">
        <v>2792</v>
      </c>
      <c r="H5861" s="2275"/>
      <c r="I5861" s="2276"/>
      <c r="M5861" s="291"/>
      <c r="N5861" s="291"/>
      <c r="O5861" s="291"/>
      <c r="P5861" s="291"/>
      <c r="S5861" s="364"/>
      <c r="Z5861" s="609" t="s">
        <v>2182</v>
      </c>
      <c r="AA5861" s="609"/>
    </row>
    <row r="5862" spans="1:27" ht="18">
      <c r="A5862" s="2714"/>
      <c r="B5862" s="371">
        <v>104</v>
      </c>
      <c r="C5862" s="371" t="s">
        <v>2791</v>
      </c>
      <c r="D5862" s="2716">
        <f t="shared" si="625"/>
        <v>0</v>
      </c>
      <c r="E5862" s="2721">
        <v>1</v>
      </c>
      <c r="F5862" s="294"/>
      <c r="G5862" s="2467" t="s">
        <v>2792</v>
      </c>
      <c r="H5862" s="2275"/>
      <c r="I5862" s="2276"/>
      <c r="M5862" s="291"/>
      <c r="N5862" s="291"/>
      <c r="O5862" s="291"/>
      <c r="P5862" s="291"/>
      <c r="S5862" s="364"/>
      <c r="Z5862" s="609" t="s">
        <v>2182</v>
      </c>
      <c r="AA5862" s="609"/>
    </row>
    <row r="5863" spans="1:27" ht="18">
      <c r="A5863" s="2714"/>
      <c r="B5863" s="371">
        <v>105</v>
      </c>
      <c r="C5863" s="371" t="s">
        <v>2791</v>
      </c>
      <c r="D5863" s="2716">
        <f t="shared" si="625"/>
        <v>0</v>
      </c>
      <c r="E5863" s="2721">
        <v>1</v>
      </c>
      <c r="F5863" s="294"/>
      <c r="G5863" s="2467" t="s">
        <v>2792</v>
      </c>
      <c r="H5863" s="2275"/>
      <c r="I5863" s="2276"/>
      <c r="M5863" s="291"/>
      <c r="N5863" s="291"/>
      <c r="O5863" s="291"/>
      <c r="P5863" s="291"/>
      <c r="S5863" s="364"/>
      <c r="Z5863" s="609" t="s">
        <v>2182</v>
      </c>
      <c r="AA5863" s="609"/>
    </row>
    <row r="5864" spans="1:27" ht="18.75" thickBot="1">
      <c r="A5864" s="2714"/>
      <c r="B5864" s="371"/>
      <c r="C5864" s="371"/>
      <c r="D5864" s="2716">
        <f t="shared" si="625"/>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8.75" thickBot="1">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18.75" thickBot="1">
      <c r="A5866" s="2714"/>
      <c r="B5866" s="371"/>
      <c r="C5866" s="371"/>
      <c r="D5866" s="371"/>
      <c r="F5866" s="294"/>
      <c r="G5866" s="627" t="s">
        <v>4708</v>
      </c>
      <c r="H5866" s="628" t="s">
        <v>4709</v>
      </c>
      <c r="I5866" s="629"/>
      <c r="J5866" s="630"/>
      <c r="K5866" s="630"/>
      <c r="L5866" s="630"/>
      <c r="M5866" s="630"/>
      <c r="N5866" s="631"/>
      <c r="S5866" s="364"/>
      <c r="Z5866" s="609" t="s">
        <v>4710</v>
      </c>
      <c r="AA5866" s="609"/>
    </row>
    <row r="5867" spans="1:27" ht="18">
      <c r="A5867" s="2714">
        <v>7001</v>
      </c>
      <c r="B5867" s="371">
        <v>78.709999999999994</v>
      </c>
      <c r="C5867" s="2716" t="str">
        <f>VLOOKUP($A5867,Sheet_Items,2,0)</f>
        <v>销售商品提供劳务收到的现金</v>
      </c>
      <c r="D5867" s="371"/>
      <c r="E5867" s="2716" t="s">
        <v>2739</v>
      </c>
      <c r="F5867" s="294"/>
      <c r="G5867" s="536" t="str">
        <f>B5867&amp;" "&amp;C5867</f>
        <v>78.71 销售商品提供劳务收到的现金</v>
      </c>
      <c r="H5867" s="322"/>
      <c r="I5867" s="322"/>
      <c r="J5867" s="306" t="s">
        <v>4206</v>
      </c>
      <c r="K5867" s="341">
        <f>VLOOKUP($A5867,Sheet_Trialbal,6,0)</f>
        <v>343138.18</v>
      </c>
      <c r="L5867" s="342"/>
      <c r="M5867" s="306"/>
      <c r="N5867" s="341"/>
      <c r="O5867" s="306"/>
      <c r="P5867" s="301"/>
      <c r="S5867" s="364"/>
      <c r="Z5867" s="609" t="s">
        <v>4711</v>
      </c>
      <c r="AA5867" s="609"/>
    </row>
    <row r="5868" spans="1:27" ht="24">
      <c r="A5868" s="2714" t="s">
        <v>1944</v>
      </c>
      <c r="B5868" s="371">
        <v>1</v>
      </c>
      <c r="C5868" s="371"/>
      <c r="D5868" s="2716" t="str">
        <f>VLOOKUP($A5868,Sheet_NoteList,2,0)</f>
        <v>销售商品提供劳务收到的现金计算表</v>
      </c>
      <c r="E5868" s="2716" t="s">
        <v>2742</v>
      </c>
      <c r="F5868" s="294"/>
      <c r="G5868" s="483" t="str">
        <f>"("&amp;B5868&amp;")"&amp;D5868</f>
        <v>(1)销售商品提供劳务收到的现金计算表</v>
      </c>
      <c r="H5868" s="1517" t="str">
        <f>$A5868</f>
        <v>7001x</v>
      </c>
      <c r="I5868" s="343" t="s">
        <v>2743</v>
      </c>
      <c r="J5868" s="301" t="s">
        <v>4712</v>
      </c>
      <c r="K5868" s="2210">
        <f>I5876</f>
        <v>0</v>
      </c>
      <c r="L5868" s="345">
        <f>IF(ROUND(K5867-K5868,2)=0,"F/S",ROUND(K5867-K5868,2))</f>
        <v>343138.18</v>
      </c>
      <c r="M5868" s="532" t="s">
        <v>4713</v>
      </c>
      <c r="N5868" s="3071"/>
      <c r="O5868" s="315"/>
      <c r="P5868" s="301"/>
      <c r="S5868" s="364"/>
      <c r="Z5868" s="609" t="s">
        <v>4711</v>
      </c>
      <c r="AA5868" s="609"/>
    </row>
    <row r="5869" spans="1:27" ht="0.75" customHeight="1" thickBot="1">
      <c r="A5869" s="2714"/>
      <c r="B5869" s="371"/>
      <c r="C5869" s="371"/>
      <c r="D5869" s="371"/>
      <c r="F5869" s="371"/>
      <c r="G5869" s="371" t="s">
        <v>4714</v>
      </c>
      <c r="H5869" s="371" t="s">
        <v>4715</v>
      </c>
      <c r="I5869" s="371" t="s">
        <v>4716</v>
      </c>
      <c r="J5869" s="371" t="s">
        <v>3671</v>
      </c>
      <c r="K5869" s="291"/>
      <c r="L5869" s="291"/>
      <c r="M5869" s="291"/>
      <c r="S5869" s="364"/>
      <c r="Z5869" s="609" t="s">
        <v>4711</v>
      </c>
      <c r="AA5869" s="609"/>
    </row>
    <row r="5870" spans="1:27" ht="18">
      <c r="A5870" s="2714"/>
      <c r="B5870" s="371"/>
      <c r="C5870" s="371"/>
      <c r="D5870" s="371"/>
      <c r="E5870" s="2716" t="s">
        <v>2749</v>
      </c>
      <c r="F5870" s="294"/>
      <c r="G5870" s="1564" t="s">
        <v>47</v>
      </c>
      <c r="H5870" s="1565" t="s">
        <v>4717</v>
      </c>
      <c r="I5870" s="1565" t="s">
        <v>2887</v>
      </c>
      <c r="J5870" s="1566" t="s">
        <v>2758</v>
      </c>
      <c r="K5870" s="575"/>
      <c r="L5870" s="291"/>
      <c r="M5870" s="291"/>
      <c r="S5870" s="364"/>
      <c r="Z5870" s="609" t="s">
        <v>4711</v>
      </c>
      <c r="AA5870" s="609"/>
    </row>
    <row r="5871" spans="1:27" ht="18">
      <c r="A5871" s="2714"/>
      <c r="B5871" s="371">
        <v>101</v>
      </c>
      <c r="C5871" s="371" t="s">
        <v>2791</v>
      </c>
      <c r="D5871" s="2716">
        <f t="shared" ref="D5871:D5876" si="626">IF(OR(G5871="*",G5871="",G5871=0),0,COUNTIF($G$5871:$G$5876,G5871))</f>
        <v>0</v>
      </c>
      <c r="E5871" s="2721">
        <v>1</v>
      </c>
      <c r="F5871" s="294"/>
      <c r="G5871" s="1563" t="s">
        <v>2792</v>
      </c>
      <c r="H5871" s="360"/>
      <c r="I5871" s="309"/>
      <c r="J5871" s="388"/>
      <c r="K5871" s="291"/>
      <c r="L5871" s="291"/>
      <c r="M5871" s="291"/>
      <c r="S5871" s="364"/>
      <c r="Z5871" s="609" t="s">
        <v>4711</v>
      </c>
      <c r="AA5871" s="609"/>
    </row>
    <row r="5872" spans="1:27" ht="18">
      <c r="A5872" s="2714"/>
      <c r="B5872" s="371">
        <v>102</v>
      </c>
      <c r="C5872" s="371" t="s">
        <v>2791</v>
      </c>
      <c r="D5872" s="2716">
        <f t="shared" si="626"/>
        <v>0</v>
      </c>
      <c r="E5872" s="2721">
        <v>1</v>
      </c>
      <c r="F5872" s="294"/>
      <c r="G5872" s="1563" t="s">
        <v>2792</v>
      </c>
      <c r="H5872" s="360"/>
      <c r="I5872" s="309"/>
      <c r="J5872" s="388"/>
      <c r="K5872" s="291"/>
      <c r="L5872" s="291"/>
      <c r="M5872" s="291"/>
      <c r="S5872" s="364"/>
      <c r="Z5872" s="609" t="s">
        <v>4711</v>
      </c>
      <c r="AA5872" s="609"/>
    </row>
    <row r="5873" spans="1:27" ht="18">
      <c r="A5873" s="2714"/>
      <c r="B5873" s="371">
        <v>103</v>
      </c>
      <c r="C5873" s="371" t="s">
        <v>2791</v>
      </c>
      <c r="D5873" s="2716">
        <f t="shared" si="626"/>
        <v>0</v>
      </c>
      <c r="E5873" s="2721">
        <v>1</v>
      </c>
      <c r="F5873" s="294"/>
      <c r="G5873" s="1563" t="s">
        <v>2792</v>
      </c>
      <c r="H5873" s="360"/>
      <c r="I5873" s="309"/>
      <c r="J5873" s="388"/>
      <c r="K5873" s="291"/>
      <c r="L5873" s="291"/>
      <c r="M5873" s="291"/>
      <c r="S5873" s="364"/>
      <c r="Z5873" s="609" t="s">
        <v>4711</v>
      </c>
      <c r="AA5873" s="609"/>
    </row>
    <row r="5874" spans="1:27" ht="18">
      <c r="A5874" s="2714"/>
      <c r="B5874" s="371">
        <v>104</v>
      </c>
      <c r="C5874" s="371" t="s">
        <v>2791</v>
      </c>
      <c r="D5874" s="2716">
        <f t="shared" si="626"/>
        <v>0</v>
      </c>
      <c r="E5874" s="2721">
        <v>1</v>
      </c>
      <c r="F5874" s="294"/>
      <c r="G5874" s="1563" t="s">
        <v>2792</v>
      </c>
      <c r="H5874" s="360"/>
      <c r="I5874" s="309"/>
      <c r="J5874" s="388"/>
      <c r="K5874" s="291"/>
      <c r="L5874" s="291"/>
      <c r="M5874" s="291"/>
      <c r="S5874" s="364"/>
      <c r="Z5874" s="609" t="s">
        <v>4711</v>
      </c>
      <c r="AA5874" s="609"/>
    </row>
    <row r="5875" spans="1:27" ht="18">
      <c r="A5875" s="2714"/>
      <c r="B5875" s="371">
        <v>105</v>
      </c>
      <c r="C5875" s="371" t="s">
        <v>2791</v>
      </c>
      <c r="D5875" s="2716">
        <f t="shared" si="626"/>
        <v>0</v>
      </c>
      <c r="E5875" s="2721">
        <v>1</v>
      </c>
      <c r="F5875" s="294"/>
      <c r="G5875" s="1563" t="s">
        <v>2792</v>
      </c>
      <c r="H5875" s="360"/>
      <c r="I5875" s="309"/>
      <c r="J5875" s="388"/>
      <c r="K5875" s="291"/>
      <c r="L5875" s="291"/>
      <c r="M5875" s="291"/>
      <c r="S5875" s="364"/>
      <c r="Z5875" s="609" t="s">
        <v>4711</v>
      </c>
      <c r="AA5875" s="609"/>
    </row>
    <row r="5876" spans="1:27" ht="18.75" thickBot="1">
      <c r="A5876" s="2714"/>
      <c r="B5876" s="371"/>
      <c r="C5876" s="371"/>
      <c r="D5876" s="2716">
        <f t="shared" si="626"/>
        <v>1</v>
      </c>
      <c r="E5876" s="2721" t="s">
        <v>2751</v>
      </c>
      <c r="F5876" s="294"/>
      <c r="G5876" s="1529" t="s">
        <v>2752</v>
      </c>
      <c r="H5876" s="1570"/>
      <c r="I5876" s="1527">
        <f>SUMPRODUCT($E5870:$E5875,I5870:I5875)</f>
        <v>0</v>
      </c>
      <c r="J5876" s="1571"/>
      <c r="K5876" s="291"/>
      <c r="L5876" s="291"/>
      <c r="M5876" s="291"/>
      <c r="S5876" s="364"/>
      <c r="Z5876" s="609" t="s">
        <v>4711</v>
      </c>
      <c r="AA5876" s="609"/>
    </row>
    <row r="5877" spans="1:27" ht="18">
      <c r="A5877" s="2714"/>
      <c r="B5877" s="371"/>
      <c r="C5877" s="371" t="s">
        <v>2755</v>
      </c>
      <c r="D5877" s="371"/>
      <c r="F5877" s="294"/>
      <c r="G5877" s="301"/>
      <c r="H5877" s="393"/>
      <c r="I5877" s="315"/>
      <c r="J5877" s="393"/>
      <c r="K5877" s="291"/>
      <c r="L5877" s="291"/>
      <c r="M5877" s="291"/>
      <c r="S5877" s="364"/>
      <c r="Z5877" s="609" t="s">
        <v>4711</v>
      </c>
      <c r="AA5877" s="609"/>
    </row>
    <row r="5878" spans="1:27" ht="18">
      <c r="A5878" s="2714">
        <v>7046</v>
      </c>
      <c r="B5878" s="371">
        <v>78.099999999999994</v>
      </c>
      <c r="C5878" s="2716" t="str">
        <f>VLOOKUP($A5878,Sheet_Items,2,0)</f>
        <v>收到其他与经营活动有关的现金</v>
      </c>
      <c r="D5878" s="371"/>
      <c r="E5878" s="2716" t="s">
        <v>2739</v>
      </c>
      <c r="F5878" s="294"/>
      <c r="G5878" s="536" t="str">
        <f>B5878&amp;" "&amp;C5878</f>
        <v>78.1 收到其他与经营活动有关的现金</v>
      </c>
      <c r="H5878" s="322"/>
      <c r="I5878" s="322"/>
      <c r="J5878" s="306" t="s">
        <v>4206</v>
      </c>
      <c r="K5878" s="341">
        <f>VLOOKUP($A5878,Sheet_Trialbal,6,0)</f>
        <v>233275.97</v>
      </c>
      <c r="L5878" s="342"/>
      <c r="M5878" s="306"/>
      <c r="N5878" s="341"/>
      <c r="O5878" s="306"/>
      <c r="P5878" s="301"/>
      <c r="S5878" s="364"/>
      <c r="Z5878" s="609" t="s">
        <v>4384</v>
      </c>
      <c r="AA5878" s="609"/>
    </row>
    <row r="5879" spans="1:27" ht="24">
      <c r="A5879" s="2714" t="s">
        <v>1948</v>
      </c>
      <c r="B5879" s="371">
        <v>1</v>
      </c>
      <c r="C5879" s="371"/>
      <c r="D5879" s="2716" t="str">
        <f>VLOOKUP($A5879,Sheet_NoteList,2,0)</f>
        <v>收到其他与经营活动有关的现金计算表</v>
      </c>
      <c r="E5879" s="2716" t="s">
        <v>2742</v>
      </c>
      <c r="F5879" s="294"/>
      <c r="G5879" s="483" t="str">
        <f>"("&amp;B5879&amp;")"&amp;D5879</f>
        <v>(1)收到其他与经营活动有关的现金计算表</v>
      </c>
      <c r="H5879" s="1517" t="str">
        <f>$A5879</f>
        <v>7046x</v>
      </c>
      <c r="I5879" s="343" t="s">
        <v>2743</v>
      </c>
      <c r="J5879" s="301" t="s">
        <v>4712</v>
      </c>
      <c r="K5879" s="2210">
        <f>I5887</f>
        <v>0</v>
      </c>
      <c r="L5879" s="345">
        <f>IF(ROUND(K5878-K5879,2)=0,"F/S",ROUND(K5878-K5879,2))</f>
        <v>233275.97</v>
      </c>
      <c r="M5879" s="532" t="s">
        <v>4713</v>
      </c>
      <c r="N5879" s="3071"/>
      <c r="O5879" s="315"/>
      <c r="P5879" s="301"/>
      <c r="S5879" s="364"/>
      <c r="Z5879" s="609" t="s">
        <v>4384</v>
      </c>
      <c r="AA5879" s="609"/>
    </row>
    <row r="5880" spans="1:27" ht="0.75" customHeight="1" thickBot="1">
      <c r="A5880" s="2714"/>
      <c r="B5880" s="371"/>
      <c r="C5880" s="371"/>
      <c r="D5880" s="371"/>
      <c r="F5880" s="371"/>
      <c r="G5880" s="371" t="s">
        <v>4718</v>
      </c>
      <c r="H5880" s="371" t="s">
        <v>4715</v>
      </c>
      <c r="I5880" s="371" t="s">
        <v>4716</v>
      </c>
      <c r="J5880" s="371" t="s">
        <v>3671</v>
      </c>
      <c r="K5880" s="291"/>
      <c r="L5880" s="291"/>
      <c r="M5880" s="291"/>
      <c r="S5880" s="364"/>
      <c r="Z5880" s="609" t="s">
        <v>4384</v>
      </c>
      <c r="AA5880" s="609"/>
    </row>
    <row r="5881" spans="1:27" ht="18">
      <c r="A5881" s="2714"/>
      <c r="B5881" s="371"/>
      <c r="C5881" s="371"/>
      <c r="D5881" s="371"/>
      <c r="E5881" s="2716" t="s">
        <v>2749</v>
      </c>
      <c r="F5881" s="294"/>
      <c r="G5881" s="1564" t="s">
        <v>47</v>
      </c>
      <c r="H5881" s="1565" t="s">
        <v>4717</v>
      </c>
      <c r="I5881" s="1565" t="s">
        <v>2887</v>
      </c>
      <c r="J5881" s="1566" t="s">
        <v>2758</v>
      </c>
      <c r="K5881" s="291"/>
      <c r="L5881" s="291"/>
      <c r="M5881" s="291"/>
      <c r="S5881" s="364"/>
      <c r="Z5881" s="609" t="s">
        <v>4384</v>
      </c>
      <c r="AA5881" s="609"/>
    </row>
    <row r="5882" spans="1:27" ht="18">
      <c r="A5882" s="2714"/>
      <c r="B5882" s="371">
        <v>101</v>
      </c>
      <c r="C5882" s="371" t="s">
        <v>2791</v>
      </c>
      <c r="D5882" s="2716">
        <f t="shared" ref="D5882:D5887" si="627">IF(OR(G5882="*",G5882="",G5882=0),0,COUNTIF($G$5882:$G$5887,G5882))</f>
        <v>0</v>
      </c>
      <c r="E5882" s="2721">
        <v>1</v>
      </c>
      <c r="F5882" s="294"/>
      <c r="G5882" s="1563" t="s">
        <v>2792</v>
      </c>
      <c r="H5882" s="360"/>
      <c r="I5882" s="309"/>
      <c r="J5882" s="388"/>
      <c r="K5882" s="291"/>
      <c r="L5882" s="291"/>
      <c r="M5882" s="291"/>
      <c r="S5882" s="364"/>
      <c r="Z5882" s="609" t="s">
        <v>4384</v>
      </c>
      <c r="AA5882" s="609"/>
    </row>
    <row r="5883" spans="1:27" ht="18">
      <c r="A5883" s="2714"/>
      <c r="B5883" s="371">
        <v>102</v>
      </c>
      <c r="C5883" s="371" t="s">
        <v>2791</v>
      </c>
      <c r="D5883" s="2716">
        <f t="shared" si="627"/>
        <v>0</v>
      </c>
      <c r="E5883" s="2721">
        <v>1</v>
      </c>
      <c r="F5883" s="294"/>
      <c r="G5883" s="1563" t="s">
        <v>2792</v>
      </c>
      <c r="H5883" s="360"/>
      <c r="I5883" s="309"/>
      <c r="J5883" s="388"/>
      <c r="K5883" s="291"/>
      <c r="L5883" s="291"/>
      <c r="M5883" s="291"/>
      <c r="S5883" s="364"/>
      <c r="Z5883" s="609" t="s">
        <v>4384</v>
      </c>
      <c r="AA5883" s="609"/>
    </row>
    <row r="5884" spans="1:27" ht="18">
      <c r="A5884" s="2714"/>
      <c r="B5884" s="371">
        <v>103</v>
      </c>
      <c r="C5884" s="371" t="s">
        <v>2791</v>
      </c>
      <c r="D5884" s="2716">
        <f t="shared" si="627"/>
        <v>0</v>
      </c>
      <c r="E5884" s="2721">
        <v>1</v>
      </c>
      <c r="F5884" s="294"/>
      <c r="G5884" s="1563" t="s">
        <v>2792</v>
      </c>
      <c r="H5884" s="360"/>
      <c r="I5884" s="309"/>
      <c r="J5884" s="388"/>
      <c r="K5884" s="291"/>
      <c r="L5884" s="291"/>
      <c r="M5884" s="291"/>
      <c r="S5884" s="364"/>
      <c r="Z5884" s="609" t="s">
        <v>4384</v>
      </c>
      <c r="AA5884" s="609"/>
    </row>
    <row r="5885" spans="1:27" ht="18">
      <c r="A5885" s="2714"/>
      <c r="B5885" s="371">
        <v>104</v>
      </c>
      <c r="C5885" s="371" t="s">
        <v>2791</v>
      </c>
      <c r="D5885" s="2716">
        <f t="shared" si="627"/>
        <v>0</v>
      </c>
      <c r="E5885" s="2721">
        <v>1</v>
      </c>
      <c r="F5885" s="294"/>
      <c r="G5885" s="1563" t="s">
        <v>2792</v>
      </c>
      <c r="H5885" s="360"/>
      <c r="I5885" s="309"/>
      <c r="J5885" s="388"/>
      <c r="K5885" s="291"/>
      <c r="L5885" s="291"/>
      <c r="M5885" s="291"/>
      <c r="S5885" s="364"/>
      <c r="Z5885" s="609" t="s">
        <v>4384</v>
      </c>
      <c r="AA5885" s="609"/>
    </row>
    <row r="5886" spans="1:27" ht="18">
      <c r="A5886" s="2714"/>
      <c r="B5886" s="371">
        <v>105</v>
      </c>
      <c r="C5886" s="371" t="s">
        <v>2791</v>
      </c>
      <c r="D5886" s="2716">
        <f t="shared" si="627"/>
        <v>0</v>
      </c>
      <c r="E5886" s="2721">
        <v>1</v>
      </c>
      <c r="F5886" s="294"/>
      <c r="G5886" s="1563" t="s">
        <v>2792</v>
      </c>
      <c r="H5886" s="360"/>
      <c r="I5886" s="309"/>
      <c r="J5886" s="388"/>
      <c r="K5886" s="291"/>
      <c r="L5886" s="291"/>
      <c r="M5886" s="291"/>
      <c r="S5886" s="364"/>
      <c r="Z5886" s="609" t="s">
        <v>4384</v>
      </c>
      <c r="AA5886" s="609"/>
    </row>
    <row r="5887" spans="1:27" ht="18.75" thickBot="1">
      <c r="A5887" s="2714"/>
      <c r="B5887" s="371"/>
      <c r="C5887" s="371"/>
      <c r="D5887" s="2716">
        <f t="shared" si="627"/>
        <v>1</v>
      </c>
      <c r="E5887" s="2721" t="s">
        <v>2751</v>
      </c>
      <c r="F5887" s="294"/>
      <c r="G5887" s="1529" t="s">
        <v>2752</v>
      </c>
      <c r="H5887" s="1570"/>
      <c r="I5887" s="1527">
        <f>SUMPRODUCT($E5881:$E5886,I5881:I5886)</f>
        <v>0</v>
      </c>
      <c r="J5887" s="1571"/>
      <c r="K5887" s="291"/>
      <c r="L5887" s="291"/>
      <c r="M5887" s="291"/>
      <c r="S5887" s="364"/>
      <c r="Z5887" s="609" t="s">
        <v>4384</v>
      </c>
      <c r="AA5887" s="609"/>
    </row>
    <row r="5888" spans="1:27" ht="18">
      <c r="A5888" s="2714"/>
      <c r="B5888" s="371"/>
      <c r="C5888" s="371" t="s">
        <v>2755</v>
      </c>
      <c r="D5888" s="371"/>
      <c r="F5888" s="294"/>
      <c r="G5888" s="301"/>
      <c r="H5888" s="393"/>
      <c r="I5888" s="315"/>
      <c r="J5888" s="393"/>
      <c r="K5888" s="291"/>
      <c r="L5888" s="291"/>
      <c r="M5888" s="291"/>
      <c r="S5888" s="364"/>
      <c r="Z5888" s="609" t="s">
        <v>4384</v>
      </c>
      <c r="AA5888" s="609"/>
    </row>
    <row r="5889" spans="1:27" ht="18">
      <c r="A5889" s="2714">
        <v>7051</v>
      </c>
      <c r="B5889" s="371">
        <v>78.72</v>
      </c>
      <c r="C5889" s="2716" t="str">
        <f>VLOOKUP($A5889,Sheet_Items,2,0)</f>
        <v>购买商品接受劳务支付的现金</v>
      </c>
      <c r="D5889" s="371"/>
      <c r="E5889" s="2716" t="s">
        <v>2739</v>
      </c>
      <c r="F5889" s="294"/>
      <c r="G5889" s="536" t="str">
        <f>B5889&amp;" "&amp;C5889</f>
        <v>78.72 购买商品接受劳务支付的现金</v>
      </c>
      <c r="H5889" s="322"/>
      <c r="I5889" s="322"/>
      <c r="J5889" s="306" t="s">
        <v>4206</v>
      </c>
      <c r="K5889" s="341">
        <f>VLOOKUP($A5889,Sheet_Trialbal,6,0)</f>
        <v>0</v>
      </c>
      <c r="L5889" s="342"/>
      <c r="M5889" s="306"/>
      <c r="N5889" s="341"/>
      <c r="O5889" s="306"/>
      <c r="P5889" s="301"/>
      <c r="S5889" s="364"/>
      <c r="Z5889" s="609" t="s">
        <v>4719</v>
      </c>
      <c r="AA5889" s="609"/>
    </row>
    <row r="5890" spans="1:27" ht="24">
      <c r="A5890" s="2714" t="s">
        <v>1951</v>
      </c>
      <c r="B5890" s="371">
        <v>1</v>
      </c>
      <c r="C5890" s="371"/>
      <c r="D5890" s="2716" t="str">
        <f>VLOOKUP($A5890,Sheet_NoteList,2,0)</f>
        <v>购买商品接受劳务支付的现金计算表</v>
      </c>
      <c r="E5890" s="2716" t="s">
        <v>2742</v>
      </c>
      <c r="F5890" s="294"/>
      <c r="G5890" s="483" t="str">
        <f>"("&amp;B5890&amp;")"&amp;D5890</f>
        <v>(1)购买商品接受劳务支付的现金计算表</v>
      </c>
      <c r="H5890" s="1517" t="str">
        <f>$A5890</f>
        <v>7051x</v>
      </c>
      <c r="I5890" s="343" t="s">
        <v>2743</v>
      </c>
      <c r="J5890" s="301" t="s">
        <v>4712</v>
      </c>
      <c r="K5890" s="2210">
        <f>I5898</f>
        <v>0</v>
      </c>
      <c r="L5890" s="345" t="str">
        <f>IF(ROUND(K5889-K5890,2)=0,"F/S",ROUND(K5889-K5890,2))</f>
        <v>F/S</v>
      </c>
      <c r="M5890" s="532" t="s">
        <v>4713</v>
      </c>
      <c r="N5890" s="3071"/>
      <c r="O5890" s="315"/>
      <c r="P5890" s="301"/>
      <c r="S5890" s="364"/>
      <c r="Z5890" s="609" t="s">
        <v>4719</v>
      </c>
      <c r="AA5890" s="609"/>
    </row>
    <row r="5891" spans="1:27" ht="0.75" customHeight="1" thickBot="1">
      <c r="A5891" s="2714"/>
      <c r="B5891" s="371"/>
      <c r="C5891" s="371"/>
      <c r="D5891" s="371"/>
      <c r="F5891" s="371"/>
      <c r="G5891" s="371" t="s">
        <v>4720</v>
      </c>
      <c r="H5891" s="371" t="s">
        <v>4715</v>
      </c>
      <c r="I5891" s="371" t="s">
        <v>4716</v>
      </c>
      <c r="J5891" s="371" t="s">
        <v>3671</v>
      </c>
      <c r="K5891" s="291"/>
      <c r="L5891" s="291"/>
      <c r="M5891" s="291"/>
      <c r="S5891" s="364"/>
      <c r="Z5891" s="609" t="s">
        <v>4719</v>
      </c>
      <c r="AA5891" s="609"/>
    </row>
    <row r="5892" spans="1:27" ht="18">
      <c r="A5892" s="2714"/>
      <c r="B5892" s="371"/>
      <c r="C5892" s="371"/>
      <c r="D5892" s="371"/>
      <c r="E5892" s="2716" t="s">
        <v>2749</v>
      </c>
      <c r="F5892" s="294"/>
      <c r="G5892" s="1564" t="s">
        <v>47</v>
      </c>
      <c r="H5892" s="1565" t="s">
        <v>4717</v>
      </c>
      <c r="I5892" s="1565" t="s">
        <v>2887</v>
      </c>
      <c r="J5892" s="1566" t="s">
        <v>2758</v>
      </c>
      <c r="K5892" s="291"/>
      <c r="L5892" s="291"/>
      <c r="M5892" s="291"/>
      <c r="S5892" s="364"/>
      <c r="Z5892" s="609" t="s">
        <v>4719</v>
      </c>
      <c r="AA5892" s="609"/>
    </row>
    <row r="5893" spans="1:27" ht="18">
      <c r="A5893" s="2714"/>
      <c r="B5893" s="371">
        <v>101</v>
      </c>
      <c r="C5893" s="371" t="s">
        <v>2791</v>
      </c>
      <c r="D5893" s="2716">
        <f t="shared" ref="D5893:D5898" si="628">IF(OR(G5893="*",G5893="",G5893=0),0,COUNTIF($G$5893:$G$5898,G5893))</f>
        <v>0</v>
      </c>
      <c r="E5893" s="2721">
        <v>1</v>
      </c>
      <c r="F5893" s="294"/>
      <c r="G5893" s="1563" t="s">
        <v>2792</v>
      </c>
      <c r="H5893" s="360"/>
      <c r="I5893" s="309"/>
      <c r="J5893" s="388"/>
      <c r="K5893" s="291"/>
      <c r="L5893" s="291"/>
      <c r="M5893" s="291"/>
      <c r="S5893" s="364"/>
      <c r="Z5893" s="609" t="s">
        <v>4719</v>
      </c>
      <c r="AA5893" s="609"/>
    </row>
    <row r="5894" spans="1:27" ht="18">
      <c r="A5894" s="2714"/>
      <c r="B5894" s="371">
        <v>102</v>
      </c>
      <c r="C5894" s="371" t="s">
        <v>2791</v>
      </c>
      <c r="D5894" s="2716">
        <f t="shared" si="628"/>
        <v>0</v>
      </c>
      <c r="E5894" s="2721">
        <v>1</v>
      </c>
      <c r="F5894" s="294"/>
      <c r="G5894" s="1563" t="s">
        <v>2792</v>
      </c>
      <c r="H5894" s="360"/>
      <c r="I5894" s="309"/>
      <c r="J5894" s="388"/>
      <c r="K5894" s="291"/>
      <c r="L5894" s="291"/>
      <c r="M5894" s="291"/>
      <c r="S5894" s="364"/>
      <c r="Z5894" s="609" t="s">
        <v>4719</v>
      </c>
      <c r="AA5894" s="609"/>
    </row>
    <row r="5895" spans="1:27" ht="18">
      <c r="A5895" s="2714"/>
      <c r="B5895" s="371">
        <v>103</v>
      </c>
      <c r="C5895" s="371" t="s">
        <v>2791</v>
      </c>
      <c r="D5895" s="2716">
        <f t="shared" si="628"/>
        <v>0</v>
      </c>
      <c r="E5895" s="2721">
        <v>1</v>
      </c>
      <c r="F5895" s="294"/>
      <c r="G5895" s="1563" t="s">
        <v>2792</v>
      </c>
      <c r="H5895" s="360"/>
      <c r="I5895" s="309"/>
      <c r="J5895" s="388"/>
      <c r="K5895" s="291"/>
      <c r="L5895" s="291"/>
      <c r="M5895" s="291"/>
      <c r="S5895" s="364"/>
      <c r="Z5895" s="609" t="s">
        <v>4719</v>
      </c>
      <c r="AA5895" s="609"/>
    </row>
    <row r="5896" spans="1:27" ht="18">
      <c r="A5896" s="2714"/>
      <c r="B5896" s="371">
        <v>104</v>
      </c>
      <c r="C5896" s="371" t="s">
        <v>2791</v>
      </c>
      <c r="D5896" s="2716">
        <f t="shared" si="628"/>
        <v>0</v>
      </c>
      <c r="E5896" s="2721">
        <v>1</v>
      </c>
      <c r="F5896" s="294"/>
      <c r="G5896" s="1563" t="s">
        <v>2792</v>
      </c>
      <c r="H5896" s="360"/>
      <c r="I5896" s="309"/>
      <c r="J5896" s="388"/>
      <c r="K5896" s="291"/>
      <c r="L5896" s="291"/>
      <c r="M5896" s="291"/>
      <c r="S5896" s="364"/>
      <c r="Z5896" s="609" t="s">
        <v>4719</v>
      </c>
      <c r="AA5896" s="609"/>
    </row>
    <row r="5897" spans="1:27" ht="18">
      <c r="A5897" s="2714"/>
      <c r="B5897" s="371">
        <v>105</v>
      </c>
      <c r="C5897" s="371" t="s">
        <v>2791</v>
      </c>
      <c r="D5897" s="2716">
        <f t="shared" si="628"/>
        <v>0</v>
      </c>
      <c r="E5897" s="2721">
        <v>1</v>
      </c>
      <c r="F5897" s="294"/>
      <c r="G5897" s="1563" t="s">
        <v>2792</v>
      </c>
      <c r="H5897" s="360"/>
      <c r="I5897" s="309"/>
      <c r="J5897" s="388"/>
      <c r="K5897" s="291"/>
      <c r="L5897" s="291"/>
      <c r="M5897" s="291"/>
      <c r="S5897" s="364"/>
      <c r="Z5897" s="609" t="s">
        <v>4719</v>
      </c>
      <c r="AA5897" s="609"/>
    </row>
    <row r="5898" spans="1:27" ht="18.75" thickBot="1">
      <c r="A5898" s="2714"/>
      <c r="B5898" s="371"/>
      <c r="C5898" s="371"/>
      <c r="D5898" s="2716">
        <f t="shared" si="628"/>
        <v>1</v>
      </c>
      <c r="E5898" s="2721" t="s">
        <v>2751</v>
      </c>
      <c r="F5898" s="294"/>
      <c r="G5898" s="1529" t="s">
        <v>2752</v>
      </c>
      <c r="H5898" s="1570"/>
      <c r="I5898" s="1527">
        <f>SUMPRODUCT($E5892:$E5897,I5892:I5897)</f>
        <v>0</v>
      </c>
      <c r="J5898" s="1571"/>
      <c r="K5898" s="291"/>
      <c r="L5898" s="291"/>
      <c r="M5898" s="291"/>
      <c r="S5898" s="364"/>
      <c r="Z5898" s="609" t="s">
        <v>4719</v>
      </c>
      <c r="AA5898" s="609"/>
    </row>
    <row r="5899" spans="1:27" ht="18">
      <c r="A5899" s="2714"/>
      <c r="B5899" s="371"/>
      <c r="C5899" s="371" t="s">
        <v>2755</v>
      </c>
      <c r="D5899" s="371"/>
      <c r="F5899" s="294"/>
      <c r="G5899" s="301"/>
      <c r="H5899" s="393"/>
      <c r="I5899" s="315"/>
      <c r="J5899" s="393"/>
      <c r="K5899" s="291"/>
      <c r="L5899" s="291"/>
      <c r="M5899" s="291"/>
      <c r="S5899" s="364"/>
      <c r="Z5899" s="609" t="s">
        <v>4719</v>
      </c>
      <c r="AA5899" s="609"/>
    </row>
    <row r="5900" spans="1:27" ht="18">
      <c r="A5900" s="2714">
        <v>7061</v>
      </c>
      <c r="B5900" s="371">
        <v>78.73</v>
      </c>
      <c r="C5900" s="2716" t="str">
        <f>VLOOKUP($A5900,Sheet_Items,2,0)</f>
        <v>支付给职工以及为职工支付的现金</v>
      </c>
      <c r="D5900" s="371"/>
      <c r="E5900" s="2716" t="s">
        <v>2739</v>
      </c>
      <c r="F5900" s="294"/>
      <c r="G5900" s="536" t="str">
        <f>B5900&amp;" "&amp;C5900</f>
        <v>78.73 支付给职工以及为职工支付的现金</v>
      </c>
      <c r="H5900" s="322"/>
      <c r="I5900" s="322"/>
      <c r="J5900" s="306" t="s">
        <v>4206</v>
      </c>
      <c r="K5900" s="341">
        <f>VLOOKUP($A5900,Sheet_Trialbal,6,0)</f>
        <v>21587533.059999999</v>
      </c>
      <c r="L5900" s="342"/>
      <c r="M5900" s="306"/>
      <c r="N5900" s="341"/>
      <c r="O5900" s="306"/>
      <c r="P5900" s="301"/>
      <c r="S5900" s="364"/>
      <c r="Z5900" s="609">
        <v>7061</v>
      </c>
      <c r="AA5900" s="609"/>
    </row>
    <row r="5901" spans="1:27" ht="24">
      <c r="A5901" s="2714" t="s">
        <v>1953</v>
      </c>
      <c r="B5901" s="371">
        <v>1</v>
      </c>
      <c r="C5901" s="371"/>
      <c r="D5901" s="2716" t="str">
        <f>VLOOKUP($A5901,Sheet_NoteList,2,0)</f>
        <v>支付给职工以及为职工支付的现金计算表</v>
      </c>
      <c r="E5901" s="2716" t="s">
        <v>2742</v>
      </c>
      <c r="F5901" s="294"/>
      <c r="G5901" s="483" t="str">
        <f>"("&amp;B5901&amp;")"&amp;D5901</f>
        <v>(1)支付给职工以及为职工支付的现金计算表</v>
      </c>
      <c r="H5901" s="1517" t="str">
        <f>$A5901</f>
        <v>7061x</v>
      </c>
      <c r="I5901" s="343" t="s">
        <v>2743</v>
      </c>
      <c r="J5901" s="301" t="s">
        <v>4712</v>
      </c>
      <c r="K5901" s="2210">
        <f>I5909</f>
        <v>0</v>
      </c>
      <c r="L5901" s="345">
        <f>IF(ROUND(K5900-K5901,2)=0,"F/S",ROUND(K5900-K5901,2))</f>
        <v>21587533.059999999</v>
      </c>
      <c r="M5901" s="532" t="s">
        <v>4713</v>
      </c>
      <c r="N5901" s="3071"/>
      <c r="O5901" s="315"/>
      <c r="P5901" s="301"/>
      <c r="S5901" s="364"/>
      <c r="Z5901" s="609">
        <v>7061</v>
      </c>
      <c r="AA5901" s="609"/>
    </row>
    <row r="5902" spans="1:27" ht="0.75" customHeight="1" thickBot="1">
      <c r="A5902" s="2714"/>
      <c r="B5902" s="371"/>
      <c r="C5902" s="371"/>
      <c r="D5902" s="371"/>
      <c r="F5902" s="371"/>
      <c r="G5902" s="371" t="s">
        <v>4721</v>
      </c>
      <c r="H5902" s="371" t="s">
        <v>4715</v>
      </c>
      <c r="I5902" s="371" t="s">
        <v>4716</v>
      </c>
      <c r="J5902" s="371" t="s">
        <v>3671</v>
      </c>
      <c r="K5902" s="291"/>
      <c r="L5902" s="291"/>
      <c r="M5902" s="291"/>
      <c r="S5902" s="364"/>
      <c r="Z5902" s="609">
        <v>7061</v>
      </c>
      <c r="AA5902" s="609"/>
    </row>
    <row r="5903" spans="1:27" ht="18">
      <c r="A5903" s="2714"/>
      <c r="B5903" s="371"/>
      <c r="C5903" s="371"/>
      <c r="D5903" s="371"/>
      <c r="E5903" s="2716" t="s">
        <v>2749</v>
      </c>
      <c r="F5903" s="294"/>
      <c r="G5903" s="1564" t="s">
        <v>47</v>
      </c>
      <c r="H5903" s="1565" t="s">
        <v>4717</v>
      </c>
      <c r="I5903" s="1565" t="s">
        <v>2887</v>
      </c>
      <c r="J5903" s="1566" t="s">
        <v>2758</v>
      </c>
      <c r="K5903" s="291"/>
      <c r="L5903" s="291"/>
      <c r="M5903" s="291"/>
      <c r="S5903" s="364"/>
      <c r="Z5903" s="609">
        <v>7061</v>
      </c>
      <c r="AA5903" s="609"/>
    </row>
    <row r="5904" spans="1:27" ht="18">
      <c r="A5904" s="2714"/>
      <c r="B5904" s="371">
        <v>101</v>
      </c>
      <c r="C5904" s="371" t="s">
        <v>2791</v>
      </c>
      <c r="D5904" s="2716">
        <f t="shared" ref="D5904:D5909" si="629">IF(OR(G5904="*",G5904="",G5904=0),0,COUNTIF($G$5904:$G$5909,G5904))</f>
        <v>0</v>
      </c>
      <c r="E5904" s="2721">
        <v>1</v>
      </c>
      <c r="F5904" s="294"/>
      <c r="G5904" s="1563" t="s">
        <v>2792</v>
      </c>
      <c r="H5904" s="360"/>
      <c r="I5904" s="309"/>
      <c r="J5904" s="388"/>
      <c r="K5904" s="291"/>
      <c r="L5904" s="291"/>
      <c r="M5904" s="291"/>
      <c r="S5904" s="364"/>
      <c r="Z5904" s="609">
        <v>7061</v>
      </c>
      <c r="AA5904" s="609"/>
    </row>
    <row r="5905" spans="1:27" ht="18">
      <c r="A5905" s="2714"/>
      <c r="B5905" s="371">
        <v>102</v>
      </c>
      <c r="C5905" s="371" t="s">
        <v>2791</v>
      </c>
      <c r="D5905" s="2716">
        <f t="shared" si="629"/>
        <v>0</v>
      </c>
      <c r="E5905" s="2721">
        <v>1</v>
      </c>
      <c r="F5905" s="294"/>
      <c r="G5905" s="1563" t="s">
        <v>2792</v>
      </c>
      <c r="H5905" s="360"/>
      <c r="I5905" s="309"/>
      <c r="J5905" s="388"/>
      <c r="K5905" s="291"/>
      <c r="L5905" s="291"/>
      <c r="M5905" s="291"/>
      <c r="S5905" s="364"/>
      <c r="Z5905" s="609">
        <v>7061</v>
      </c>
      <c r="AA5905" s="609"/>
    </row>
    <row r="5906" spans="1:27" ht="18">
      <c r="A5906" s="2714"/>
      <c r="B5906" s="371">
        <v>103</v>
      </c>
      <c r="C5906" s="371" t="s">
        <v>2791</v>
      </c>
      <c r="D5906" s="2716">
        <f t="shared" si="629"/>
        <v>0</v>
      </c>
      <c r="E5906" s="2721">
        <v>1</v>
      </c>
      <c r="F5906" s="294"/>
      <c r="G5906" s="1563" t="s">
        <v>2792</v>
      </c>
      <c r="H5906" s="360"/>
      <c r="I5906" s="309"/>
      <c r="J5906" s="388"/>
      <c r="K5906" s="291"/>
      <c r="L5906" s="291"/>
      <c r="M5906" s="291"/>
      <c r="S5906" s="364"/>
      <c r="Z5906" s="609">
        <v>7061</v>
      </c>
      <c r="AA5906" s="609"/>
    </row>
    <row r="5907" spans="1:27" ht="18">
      <c r="A5907" s="2714"/>
      <c r="B5907" s="371">
        <v>104</v>
      </c>
      <c r="C5907" s="371" t="s">
        <v>2791</v>
      </c>
      <c r="D5907" s="2716">
        <f t="shared" si="629"/>
        <v>0</v>
      </c>
      <c r="E5907" s="2721">
        <v>1</v>
      </c>
      <c r="F5907" s="294"/>
      <c r="G5907" s="1563" t="s">
        <v>2792</v>
      </c>
      <c r="H5907" s="360"/>
      <c r="I5907" s="309"/>
      <c r="J5907" s="388"/>
      <c r="K5907" s="291"/>
      <c r="L5907" s="291"/>
      <c r="M5907" s="291"/>
      <c r="S5907" s="364"/>
      <c r="Z5907" s="609">
        <v>7061</v>
      </c>
      <c r="AA5907" s="609"/>
    </row>
    <row r="5908" spans="1:27" ht="18">
      <c r="A5908" s="2714"/>
      <c r="B5908" s="371">
        <v>105</v>
      </c>
      <c r="C5908" s="371" t="s">
        <v>2791</v>
      </c>
      <c r="D5908" s="2716">
        <f t="shared" si="629"/>
        <v>0</v>
      </c>
      <c r="E5908" s="2721">
        <v>1</v>
      </c>
      <c r="F5908" s="294"/>
      <c r="G5908" s="1563" t="s">
        <v>2792</v>
      </c>
      <c r="H5908" s="360"/>
      <c r="I5908" s="309"/>
      <c r="J5908" s="388"/>
      <c r="K5908" s="291"/>
      <c r="L5908" s="291"/>
      <c r="M5908" s="291"/>
      <c r="S5908" s="364"/>
      <c r="Z5908" s="609">
        <v>7061</v>
      </c>
      <c r="AA5908" s="609"/>
    </row>
    <row r="5909" spans="1:27" ht="18.75" thickBot="1">
      <c r="A5909" s="2714"/>
      <c r="B5909" s="371"/>
      <c r="C5909" s="371"/>
      <c r="D5909" s="2716">
        <f t="shared" si="629"/>
        <v>1</v>
      </c>
      <c r="E5909" s="2721" t="s">
        <v>2751</v>
      </c>
      <c r="F5909" s="294"/>
      <c r="G5909" s="1529" t="s">
        <v>2752</v>
      </c>
      <c r="H5909" s="1570"/>
      <c r="I5909" s="1527">
        <f>SUMPRODUCT($E5903:$E5908,I5903:I5908)</f>
        <v>0</v>
      </c>
      <c r="J5909" s="1571"/>
      <c r="K5909" s="291"/>
      <c r="L5909" s="291"/>
      <c r="M5909" s="291"/>
      <c r="S5909" s="364"/>
      <c r="Z5909" s="609">
        <v>7061</v>
      </c>
      <c r="AA5909" s="609"/>
    </row>
    <row r="5910" spans="1:27" ht="18">
      <c r="A5910" s="2714"/>
      <c r="B5910" s="371"/>
      <c r="C5910" s="371" t="s">
        <v>2755</v>
      </c>
      <c r="D5910" s="371"/>
      <c r="F5910" s="294"/>
      <c r="G5910" s="301"/>
      <c r="H5910" s="393"/>
      <c r="I5910" s="315"/>
      <c r="J5910" s="393"/>
      <c r="K5910" s="291"/>
      <c r="L5910" s="291"/>
      <c r="M5910" s="291"/>
      <c r="S5910" s="364"/>
      <c r="Z5910" s="609">
        <v>7061</v>
      </c>
      <c r="AA5910" s="609"/>
    </row>
    <row r="5911" spans="1:27" ht="18">
      <c r="A5911" s="2714">
        <v>7071</v>
      </c>
      <c r="B5911" s="371">
        <v>78.739999999999995</v>
      </c>
      <c r="C5911" s="2716" t="str">
        <f>VLOOKUP($A5911,Sheet_Items,2,0)</f>
        <v>支付的各项税费</v>
      </c>
      <c r="D5911" s="371"/>
      <c r="E5911" s="2716" t="s">
        <v>2739</v>
      </c>
      <c r="F5911" s="294"/>
      <c r="G5911" s="536" t="str">
        <f>B5911&amp;" "&amp;C5911</f>
        <v>78.74 支付的各项税费</v>
      </c>
      <c r="H5911" s="322"/>
      <c r="I5911" s="322"/>
      <c r="J5911" s="306" t="s">
        <v>4206</v>
      </c>
      <c r="K5911" s="341">
        <f>VLOOKUP($A5911,Sheet_Trialbal,6,0)</f>
        <v>0</v>
      </c>
      <c r="L5911" s="342"/>
      <c r="M5911" s="306"/>
      <c r="N5911" s="341"/>
      <c r="O5911" s="306"/>
      <c r="P5911" s="301"/>
      <c r="S5911" s="364"/>
      <c r="Z5911" s="609">
        <v>7071</v>
      </c>
      <c r="AA5911" s="609"/>
    </row>
    <row r="5912" spans="1:27" ht="18">
      <c r="A5912" s="2714" t="s">
        <v>1955</v>
      </c>
      <c r="B5912" s="371">
        <v>1</v>
      </c>
      <c r="C5912" s="371"/>
      <c r="D5912" s="2716" t="str">
        <f>VLOOKUP($A5912,Sheet_NoteList,2,0)</f>
        <v>支付的各项税费计算表</v>
      </c>
      <c r="E5912" s="2716" t="s">
        <v>2742</v>
      </c>
      <c r="F5912" s="294"/>
      <c r="G5912" s="483" t="str">
        <f>"("&amp;B5912&amp;")"&amp;D5912</f>
        <v>(1)支付的各项税费计算表</v>
      </c>
      <c r="H5912" s="1517" t="str">
        <f>$A5912</f>
        <v>7071x</v>
      </c>
      <c r="I5912" s="343" t="s">
        <v>2743</v>
      </c>
      <c r="J5912" s="301" t="s">
        <v>4712</v>
      </c>
      <c r="K5912" s="2210">
        <f>I5920</f>
        <v>0</v>
      </c>
      <c r="L5912" s="345" t="str">
        <f>IF(ROUND(K5911-K5912,2)=0,"F/S",ROUND(K5911-K5912,2))</f>
        <v>F/S</v>
      </c>
      <c r="M5912" s="532" t="s">
        <v>4713</v>
      </c>
      <c r="N5912" s="3071"/>
      <c r="O5912" s="315"/>
      <c r="P5912" s="301"/>
      <c r="S5912" s="364"/>
      <c r="Z5912" s="609">
        <v>7071</v>
      </c>
      <c r="AA5912" s="609"/>
    </row>
    <row r="5913" spans="1:27" ht="0.75" customHeight="1" thickBot="1">
      <c r="A5913" s="2714"/>
      <c r="B5913" s="371"/>
      <c r="C5913" s="371"/>
      <c r="D5913" s="371"/>
      <c r="F5913" s="371"/>
      <c r="G5913" s="371" t="s">
        <v>4722</v>
      </c>
      <c r="H5913" s="371" t="s">
        <v>4715</v>
      </c>
      <c r="I5913" s="371" t="s">
        <v>4716</v>
      </c>
      <c r="J5913" s="371" t="s">
        <v>3671</v>
      </c>
      <c r="K5913" s="291"/>
      <c r="L5913" s="291"/>
      <c r="M5913" s="291"/>
      <c r="S5913" s="364"/>
      <c r="Z5913" s="609">
        <v>7071</v>
      </c>
      <c r="AA5913" s="609"/>
    </row>
    <row r="5914" spans="1:27" ht="18">
      <c r="A5914" s="2714"/>
      <c r="B5914" s="371"/>
      <c r="C5914" s="371"/>
      <c r="D5914" s="371"/>
      <c r="E5914" s="2716" t="s">
        <v>2749</v>
      </c>
      <c r="F5914" s="294"/>
      <c r="G5914" s="1564" t="s">
        <v>47</v>
      </c>
      <c r="H5914" s="1565" t="s">
        <v>4717</v>
      </c>
      <c r="I5914" s="1565" t="s">
        <v>2887</v>
      </c>
      <c r="J5914" s="1566" t="s">
        <v>2758</v>
      </c>
      <c r="K5914" s="291"/>
      <c r="L5914" s="291"/>
      <c r="M5914" s="291"/>
      <c r="S5914" s="364"/>
      <c r="Z5914" s="609">
        <v>7071</v>
      </c>
      <c r="AA5914" s="609"/>
    </row>
    <row r="5915" spans="1:27" ht="18">
      <c r="A5915" s="2714"/>
      <c r="B5915" s="371">
        <v>101</v>
      </c>
      <c r="C5915" s="371" t="s">
        <v>2791</v>
      </c>
      <c r="D5915" s="2716">
        <f t="shared" ref="D5915:D5920" si="630">IF(OR(G5915="*",G5915="",G5915=0),0,COUNTIF($G$5915:$G$5920,G5915))</f>
        <v>0</v>
      </c>
      <c r="E5915" s="2721">
        <v>1</v>
      </c>
      <c r="F5915" s="294"/>
      <c r="G5915" s="1563" t="s">
        <v>2792</v>
      </c>
      <c r="H5915" s="360"/>
      <c r="I5915" s="309"/>
      <c r="J5915" s="388"/>
      <c r="K5915" s="291"/>
      <c r="L5915" s="291"/>
      <c r="M5915" s="291"/>
      <c r="S5915" s="364"/>
      <c r="Z5915" s="609">
        <v>7071</v>
      </c>
      <c r="AA5915" s="609"/>
    </row>
    <row r="5916" spans="1:27" ht="18">
      <c r="A5916" s="2714"/>
      <c r="B5916" s="371">
        <v>102</v>
      </c>
      <c r="C5916" s="371" t="s">
        <v>2791</v>
      </c>
      <c r="D5916" s="2716">
        <f t="shared" si="630"/>
        <v>0</v>
      </c>
      <c r="E5916" s="2721">
        <v>1</v>
      </c>
      <c r="F5916" s="294"/>
      <c r="G5916" s="1563" t="s">
        <v>2792</v>
      </c>
      <c r="H5916" s="360"/>
      <c r="I5916" s="309"/>
      <c r="J5916" s="388"/>
      <c r="K5916" s="291"/>
      <c r="L5916" s="291"/>
      <c r="M5916" s="291"/>
      <c r="S5916" s="364"/>
      <c r="Z5916" s="609">
        <v>7071</v>
      </c>
      <c r="AA5916" s="609"/>
    </row>
    <row r="5917" spans="1:27" ht="18">
      <c r="A5917" s="2714"/>
      <c r="B5917" s="371">
        <v>103</v>
      </c>
      <c r="C5917" s="371" t="s">
        <v>2791</v>
      </c>
      <c r="D5917" s="2716">
        <f t="shared" si="630"/>
        <v>0</v>
      </c>
      <c r="E5917" s="2721">
        <v>1</v>
      </c>
      <c r="F5917" s="294"/>
      <c r="G5917" s="1563" t="s">
        <v>2792</v>
      </c>
      <c r="H5917" s="360"/>
      <c r="I5917" s="309"/>
      <c r="J5917" s="388"/>
      <c r="K5917" s="291"/>
      <c r="L5917" s="291"/>
      <c r="M5917" s="291"/>
      <c r="S5917" s="364"/>
      <c r="Z5917" s="609">
        <v>7071</v>
      </c>
      <c r="AA5917" s="609"/>
    </row>
    <row r="5918" spans="1:27" ht="18">
      <c r="A5918" s="2714"/>
      <c r="B5918" s="371">
        <v>104</v>
      </c>
      <c r="C5918" s="371" t="s">
        <v>2791</v>
      </c>
      <c r="D5918" s="2716">
        <f t="shared" si="630"/>
        <v>0</v>
      </c>
      <c r="E5918" s="2721">
        <v>1</v>
      </c>
      <c r="F5918" s="294"/>
      <c r="G5918" s="1563" t="s">
        <v>2792</v>
      </c>
      <c r="H5918" s="360"/>
      <c r="I5918" s="309"/>
      <c r="J5918" s="388"/>
      <c r="K5918" s="291"/>
      <c r="L5918" s="291"/>
      <c r="M5918" s="291"/>
      <c r="S5918" s="364"/>
      <c r="Z5918" s="609">
        <v>7071</v>
      </c>
      <c r="AA5918" s="609"/>
    </row>
    <row r="5919" spans="1:27" ht="18">
      <c r="A5919" s="2714"/>
      <c r="B5919" s="371">
        <v>105</v>
      </c>
      <c r="C5919" s="371" t="s">
        <v>2791</v>
      </c>
      <c r="D5919" s="2716">
        <f t="shared" si="630"/>
        <v>0</v>
      </c>
      <c r="E5919" s="2721">
        <v>1</v>
      </c>
      <c r="F5919" s="294"/>
      <c r="G5919" s="1563" t="s">
        <v>2792</v>
      </c>
      <c r="H5919" s="360"/>
      <c r="I5919" s="309"/>
      <c r="J5919" s="388"/>
      <c r="K5919" s="291"/>
      <c r="L5919" s="291"/>
      <c r="M5919" s="291"/>
      <c r="S5919" s="364"/>
      <c r="Z5919" s="609">
        <v>7071</v>
      </c>
      <c r="AA5919" s="609"/>
    </row>
    <row r="5920" spans="1:27" ht="18.75" thickBot="1">
      <c r="A5920" s="2714"/>
      <c r="B5920" s="371"/>
      <c r="C5920" s="371"/>
      <c r="D5920" s="2716">
        <f t="shared" si="630"/>
        <v>1</v>
      </c>
      <c r="E5920" s="2721" t="s">
        <v>2751</v>
      </c>
      <c r="F5920" s="294"/>
      <c r="G5920" s="1529" t="s">
        <v>2752</v>
      </c>
      <c r="H5920" s="1570"/>
      <c r="I5920" s="1527">
        <f>SUMPRODUCT($E5914:$E5919,I5914:I5919)</f>
        <v>0</v>
      </c>
      <c r="J5920" s="1571"/>
      <c r="K5920" s="291"/>
      <c r="L5920" s="291"/>
      <c r="M5920" s="291"/>
      <c r="S5920" s="364"/>
      <c r="Z5920" s="609">
        <v>7071</v>
      </c>
      <c r="AA5920" s="609"/>
    </row>
    <row r="5921" spans="1:27" ht="18">
      <c r="A5921" s="2714"/>
      <c r="B5921" s="371"/>
      <c r="C5921" s="371" t="s">
        <v>2755</v>
      </c>
      <c r="D5921" s="371"/>
      <c r="F5921" s="294"/>
      <c r="G5921" s="301"/>
      <c r="H5921" s="393"/>
      <c r="I5921" s="315"/>
      <c r="J5921" s="393"/>
      <c r="K5921" s="291"/>
      <c r="L5921" s="291"/>
      <c r="M5921" s="291"/>
      <c r="S5921" s="364"/>
      <c r="Z5921" s="609">
        <v>7071</v>
      </c>
      <c r="AA5921" s="609"/>
    </row>
    <row r="5922" spans="1:27" ht="18">
      <c r="A5922" s="2714">
        <v>7096</v>
      </c>
      <c r="B5922" s="371">
        <v>78.2</v>
      </c>
      <c r="C5922" s="2716" t="str">
        <f>VLOOKUP($A5922,Sheet_Items,2,0)</f>
        <v>支付其他与经营活动有关的现金</v>
      </c>
      <c r="D5922" s="371"/>
      <c r="E5922" s="2716" t="s">
        <v>2739</v>
      </c>
      <c r="F5922" s="294"/>
      <c r="G5922" s="536" t="str">
        <f>B5922&amp;" "&amp;C5922</f>
        <v>78.2 支付其他与经营活动有关的现金</v>
      </c>
      <c r="H5922" s="322"/>
      <c r="I5922" s="322"/>
      <c r="J5922" s="306" t="s">
        <v>4206</v>
      </c>
      <c r="K5922" s="341">
        <f>VLOOKUP($A5922,Sheet_Trialbal,6,0)</f>
        <v>9655236.5600000005</v>
      </c>
      <c r="L5922" s="342"/>
      <c r="M5922" s="306"/>
      <c r="N5922" s="341"/>
      <c r="O5922" s="306"/>
      <c r="P5922" s="301"/>
      <c r="S5922" s="364"/>
      <c r="Z5922" s="609">
        <v>7096</v>
      </c>
      <c r="AA5922" s="609"/>
    </row>
    <row r="5923" spans="1:27" ht="24">
      <c r="A5923" s="2714" t="s">
        <v>1960</v>
      </c>
      <c r="B5923" s="371">
        <v>1</v>
      </c>
      <c r="C5923" s="371"/>
      <c r="D5923" s="2716" t="str">
        <f>VLOOKUP($A5923,Sheet_NoteList,2,0)</f>
        <v>支付其他与经营活动有关的现金计算表</v>
      </c>
      <c r="E5923" s="2716" t="s">
        <v>2742</v>
      </c>
      <c r="F5923" s="294"/>
      <c r="G5923" s="483" t="str">
        <f>"("&amp;B5923&amp;")"&amp;D5923</f>
        <v>(1)支付其他与经营活动有关的现金计算表</v>
      </c>
      <c r="H5923" s="1517" t="str">
        <f>$A5923</f>
        <v>7096x</v>
      </c>
      <c r="I5923" s="343" t="s">
        <v>2743</v>
      </c>
      <c r="J5923" s="301" t="s">
        <v>4712</v>
      </c>
      <c r="K5923" s="2210">
        <f>I5931</f>
        <v>0</v>
      </c>
      <c r="L5923" s="345">
        <f>IF(ROUND(K5922-K5923,2)=0,"F/S",ROUND(K5922-K5923,2))</f>
        <v>9655236.5600000005</v>
      </c>
      <c r="M5923" s="532" t="s">
        <v>4713</v>
      </c>
      <c r="N5923" s="3071"/>
      <c r="O5923" s="315"/>
      <c r="P5923" s="301"/>
      <c r="S5923" s="364"/>
      <c r="Z5923" s="609">
        <v>7096</v>
      </c>
      <c r="AA5923" s="609"/>
    </row>
    <row r="5924" spans="1:27" ht="0.75" customHeight="1" thickBot="1">
      <c r="A5924" s="2714"/>
      <c r="B5924" s="371"/>
      <c r="C5924" s="371"/>
      <c r="D5924" s="371"/>
      <c r="F5924" s="371"/>
      <c r="G5924" s="371" t="s">
        <v>4723</v>
      </c>
      <c r="H5924" s="371" t="s">
        <v>4715</v>
      </c>
      <c r="I5924" s="371" t="s">
        <v>4716</v>
      </c>
      <c r="J5924" s="371" t="s">
        <v>3671</v>
      </c>
      <c r="K5924" s="291"/>
      <c r="L5924" s="291"/>
      <c r="M5924" s="291"/>
      <c r="S5924" s="364"/>
      <c r="Z5924" s="609">
        <v>7096</v>
      </c>
      <c r="AA5924" s="609"/>
    </row>
    <row r="5925" spans="1:27" ht="18">
      <c r="A5925" s="2714"/>
      <c r="B5925" s="371"/>
      <c r="C5925" s="371"/>
      <c r="D5925" s="371"/>
      <c r="E5925" s="2716" t="s">
        <v>2749</v>
      </c>
      <c r="F5925" s="294"/>
      <c r="G5925" s="1564" t="s">
        <v>47</v>
      </c>
      <c r="H5925" s="1565" t="s">
        <v>4717</v>
      </c>
      <c r="I5925" s="1565" t="s">
        <v>2887</v>
      </c>
      <c r="J5925" s="1566" t="s">
        <v>2758</v>
      </c>
      <c r="K5925" s="291"/>
      <c r="L5925" s="291"/>
      <c r="M5925" s="291"/>
      <c r="S5925" s="364"/>
      <c r="Z5925" s="609">
        <v>7096</v>
      </c>
      <c r="AA5925" s="609"/>
    </row>
    <row r="5926" spans="1:27" ht="18">
      <c r="A5926" s="2714"/>
      <c r="B5926" s="371">
        <v>101</v>
      </c>
      <c r="C5926" s="371" t="s">
        <v>2791</v>
      </c>
      <c r="D5926" s="2716">
        <f t="shared" ref="D5926:D5931" si="631">IF(OR(G5926="*",G5926="",G5926=0),0,COUNTIF($G$5926:$G$5931,G5926))</f>
        <v>0</v>
      </c>
      <c r="E5926" s="2721">
        <v>1</v>
      </c>
      <c r="F5926" s="294"/>
      <c r="G5926" s="1563" t="s">
        <v>2792</v>
      </c>
      <c r="H5926" s="360"/>
      <c r="I5926" s="309"/>
      <c r="J5926" s="388"/>
      <c r="K5926" s="291"/>
      <c r="L5926" s="291"/>
      <c r="M5926" s="291"/>
      <c r="S5926" s="364"/>
      <c r="Z5926" s="609">
        <v>7096</v>
      </c>
      <c r="AA5926" s="609"/>
    </row>
    <row r="5927" spans="1:27" ht="18">
      <c r="A5927" s="2714"/>
      <c r="B5927" s="371">
        <v>102</v>
      </c>
      <c r="C5927" s="371" t="s">
        <v>2791</v>
      </c>
      <c r="D5927" s="2716">
        <f t="shared" si="631"/>
        <v>0</v>
      </c>
      <c r="E5927" s="2721">
        <v>1</v>
      </c>
      <c r="F5927" s="294"/>
      <c r="G5927" s="1563" t="s">
        <v>2792</v>
      </c>
      <c r="H5927" s="360"/>
      <c r="I5927" s="309"/>
      <c r="J5927" s="388"/>
      <c r="K5927" s="291"/>
      <c r="L5927" s="291"/>
      <c r="M5927" s="291"/>
      <c r="S5927" s="364"/>
      <c r="Z5927" s="609">
        <v>7096</v>
      </c>
      <c r="AA5927" s="609"/>
    </row>
    <row r="5928" spans="1:27" ht="18">
      <c r="A5928" s="2714"/>
      <c r="B5928" s="371">
        <v>103</v>
      </c>
      <c r="C5928" s="371" t="s">
        <v>2791</v>
      </c>
      <c r="D5928" s="2716">
        <f t="shared" si="631"/>
        <v>0</v>
      </c>
      <c r="E5928" s="2721">
        <v>1</v>
      </c>
      <c r="F5928" s="294"/>
      <c r="G5928" s="1563" t="s">
        <v>2792</v>
      </c>
      <c r="H5928" s="360"/>
      <c r="I5928" s="309"/>
      <c r="J5928" s="388"/>
      <c r="K5928" s="291"/>
      <c r="L5928" s="291"/>
      <c r="M5928" s="291"/>
      <c r="S5928" s="364"/>
      <c r="Z5928" s="609">
        <v>7096</v>
      </c>
      <c r="AA5928" s="609"/>
    </row>
    <row r="5929" spans="1:27" ht="18">
      <c r="A5929" s="2714"/>
      <c r="B5929" s="371">
        <v>104</v>
      </c>
      <c r="C5929" s="371" t="s">
        <v>2791</v>
      </c>
      <c r="D5929" s="2716">
        <f t="shared" si="631"/>
        <v>0</v>
      </c>
      <c r="E5929" s="2721">
        <v>1</v>
      </c>
      <c r="F5929" s="294"/>
      <c r="G5929" s="1563" t="s">
        <v>2792</v>
      </c>
      <c r="H5929" s="360"/>
      <c r="I5929" s="309"/>
      <c r="J5929" s="388"/>
      <c r="K5929" s="291"/>
      <c r="L5929" s="291"/>
      <c r="M5929" s="291"/>
      <c r="S5929" s="364"/>
      <c r="Z5929" s="609">
        <v>7096</v>
      </c>
      <c r="AA5929" s="609"/>
    </row>
    <row r="5930" spans="1:27" ht="18">
      <c r="A5930" s="2714"/>
      <c r="B5930" s="371">
        <v>105</v>
      </c>
      <c r="C5930" s="371" t="s">
        <v>2791</v>
      </c>
      <c r="D5930" s="2716">
        <f t="shared" si="631"/>
        <v>0</v>
      </c>
      <c r="E5930" s="2721">
        <v>1</v>
      </c>
      <c r="F5930" s="294"/>
      <c r="G5930" s="1563" t="s">
        <v>2792</v>
      </c>
      <c r="H5930" s="360"/>
      <c r="I5930" s="309"/>
      <c r="J5930" s="388"/>
      <c r="K5930" s="291"/>
      <c r="L5930" s="291"/>
      <c r="M5930" s="291"/>
      <c r="S5930" s="364"/>
      <c r="Z5930" s="609">
        <v>7096</v>
      </c>
      <c r="AA5930" s="609"/>
    </row>
    <row r="5931" spans="1:27" ht="18.75" thickBot="1">
      <c r="A5931" s="2714"/>
      <c r="B5931" s="371"/>
      <c r="C5931" s="371"/>
      <c r="D5931" s="2716">
        <f t="shared" si="631"/>
        <v>1</v>
      </c>
      <c r="E5931" s="2721" t="s">
        <v>2751</v>
      </c>
      <c r="F5931" s="294"/>
      <c r="G5931" s="1529" t="s">
        <v>2752</v>
      </c>
      <c r="H5931" s="1570"/>
      <c r="I5931" s="1527">
        <f>SUMPRODUCT($E5925:$E5930,I5925:I5930)</f>
        <v>0</v>
      </c>
      <c r="J5931" s="1571"/>
      <c r="K5931" s="291"/>
      <c r="L5931" s="291"/>
      <c r="M5931" s="291"/>
      <c r="S5931" s="364"/>
      <c r="Z5931" s="609">
        <v>7096</v>
      </c>
      <c r="AA5931" s="609"/>
    </row>
    <row r="5932" spans="1:27" ht="18">
      <c r="A5932" s="2714"/>
      <c r="B5932" s="371"/>
      <c r="C5932" s="371" t="s">
        <v>2755</v>
      </c>
      <c r="D5932" s="371"/>
      <c r="F5932" s="294"/>
      <c r="G5932" s="301"/>
      <c r="H5932" s="393"/>
      <c r="I5932" s="315"/>
      <c r="J5932" s="393"/>
      <c r="K5932" s="291"/>
      <c r="L5932" s="291"/>
      <c r="M5932" s="291"/>
      <c r="S5932" s="364"/>
      <c r="Z5932" s="609">
        <v>7096</v>
      </c>
      <c r="AA5932" s="609"/>
    </row>
    <row r="5933" spans="1:27" ht="18">
      <c r="A5933" s="2714">
        <v>7101</v>
      </c>
      <c r="B5933" s="371">
        <v>78.75</v>
      </c>
      <c r="C5933" s="2716" t="str">
        <f>VLOOKUP($A5933,Sheet_Items,2,0)</f>
        <v>收回投资收到的现金</v>
      </c>
      <c r="D5933" s="371"/>
      <c r="E5933" s="2716" t="s">
        <v>2739</v>
      </c>
      <c r="F5933" s="294"/>
      <c r="G5933" s="536" t="str">
        <f>B5933&amp;" "&amp;C5933</f>
        <v>78.75 收回投资收到的现金</v>
      </c>
      <c r="H5933" s="322"/>
      <c r="I5933" s="322"/>
      <c r="J5933" s="306" t="s">
        <v>4206</v>
      </c>
      <c r="K5933" s="341">
        <f>VLOOKUP($A5933,Sheet_Trialbal,6,0)</f>
        <v>0</v>
      </c>
      <c r="L5933" s="342"/>
      <c r="M5933" s="306"/>
      <c r="N5933" s="341"/>
      <c r="O5933" s="306"/>
      <c r="P5933" s="301"/>
      <c r="S5933" s="364"/>
      <c r="Z5933" s="609">
        <v>7101</v>
      </c>
      <c r="AA5933" s="609"/>
    </row>
    <row r="5934" spans="1:27" ht="24">
      <c r="A5934" s="2714" t="s">
        <v>1963</v>
      </c>
      <c r="B5934" s="371">
        <v>1</v>
      </c>
      <c r="C5934" s="371"/>
      <c r="D5934" s="2716" t="str">
        <f>VLOOKUP($A5934,Sheet_NoteList,2,0)</f>
        <v>收回投资收到的现金计算表</v>
      </c>
      <c r="E5934" s="2716" t="s">
        <v>2742</v>
      </c>
      <c r="F5934" s="294"/>
      <c r="G5934" s="483" t="str">
        <f>"("&amp;B5934&amp;")"&amp;D5934</f>
        <v>(1)收回投资收到的现金计算表</v>
      </c>
      <c r="H5934" s="1517" t="str">
        <f>$A5934</f>
        <v>7101x</v>
      </c>
      <c r="I5934" s="343" t="s">
        <v>2743</v>
      </c>
      <c r="J5934" s="301" t="s">
        <v>4712</v>
      </c>
      <c r="K5934" s="2210">
        <f>I5942</f>
        <v>0</v>
      </c>
      <c r="L5934" s="345" t="str">
        <f>IF(ROUND(K5933-K5934,2)=0,"F/S",ROUND(K5933-K5934,2))</f>
        <v>F/S</v>
      </c>
      <c r="M5934" s="532" t="s">
        <v>4713</v>
      </c>
      <c r="N5934" s="3071"/>
      <c r="O5934" s="315"/>
      <c r="P5934" s="301"/>
      <c r="S5934" s="364"/>
      <c r="Z5934" s="609">
        <v>7101</v>
      </c>
      <c r="AA5934" s="609"/>
    </row>
    <row r="5935" spans="1:27" ht="0.75" customHeight="1" thickBot="1">
      <c r="A5935" s="2714"/>
      <c r="B5935" s="371"/>
      <c r="C5935" s="371"/>
      <c r="D5935" s="371"/>
      <c r="F5935" s="371"/>
      <c r="G5935" s="371" t="s">
        <v>4724</v>
      </c>
      <c r="H5935" s="371" t="s">
        <v>4715</v>
      </c>
      <c r="I5935" s="371" t="s">
        <v>4716</v>
      </c>
      <c r="J5935" s="371" t="s">
        <v>3671</v>
      </c>
      <c r="K5935" s="291"/>
      <c r="L5935" s="291"/>
      <c r="M5935" s="291"/>
      <c r="S5935" s="364"/>
      <c r="Z5935" s="609">
        <v>7101</v>
      </c>
      <c r="AA5935" s="609"/>
    </row>
    <row r="5936" spans="1:27" ht="18">
      <c r="A5936" s="2714"/>
      <c r="B5936" s="371"/>
      <c r="C5936" s="371"/>
      <c r="D5936" s="371"/>
      <c r="E5936" s="2716" t="s">
        <v>2749</v>
      </c>
      <c r="F5936" s="294"/>
      <c r="G5936" s="1564" t="s">
        <v>47</v>
      </c>
      <c r="H5936" s="1565" t="s">
        <v>4717</v>
      </c>
      <c r="I5936" s="1565" t="s">
        <v>2887</v>
      </c>
      <c r="J5936" s="1566" t="s">
        <v>2758</v>
      </c>
      <c r="K5936" s="291"/>
      <c r="L5936" s="291"/>
      <c r="M5936" s="291"/>
      <c r="S5936" s="364"/>
      <c r="Z5936" s="609">
        <v>7101</v>
      </c>
      <c r="AA5936" s="609"/>
    </row>
    <row r="5937" spans="1:27" ht="18">
      <c r="A5937" s="2714"/>
      <c r="B5937" s="371">
        <v>101</v>
      </c>
      <c r="C5937" s="371" t="s">
        <v>2791</v>
      </c>
      <c r="D5937" s="2716">
        <f t="shared" ref="D5937:D5942" si="632">IF(OR(G5937="*",G5937="",G5937=0),0,COUNTIF($G$5937:$G$5942,G5937))</f>
        <v>1</v>
      </c>
      <c r="E5937" s="2721">
        <v>1</v>
      </c>
      <c r="F5937" s="294"/>
      <c r="G5937" s="1563" t="s">
        <v>4725</v>
      </c>
      <c r="H5937" s="360" t="s">
        <v>4726</v>
      </c>
      <c r="I5937" s="309"/>
      <c r="J5937" s="388"/>
      <c r="K5937" s="291"/>
      <c r="L5937" s="291"/>
      <c r="M5937" s="291"/>
      <c r="S5937" s="364"/>
      <c r="Z5937" s="609">
        <v>7101</v>
      </c>
      <c r="AA5937" s="609"/>
    </row>
    <row r="5938" spans="1:27" ht="18">
      <c r="A5938" s="2714"/>
      <c r="B5938" s="371">
        <v>102</v>
      </c>
      <c r="C5938" s="371" t="s">
        <v>2791</v>
      </c>
      <c r="D5938" s="2716">
        <f t="shared" si="632"/>
        <v>1</v>
      </c>
      <c r="E5938" s="2721">
        <v>1</v>
      </c>
      <c r="F5938" s="294"/>
      <c r="G5938" s="1563" t="s">
        <v>4727</v>
      </c>
      <c r="H5938" s="360" t="s">
        <v>4726</v>
      </c>
      <c r="I5938" s="309"/>
      <c r="J5938" s="388"/>
      <c r="K5938" s="291"/>
      <c r="L5938" s="291"/>
      <c r="M5938" s="291"/>
      <c r="S5938" s="364"/>
      <c r="Z5938" s="609">
        <v>7101</v>
      </c>
      <c r="AA5938" s="609"/>
    </row>
    <row r="5939" spans="1:27" ht="18">
      <c r="A5939" s="2714"/>
      <c r="B5939" s="371">
        <v>103</v>
      </c>
      <c r="C5939" s="371" t="s">
        <v>2791</v>
      </c>
      <c r="D5939" s="2716">
        <f t="shared" si="632"/>
        <v>1</v>
      </c>
      <c r="E5939" s="2721">
        <v>1</v>
      </c>
      <c r="F5939" s="294"/>
      <c r="G5939" s="1563" t="s">
        <v>4728</v>
      </c>
      <c r="H5939" s="360" t="s">
        <v>4726</v>
      </c>
      <c r="I5939" s="309"/>
      <c r="J5939" s="388"/>
      <c r="K5939" s="291"/>
      <c r="L5939" s="291"/>
      <c r="M5939" s="291"/>
      <c r="S5939" s="364"/>
      <c r="Z5939" s="609">
        <v>7101</v>
      </c>
      <c r="AA5939" s="609"/>
    </row>
    <row r="5940" spans="1:27" ht="18">
      <c r="A5940" s="2714"/>
      <c r="B5940" s="371">
        <v>104</v>
      </c>
      <c r="C5940" s="371" t="s">
        <v>2791</v>
      </c>
      <c r="D5940" s="2716">
        <f t="shared" si="632"/>
        <v>1</v>
      </c>
      <c r="E5940" s="2721">
        <v>1</v>
      </c>
      <c r="F5940" s="294"/>
      <c r="G5940" s="1563" t="s">
        <v>4729</v>
      </c>
      <c r="H5940" s="360" t="s">
        <v>4726</v>
      </c>
      <c r="I5940" s="309"/>
      <c r="J5940" s="388"/>
      <c r="K5940" s="291"/>
      <c r="L5940" s="291"/>
      <c r="M5940" s="291"/>
      <c r="S5940" s="364"/>
      <c r="Z5940" s="609">
        <v>7101</v>
      </c>
      <c r="AA5940" s="609"/>
    </row>
    <row r="5941" spans="1:27" ht="18">
      <c r="A5941" s="2714"/>
      <c r="B5941" s="371">
        <v>105</v>
      </c>
      <c r="C5941" s="371" t="s">
        <v>2791</v>
      </c>
      <c r="D5941" s="2716">
        <f t="shared" si="632"/>
        <v>0</v>
      </c>
      <c r="E5941" s="2721">
        <v>1</v>
      </c>
      <c r="F5941" s="294"/>
      <c r="G5941" s="1563" t="s">
        <v>2792</v>
      </c>
      <c r="H5941" s="360"/>
      <c r="I5941" s="309"/>
      <c r="J5941" s="388"/>
      <c r="K5941" s="291"/>
      <c r="L5941" s="291"/>
      <c r="M5941" s="291"/>
      <c r="S5941" s="364"/>
      <c r="Z5941" s="609">
        <v>7101</v>
      </c>
      <c r="AA5941" s="609"/>
    </row>
    <row r="5942" spans="1:27" ht="18.75" thickBot="1">
      <c r="A5942" s="2714"/>
      <c r="B5942" s="371"/>
      <c r="C5942" s="371"/>
      <c r="D5942" s="2716">
        <f t="shared" si="632"/>
        <v>1</v>
      </c>
      <c r="E5942" s="2721" t="s">
        <v>2751</v>
      </c>
      <c r="F5942" s="294"/>
      <c r="G5942" s="1529" t="s">
        <v>2752</v>
      </c>
      <c r="H5942" s="1570"/>
      <c r="I5942" s="1527">
        <f>SUMPRODUCT($E5936:$E5941,I5936:I5941)</f>
        <v>0</v>
      </c>
      <c r="J5942" s="1571"/>
      <c r="K5942" s="291"/>
      <c r="L5942" s="291"/>
      <c r="M5942" s="291"/>
      <c r="S5942" s="364"/>
      <c r="Z5942" s="609">
        <v>7101</v>
      </c>
      <c r="AA5942" s="609"/>
    </row>
    <row r="5943" spans="1:27" ht="18">
      <c r="A5943" s="2714"/>
      <c r="B5943" s="371"/>
      <c r="C5943" s="371" t="s">
        <v>2755</v>
      </c>
      <c r="D5943" s="371"/>
      <c r="F5943" s="294"/>
      <c r="G5943" s="301"/>
      <c r="H5943" s="393"/>
      <c r="I5943" s="315"/>
      <c r="J5943" s="393"/>
      <c r="K5943" s="291"/>
      <c r="L5943" s="291"/>
      <c r="M5943" s="291"/>
      <c r="S5943" s="364"/>
      <c r="Z5943" s="609">
        <v>7101</v>
      </c>
      <c r="AA5943" s="609"/>
    </row>
    <row r="5944" spans="1:27" ht="18">
      <c r="A5944" s="2714">
        <v>7105</v>
      </c>
      <c r="B5944" s="371">
        <v>78.760000000000005</v>
      </c>
      <c r="C5944" s="2716" t="str">
        <f>VLOOKUP($A5944,Sheet_Items,2,0)</f>
        <v>取得投资收益收到的现金</v>
      </c>
      <c r="D5944" s="371"/>
      <c r="E5944" s="2716" t="s">
        <v>2739</v>
      </c>
      <c r="F5944" s="294"/>
      <c r="G5944" s="536" t="str">
        <f>B5944&amp;" "&amp;C5944</f>
        <v>78.76 取得投资收益收到的现金</v>
      </c>
      <c r="H5944" s="322"/>
      <c r="I5944" s="322"/>
      <c r="J5944" s="306" t="s">
        <v>4206</v>
      </c>
      <c r="K5944" s="341">
        <f>VLOOKUP($A5944,Sheet_Trialbal,6,0)</f>
        <v>0</v>
      </c>
      <c r="L5944" s="342"/>
      <c r="M5944" s="306"/>
      <c r="N5944" s="341"/>
      <c r="O5944" s="306"/>
      <c r="P5944" s="301"/>
      <c r="S5944" s="364"/>
      <c r="Z5944" s="609">
        <v>7105</v>
      </c>
      <c r="AA5944" s="609"/>
    </row>
    <row r="5945" spans="1:27" ht="24">
      <c r="A5945" s="2714" t="s">
        <v>1965</v>
      </c>
      <c r="B5945" s="371">
        <v>1</v>
      </c>
      <c r="C5945" s="371"/>
      <c r="D5945" s="2716" t="str">
        <f>VLOOKUP($A5945,Sheet_NoteList,2,0)</f>
        <v>取得投资收益收到的现金计算表</v>
      </c>
      <c r="E5945" s="2716" t="s">
        <v>2742</v>
      </c>
      <c r="F5945" s="294"/>
      <c r="G5945" s="483" t="str">
        <f>"("&amp;B5945&amp;")"&amp;D5945</f>
        <v>(1)取得投资收益收到的现金计算表</v>
      </c>
      <c r="H5945" s="1517" t="str">
        <f>$A5945</f>
        <v>7105x</v>
      </c>
      <c r="I5945" s="343" t="s">
        <v>2743</v>
      </c>
      <c r="J5945" s="301" t="s">
        <v>4712</v>
      </c>
      <c r="K5945" s="2210">
        <f>I5953</f>
        <v>0</v>
      </c>
      <c r="L5945" s="345" t="str">
        <f>IF(ROUND(K5944-K5945,2)=0,"F/S",ROUND(K5944-K5945,2))</f>
        <v>F/S</v>
      </c>
      <c r="M5945" s="532" t="s">
        <v>4713</v>
      </c>
      <c r="N5945" s="3071"/>
      <c r="O5945" s="315"/>
      <c r="P5945" s="301"/>
      <c r="S5945" s="364"/>
      <c r="Z5945" s="609">
        <v>7105</v>
      </c>
      <c r="AA5945" s="609"/>
    </row>
    <row r="5946" spans="1:27" ht="0.75" customHeight="1" thickBot="1">
      <c r="A5946" s="2714"/>
      <c r="B5946" s="371"/>
      <c r="C5946" s="371"/>
      <c r="D5946" s="371"/>
      <c r="F5946" s="371"/>
      <c r="G5946" s="371" t="s">
        <v>4730</v>
      </c>
      <c r="H5946" s="371" t="s">
        <v>4715</v>
      </c>
      <c r="I5946" s="371" t="s">
        <v>4716</v>
      </c>
      <c r="J5946" s="371" t="s">
        <v>3671</v>
      </c>
      <c r="K5946" s="291"/>
      <c r="L5946" s="291"/>
      <c r="M5946" s="291"/>
      <c r="S5946" s="364"/>
      <c r="Z5946" s="609">
        <v>7105</v>
      </c>
      <c r="AA5946" s="609"/>
    </row>
    <row r="5947" spans="1:27" ht="18">
      <c r="A5947" s="2714"/>
      <c r="B5947" s="371"/>
      <c r="C5947" s="371"/>
      <c r="D5947" s="371"/>
      <c r="E5947" s="2716" t="s">
        <v>2749</v>
      </c>
      <c r="F5947" s="294"/>
      <c r="G5947" s="1564" t="s">
        <v>47</v>
      </c>
      <c r="H5947" s="1565" t="s">
        <v>4717</v>
      </c>
      <c r="I5947" s="1565" t="s">
        <v>2887</v>
      </c>
      <c r="J5947" s="1566" t="s">
        <v>2758</v>
      </c>
      <c r="K5947" s="291"/>
      <c r="L5947" s="291"/>
      <c r="M5947" s="291"/>
      <c r="S5947" s="364"/>
      <c r="Z5947" s="609">
        <v>7105</v>
      </c>
      <c r="AA5947" s="609"/>
    </row>
    <row r="5948" spans="1:27" ht="18">
      <c r="A5948" s="2714"/>
      <c r="B5948" s="371">
        <v>101</v>
      </c>
      <c r="C5948" s="371" t="s">
        <v>2791</v>
      </c>
      <c r="D5948" s="2716">
        <f t="shared" ref="D5948:D5953" si="633">IF(OR(G5948="*",G5948="",G5948=0),0,COUNTIF($G$5948:$G$5953,G5948))</f>
        <v>1</v>
      </c>
      <c r="E5948" s="2721">
        <v>1</v>
      </c>
      <c r="F5948" s="294"/>
      <c r="G5948" s="1563" t="s">
        <v>4731</v>
      </c>
      <c r="H5948" s="360" t="s">
        <v>4726</v>
      </c>
      <c r="I5948" s="309"/>
      <c r="J5948" s="388"/>
      <c r="K5948" s="291"/>
      <c r="L5948" s="291"/>
      <c r="M5948" s="291"/>
      <c r="S5948" s="364"/>
      <c r="Z5948" s="609">
        <v>7105</v>
      </c>
      <c r="AA5948" s="609"/>
    </row>
    <row r="5949" spans="1:27" ht="18">
      <c r="A5949" s="2714"/>
      <c r="B5949" s="371">
        <v>102</v>
      </c>
      <c r="C5949" s="371" t="s">
        <v>2791</v>
      </c>
      <c r="D5949" s="2716">
        <f t="shared" si="633"/>
        <v>1</v>
      </c>
      <c r="E5949" s="2721">
        <v>1</v>
      </c>
      <c r="F5949" s="294"/>
      <c r="G5949" s="1563" t="s">
        <v>4732</v>
      </c>
      <c r="H5949" s="360" t="s">
        <v>4726</v>
      </c>
      <c r="I5949" s="309"/>
      <c r="J5949" s="388"/>
      <c r="K5949" s="291"/>
      <c r="L5949" s="291"/>
      <c r="M5949" s="291"/>
      <c r="S5949" s="364"/>
      <c r="Z5949" s="609">
        <v>7105</v>
      </c>
      <c r="AA5949" s="609"/>
    </row>
    <row r="5950" spans="1:27" ht="18">
      <c r="A5950" s="2714"/>
      <c r="B5950" s="371">
        <v>103</v>
      </c>
      <c r="C5950" s="371" t="s">
        <v>2791</v>
      </c>
      <c r="D5950" s="2716">
        <f t="shared" si="633"/>
        <v>1</v>
      </c>
      <c r="E5950" s="2721">
        <v>1</v>
      </c>
      <c r="F5950" s="294"/>
      <c r="G5950" s="1563" t="s">
        <v>4733</v>
      </c>
      <c r="H5950" s="360" t="s">
        <v>4726</v>
      </c>
      <c r="I5950" s="309"/>
      <c r="J5950" s="388"/>
      <c r="K5950" s="291"/>
      <c r="L5950" s="291"/>
      <c r="M5950" s="291"/>
      <c r="S5950" s="364"/>
      <c r="Z5950" s="609">
        <v>7105</v>
      </c>
      <c r="AA5950" s="609"/>
    </row>
    <row r="5951" spans="1:27" ht="18">
      <c r="A5951" s="2714"/>
      <c r="B5951" s="371">
        <v>104</v>
      </c>
      <c r="C5951" s="371" t="s">
        <v>2791</v>
      </c>
      <c r="D5951" s="2716">
        <f t="shared" si="633"/>
        <v>1</v>
      </c>
      <c r="E5951" s="2721">
        <v>1</v>
      </c>
      <c r="F5951" s="294"/>
      <c r="G5951" s="1563" t="s">
        <v>4729</v>
      </c>
      <c r="H5951" s="360" t="s">
        <v>4726</v>
      </c>
      <c r="I5951" s="309"/>
      <c r="J5951" s="388"/>
      <c r="K5951" s="291"/>
      <c r="L5951" s="291"/>
      <c r="M5951" s="291"/>
      <c r="S5951" s="364"/>
      <c r="Z5951" s="609">
        <v>7105</v>
      </c>
      <c r="AA5951" s="609"/>
    </row>
    <row r="5952" spans="1:27" ht="18">
      <c r="A5952" s="2714"/>
      <c r="B5952" s="371">
        <v>105</v>
      </c>
      <c r="C5952" s="371" t="s">
        <v>2791</v>
      </c>
      <c r="D5952" s="2716">
        <f t="shared" si="633"/>
        <v>0</v>
      </c>
      <c r="E5952" s="2721">
        <v>1</v>
      </c>
      <c r="F5952" s="294"/>
      <c r="G5952" s="1563" t="s">
        <v>2792</v>
      </c>
      <c r="H5952" s="360"/>
      <c r="I5952" s="309"/>
      <c r="J5952" s="388"/>
      <c r="K5952" s="291"/>
      <c r="L5952" s="291"/>
      <c r="M5952" s="291"/>
      <c r="S5952" s="364"/>
      <c r="Z5952" s="609">
        <v>7105</v>
      </c>
      <c r="AA5952" s="609"/>
    </row>
    <row r="5953" spans="1:27" ht="18.75" thickBot="1">
      <c r="A5953" s="2714"/>
      <c r="B5953" s="371"/>
      <c r="C5953" s="371"/>
      <c r="D5953" s="2716">
        <f t="shared" si="633"/>
        <v>1</v>
      </c>
      <c r="E5953" s="2721" t="s">
        <v>2751</v>
      </c>
      <c r="F5953" s="294"/>
      <c r="G5953" s="1529" t="s">
        <v>2752</v>
      </c>
      <c r="H5953" s="1570"/>
      <c r="I5953" s="1527">
        <f>SUMPRODUCT($E5947:$E5952,I5947:I5952)</f>
        <v>0</v>
      </c>
      <c r="J5953" s="1571"/>
      <c r="K5953" s="291"/>
      <c r="L5953" s="291"/>
      <c r="M5953" s="291"/>
      <c r="S5953" s="364"/>
      <c r="Z5953" s="609">
        <v>7105</v>
      </c>
      <c r="AA5953" s="609"/>
    </row>
    <row r="5954" spans="1:27" ht="18">
      <c r="A5954" s="2714"/>
      <c r="B5954" s="371"/>
      <c r="C5954" s="371" t="s">
        <v>2755</v>
      </c>
      <c r="D5954" s="371"/>
      <c r="F5954" s="294"/>
      <c r="G5954" s="301"/>
      <c r="H5954" s="393"/>
      <c r="I5954" s="315"/>
      <c r="J5954" s="393"/>
      <c r="K5954" s="291"/>
      <c r="L5954" s="291"/>
      <c r="M5954" s="291"/>
      <c r="S5954" s="364"/>
      <c r="Z5954" s="609">
        <v>7105</v>
      </c>
      <c r="AA5954" s="609"/>
    </row>
    <row r="5955" spans="1:27" ht="18">
      <c r="A5955" s="2714">
        <v>7111</v>
      </c>
      <c r="B5955" s="371">
        <v>78.77</v>
      </c>
      <c r="C5955" s="2716" t="str">
        <f>VLOOKUP($A5955,Sheet_Items,2,0)</f>
        <v>处置固定资产无形资产长期资产收回的现金</v>
      </c>
      <c r="D5955" s="371"/>
      <c r="E5955" s="2716" t="s">
        <v>2739</v>
      </c>
      <c r="F5955" s="294"/>
      <c r="G5955" s="536" t="str">
        <f>B5955&amp;" "&amp;C5955</f>
        <v>78.77 处置固定资产无形资产长期资产收回的现金</v>
      </c>
      <c r="H5955" s="322"/>
      <c r="I5955" s="322"/>
      <c r="J5955" s="306" t="s">
        <v>4206</v>
      </c>
      <c r="K5955" s="341">
        <f>VLOOKUP($A5955,Sheet_Trialbal,6,0)</f>
        <v>0</v>
      </c>
      <c r="L5955" s="342"/>
      <c r="M5955" s="306"/>
      <c r="N5955" s="341"/>
      <c r="O5955" s="306"/>
      <c r="P5955" s="301"/>
      <c r="S5955" s="364"/>
      <c r="Z5955" s="609">
        <v>7111</v>
      </c>
      <c r="AA5955" s="609"/>
    </row>
    <row r="5956" spans="1:27" ht="24">
      <c r="A5956" s="2714" t="s">
        <v>1967</v>
      </c>
      <c r="B5956" s="371">
        <v>1</v>
      </c>
      <c r="C5956" s="371"/>
      <c r="D5956" s="2716" t="str">
        <f>VLOOKUP($A5956,Sheet_NoteList,2,0)</f>
        <v>处置固定资产无形资产长期资产收回的现金计算表</v>
      </c>
      <c r="E5956" s="2716" t="s">
        <v>2742</v>
      </c>
      <c r="F5956" s="294"/>
      <c r="G5956" s="483" t="str">
        <f>"("&amp;B5956&amp;")"&amp;D5956</f>
        <v>(1)处置固定资产无形资产长期资产收回的现金计算表</v>
      </c>
      <c r="H5956" s="1517" t="str">
        <f>$A5956</f>
        <v>7111x</v>
      </c>
      <c r="I5956" s="343" t="s">
        <v>2743</v>
      </c>
      <c r="J5956" s="301" t="s">
        <v>4712</v>
      </c>
      <c r="K5956" s="2210">
        <f>I5972</f>
        <v>0</v>
      </c>
      <c r="L5956" s="345" t="str">
        <f>IF(ROUND(K5955-K5956,2)=0,"F/S",ROUND(K5955-K5956,2))</f>
        <v>F/S</v>
      </c>
      <c r="M5956" s="532" t="s">
        <v>4713</v>
      </c>
      <c r="N5956" s="3071"/>
      <c r="O5956" s="315"/>
      <c r="P5956" s="301"/>
      <c r="S5956" s="364"/>
      <c r="Z5956" s="609">
        <v>7111</v>
      </c>
      <c r="AA5956" s="609"/>
    </row>
    <row r="5957" spans="1:27" ht="0.75" customHeight="1" thickBot="1">
      <c r="A5957" s="2714"/>
      <c r="B5957" s="371"/>
      <c r="C5957" s="371"/>
      <c r="D5957" s="371"/>
      <c r="F5957" s="371"/>
      <c r="G5957" s="371" t="s">
        <v>4734</v>
      </c>
      <c r="H5957" s="371" t="s">
        <v>4715</v>
      </c>
      <c r="I5957" s="371" t="s">
        <v>4716</v>
      </c>
      <c r="J5957" s="371" t="s">
        <v>3671</v>
      </c>
      <c r="K5957" s="291"/>
      <c r="L5957" s="291"/>
      <c r="M5957" s="291"/>
      <c r="S5957" s="364"/>
      <c r="Z5957" s="609">
        <v>7111</v>
      </c>
      <c r="AA5957" s="609"/>
    </row>
    <row r="5958" spans="1:27" ht="18">
      <c r="A5958" s="2714"/>
      <c r="B5958" s="371"/>
      <c r="C5958" s="371"/>
      <c r="D5958" s="371"/>
      <c r="E5958" s="2716" t="s">
        <v>2749</v>
      </c>
      <c r="F5958" s="294"/>
      <c r="G5958" s="1564" t="s">
        <v>47</v>
      </c>
      <c r="H5958" s="1565" t="s">
        <v>4717</v>
      </c>
      <c r="I5958" s="1565" t="s">
        <v>2887</v>
      </c>
      <c r="J5958" s="1566" t="s">
        <v>2758</v>
      </c>
      <c r="K5958" s="291"/>
      <c r="L5958" s="291"/>
      <c r="M5958" s="291"/>
      <c r="S5958" s="364"/>
      <c r="Z5958" s="609">
        <v>7111</v>
      </c>
      <c r="AA5958" s="609"/>
    </row>
    <row r="5959" spans="1:27" ht="18">
      <c r="A5959" s="2714"/>
      <c r="B5959" s="371">
        <v>101</v>
      </c>
      <c r="C5959" s="371" t="s">
        <v>2791</v>
      </c>
      <c r="D5959" s="2716">
        <f t="shared" ref="D5959:D5972" si="634">IF(OR(G5959="*",G5959="",G5959=0),0,COUNTIF($G$5959:$G$5972,G5959))</f>
        <v>1</v>
      </c>
      <c r="E5959" s="2721">
        <v>1</v>
      </c>
      <c r="F5959" s="294"/>
      <c r="G5959" s="1563" t="s">
        <v>4735</v>
      </c>
      <c r="H5959" s="360" t="s">
        <v>4726</v>
      </c>
      <c r="I5959" s="309"/>
      <c r="J5959" s="388"/>
      <c r="K5959" s="291"/>
      <c r="L5959" s="291"/>
      <c r="M5959" s="291"/>
      <c r="S5959" s="364"/>
      <c r="Z5959" s="609">
        <v>7111</v>
      </c>
      <c r="AA5959" s="609"/>
    </row>
    <row r="5960" spans="1:27" ht="18">
      <c r="A5960" s="2714"/>
      <c r="B5960" s="371">
        <v>102</v>
      </c>
      <c r="C5960" s="371" t="s">
        <v>2791</v>
      </c>
      <c r="D5960" s="2716">
        <f t="shared" si="634"/>
        <v>1</v>
      </c>
      <c r="E5960" s="2721">
        <v>1</v>
      </c>
      <c r="F5960" s="294"/>
      <c r="G5960" s="1563" t="s">
        <v>4736</v>
      </c>
      <c r="H5960" s="360" t="s">
        <v>4726</v>
      </c>
      <c r="I5960" s="309"/>
      <c r="J5960" s="388"/>
      <c r="K5960" s="291"/>
      <c r="L5960" s="291"/>
      <c r="M5960" s="291"/>
      <c r="S5960" s="364"/>
      <c r="Z5960" s="609">
        <v>7111</v>
      </c>
      <c r="AA5960" s="609"/>
    </row>
    <row r="5961" spans="1:27" ht="18">
      <c r="A5961" s="2714"/>
      <c r="B5961" s="371">
        <v>103</v>
      </c>
      <c r="C5961" s="371" t="s">
        <v>2791</v>
      </c>
      <c r="D5961" s="2716">
        <f t="shared" si="634"/>
        <v>1</v>
      </c>
      <c r="E5961" s="2721">
        <v>1</v>
      </c>
      <c r="F5961" s="294"/>
      <c r="G5961" s="1563" t="s">
        <v>4737</v>
      </c>
      <c r="H5961" s="360" t="s">
        <v>4726</v>
      </c>
      <c r="I5961" s="309"/>
      <c r="J5961" s="388"/>
      <c r="K5961" s="291"/>
      <c r="L5961" s="291"/>
      <c r="M5961" s="291"/>
      <c r="S5961" s="364"/>
      <c r="Z5961" s="609">
        <v>7111</v>
      </c>
      <c r="AA5961" s="609"/>
    </row>
    <row r="5962" spans="1:27" ht="18">
      <c r="A5962" s="2714"/>
      <c r="B5962" s="371">
        <v>104</v>
      </c>
      <c r="C5962" s="371" t="s">
        <v>2791</v>
      </c>
      <c r="D5962" s="2716">
        <f t="shared" si="634"/>
        <v>1</v>
      </c>
      <c r="E5962" s="2721">
        <v>1</v>
      </c>
      <c r="F5962" s="294"/>
      <c r="G5962" s="1563" t="s">
        <v>4738</v>
      </c>
      <c r="H5962" s="360" t="s">
        <v>4726</v>
      </c>
      <c r="I5962" s="309"/>
      <c r="J5962" s="388"/>
      <c r="K5962" s="291"/>
      <c r="L5962" s="291"/>
      <c r="M5962" s="291"/>
      <c r="S5962" s="364"/>
      <c r="Z5962" s="609">
        <v>7111</v>
      </c>
      <c r="AA5962" s="609"/>
    </row>
    <row r="5963" spans="1:27" ht="18">
      <c r="A5963" s="2714"/>
      <c r="B5963" s="371">
        <v>105</v>
      </c>
      <c r="C5963" s="371" t="s">
        <v>2791</v>
      </c>
      <c r="D5963" s="2716">
        <f t="shared" si="634"/>
        <v>1</v>
      </c>
      <c r="E5963" s="2721">
        <v>1</v>
      </c>
      <c r="F5963" s="294"/>
      <c r="G5963" s="1563" t="s">
        <v>4739</v>
      </c>
      <c r="H5963" s="360" t="s">
        <v>4726</v>
      </c>
      <c r="I5963" s="309"/>
      <c r="J5963" s="388"/>
      <c r="K5963" s="291"/>
      <c r="L5963" s="291"/>
      <c r="M5963" s="291"/>
      <c r="S5963" s="364"/>
      <c r="Z5963" s="609">
        <v>7111</v>
      </c>
      <c r="AA5963" s="609"/>
    </row>
    <row r="5964" spans="1:27" ht="24">
      <c r="A5964" s="2714"/>
      <c r="B5964" s="371">
        <v>106</v>
      </c>
      <c r="C5964" s="371" t="s">
        <v>2791</v>
      </c>
      <c r="D5964" s="2716">
        <f t="shared" si="634"/>
        <v>1</v>
      </c>
      <c r="E5964" s="2721">
        <v>-1</v>
      </c>
      <c r="F5964" s="294"/>
      <c r="G5964" s="1563" t="s">
        <v>4740</v>
      </c>
      <c r="H5964" s="360" t="s">
        <v>4741</v>
      </c>
      <c r="I5964" s="309"/>
      <c r="J5964" s="388"/>
      <c r="K5964" s="291"/>
      <c r="L5964" s="291"/>
      <c r="M5964" s="291"/>
      <c r="S5964" s="364"/>
      <c r="Z5964" s="609">
        <v>7111</v>
      </c>
      <c r="AA5964" s="609"/>
    </row>
    <row r="5965" spans="1:27" ht="18">
      <c r="A5965" s="2714"/>
      <c r="B5965" s="371">
        <v>107</v>
      </c>
      <c r="C5965" s="371" t="s">
        <v>2791</v>
      </c>
      <c r="D5965" s="2716">
        <f t="shared" si="634"/>
        <v>1</v>
      </c>
      <c r="E5965" s="2721">
        <v>-1</v>
      </c>
      <c r="F5965" s="294"/>
      <c r="G5965" s="1563" t="s">
        <v>4742</v>
      </c>
      <c r="H5965" s="360" t="s">
        <v>4741</v>
      </c>
      <c r="I5965" s="309"/>
      <c r="J5965" s="388"/>
      <c r="K5965" s="291"/>
      <c r="L5965" s="291"/>
      <c r="M5965" s="291"/>
      <c r="S5965" s="364"/>
      <c r="Z5965" s="609">
        <v>7111</v>
      </c>
      <c r="AA5965" s="609"/>
    </row>
    <row r="5966" spans="1:27" ht="18">
      <c r="A5966" s="2714"/>
      <c r="B5966" s="371">
        <v>108</v>
      </c>
      <c r="C5966" s="371" t="s">
        <v>2791</v>
      </c>
      <c r="D5966" s="2716">
        <f t="shared" si="634"/>
        <v>1</v>
      </c>
      <c r="E5966" s="2721">
        <v>-1</v>
      </c>
      <c r="F5966" s="294"/>
      <c r="G5966" s="1563" t="s">
        <v>4743</v>
      </c>
      <c r="H5966" s="360" t="s">
        <v>4741</v>
      </c>
      <c r="I5966" s="309"/>
      <c r="J5966" s="388"/>
      <c r="K5966" s="291"/>
      <c r="L5966" s="291"/>
      <c r="M5966" s="291"/>
      <c r="S5966" s="364"/>
      <c r="Z5966" s="609">
        <v>7111</v>
      </c>
      <c r="AA5966" s="609"/>
    </row>
    <row r="5967" spans="1:27" ht="18">
      <c r="A5967" s="2714"/>
      <c r="B5967" s="371">
        <v>109</v>
      </c>
      <c r="C5967" s="371" t="s">
        <v>2791</v>
      </c>
      <c r="D5967" s="2716">
        <f t="shared" si="634"/>
        <v>1</v>
      </c>
      <c r="E5967" s="2721">
        <v>1</v>
      </c>
      <c r="F5967" s="294"/>
      <c r="G5967" s="1563" t="s">
        <v>4744</v>
      </c>
      <c r="H5967" s="360" t="s">
        <v>4726</v>
      </c>
      <c r="I5967" s="309"/>
      <c r="J5967" s="388"/>
      <c r="K5967" s="291"/>
      <c r="L5967" s="291"/>
      <c r="M5967" s="291"/>
      <c r="S5967" s="364"/>
      <c r="Z5967" s="609">
        <v>7111</v>
      </c>
      <c r="AA5967" s="609"/>
    </row>
    <row r="5968" spans="1:27" ht="18">
      <c r="A5968" s="2714"/>
      <c r="B5968" s="371">
        <v>110</v>
      </c>
      <c r="C5968" s="371" t="s">
        <v>2791</v>
      </c>
      <c r="D5968" s="2716">
        <f t="shared" si="634"/>
        <v>1</v>
      </c>
      <c r="E5968" s="2721">
        <v>-1</v>
      </c>
      <c r="F5968" s="294"/>
      <c r="G5968" s="1563" t="s">
        <v>4745</v>
      </c>
      <c r="H5968" s="360" t="s">
        <v>4741</v>
      </c>
      <c r="I5968" s="309"/>
      <c r="J5968" s="388"/>
      <c r="K5968" s="291"/>
      <c r="L5968" s="291"/>
      <c r="M5968" s="291"/>
      <c r="S5968" s="364"/>
      <c r="Z5968" s="609">
        <v>7111</v>
      </c>
      <c r="AA5968" s="609"/>
    </row>
    <row r="5969" spans="1:27" ht="24">
      <c r="A5969" s="2714"/>
      <c r="B5969" s="371">
        <v>111</v>
      </c>
      <c r="C5969" s="371" t="s">
        <v>2791</v>
      </c>
      <c r="D5969" s="2716">
        <f t="shared" si="634"/>
        <v>1</v>
      </c>
      <c r="E5969" s="2721">
        <v>1</v>
      </c>
      <c r="F5969" s="294"/>
      <c r="G5969" s="1563" t="s">
        <v>4746</v>
      </c>
      <c r="H5969" s="360" t="s">
        <v>4726</v>
      </c>
      <c r="I5969" s="309"/>
      <c r="J5969" s="388"/>
      <c r="K5969" s="291"/>
      <c r="L5969" s="291"/>
      <c r="M5969" s="291"/>
      <c r="S5969" s="364"/>
      <c r="Z5969" s="609">
        <v>7111</v>
      </c>
      <c r="AA5969" s="609"/>
    </row>
    <row r="5970" spans="1:27" ht="18">
      <c r="A5970" s="2714"/>
      <c r="B5970" s="371">
        <v>112</v>
      </c>
      <c r="C5970" s="371" t="s">
        <v>2791</v>
      </c>
      <c r="D5970" s="2716">
        <f t="shared" si="634"/>
        <v>1</v>
      </c>
      <c r="E5970" s="2721">
        <v>1</v>
      </c>
      <c r="F5970" s="294"/>
      <c r="G5970" s="1563" t="s">
        <v>932</v>
      </c>
      <c r="H5970" s="360" t="s">
        <v>4726</v>
      </c>
      <c r="I5970" s="309"/>
      <c r="J5970" s="388"/>
      <c r="K5970" s="291"/>
      <c r="L5970" s="291"/>
      <c r="M5970" s="291"/>
      <c r="S5970" s="364"/>
      <c r="Z5970" s="609">
        <v>7111</v>
      </c>
      <c r="AA5970" s="609"/>
    </row>
    <row r="5971" spans="1:27" ht="18">
      <c r="A5971" s="2714"/>
      <c r="B5971" s="371">
        <v>113</v>
      </c>
      <c r="C5971" s="371" t="s">
        <v>2791</v>
      </c>
      <c r="D5971" s="2716">
        <f t="shared" si="634"/>
        <v>0</v>
      </c>
      <c r="E5971" s="2721">
        <v>1</v>
      </c>
      <c r="F5971" s="294"/>
      <c r="G5971" s="1563" t="s">
        <v>2792</v>
      </c>
      <c r="H5971" s="360"/>
      <c r="I5971" s="309"/>
      <c r="J5971" s="388"/>
      <c r="K5971" s="291"/>
      <c r="L5971" s="291"/>
      <c r="M5971" s="291"/>
      <c r="S5971" s="364"/>
      <c r="Z5971" s="609">
        <v>7111</v>
      </c>
      <c r="AA5971" s="609"/>
    </row>
    <row r="5972" spans="1:27" ht="18.75" thickBot="1">
      <c r="A5972" s="2714"/>
      <c r="B5972" s="371"/>
      <c r="C5972" s="371"/>
      <c r="D5972" s="2716">
        <f t="shared" si="634"/>
        <v>1</v>
      </c>
      <c r="E5972" s="2721" t="s">
        <v>2751</v>
      </c>
      <c r="F5972" s="294"/>
      <c r="G5972" s="1529" t="s">
        <v>2752</v>
      </c>
      <c r="H5972" s="1570"/>
      <c r="I5972" s="1527">
        <f>SUMPRODUCT($E5958:$E5971,I5958:I5971)</f>
        <v>0</v>
      </c>
      <c r="J5972" s="1571"/>
      <c r="K5972" s="291"/>
      <c r="L5972" s="291"/>
      <c r="M5972" s="291"/>
      <c r="S5972" s="364"/>
      <c r="Z5972" s="609">
        <v>7111</v>
      </c>
      <c r="AA5972" s="609"/>
    </row>
    <row r="5973" spans="1:27" ht="18">
      <c r="A5973" s="2714"/>
      <c r="B5973" s="371"/>
      <c r="C5973" s="371" t="s">
        <v>2755</v>
      </c>
      <c r="D5973" s="371"/>
      <c r="F5973" s="294"/>
      <c r="G5973" s="301"/>
      <c r="H5973" s="393"/>
      <c r="I5973" s="315"/>
      <c r="J5973" s="393"/>
      <c r="K5973" s="291"/>
      <c r="L5973" s="291"/>
      <c r="M5973" s="291"/>
      <c r="S5973" s="364"/>
      <c r="Z5973" s="609">
        <v>7111</v>
      </c>
      <c r="AA5973" s="609"/>
    </row>
    <row r="5974" spans="1:27" ht="18">
      <c r="A5974" s="2714">
        <v>7151</v>
      </c>
      <c r="B5974" s="371">
        <v>78.78</v>
      </c>
      <c r="C5974" s="2716" t="str">
        <f>VLOOKUP($A5974,Sheet_Items,2,0)</f>
        <v>购置固定资产无形资产长期资产支付的现金</v>
      </c>
      <c r="D5974" s="371"/>
      <c r="E5974" s="2716" t="s">
        <v>2739</v>
      </c>
      <c r="F5974" s="294"/>
      <c r="G5974" s="536" t="str">
        <f>B5974&amp;" "&amp;C5974</f>
        <v>78.78 购置固定资产无形资产长期资产支付的现金</v>
      </c>
      <c r="H5974" s="322"/>
      <c r="I5974" s="322"/>
      <c r="J5974" s="306" t="s">
        <v>4206</v>
      </c>
      <c r="K5974" s="341">
        <f>VLOOKUP($A5974,Sheet_Trialbal,6,0)</f>
        <v>13963177.92</v>
      </c>
      <c r="L5974" s="342"/>
      <c r="M5974" s="306"/>
      <c r="N5974" s="341"/>
      <c r="O5974" s="306"/>
      <c r="P5974" s="301"/>
      <c r="S5974" s="364"/>
      <c r="Z5974" s="609">
        <v>7151</v>
      </c>
      <c r="AA5974" s="609"/>
    </row>
    <row r="5975" spans="1:27" ht="24">
      <c r="A5975" s="2714" t="s">
        <v>1973</v>
      </c>
      <c r="B5975" s="371">
        <v>1</v>
      </c>
      <c r="C5975" s="371"/>
      <c r="D5975" s="2716" t="str">
        <f>VLOOKUP($A5975,Sheet_NoteList,2,0)</f>
        <v>购置固定资产无形资产长期资产支付的现金计算表</v>
      </c>
      <c r="E5975" s="2716" t="s">
        <v>2742</v>
      </c>
      <c r="F5975" s="294"/>
      <c r="G5975" s="483" t="str">
        <f>"("&amp;B5975&amp;")"&amp;D5975</f>
        <v>(1)购置固定资产无形资产长期资产支付的现金计算表</v>
      </c>
      <c r="H5975" s="1517" t="str">
        <f>$A5975</f>
        <v>7151x</v>
      </c>
      <c r="I5975" s="343" t="s">
        <v>2743</v>
      </c>
      <c r="J5975" s="301" t="s">
        <v>4712</v>
      </c>
      <c r="K5975" s="2210">
        <f>I5993</f>
        <v>0</v>
      </c>
      <c r="L5975" s="345">
        <f>IF(ROUND(K5974-K5975,2)=0,"F/S",ROUND(K5974-K5975,2))</f>
        <v>13963177.92</v>
      </c>
      <c r="M5975" s="532" t="s">
        <v>4713</v>
      </c>
      <c r="N5975" s="3071"/>
      <c r="O5975" s="315"/>
      <c r="P5975" s="301"/>
      <c r="S5975" s="364"/>
      <c r="Z5975" s="609">
        <v>7151</v>
      </c>
      <c r="AA5975" s="609"/>
    </row>
    <row r="5976" spans="1:27" ht="0.75" customHeight="1" thickBot="1">
      <c r="A5976" s="2714"/>
      <c r="B5976" s="371"/>
      <c r="C5976" s="371"/>
      <c r="D5976" s="371"/>
      <c r="F5976" s="371"/>
      <c r="G5976" s="340" t="s">
        <v>4747</v>
      </c>
      <c r="H5976" s="340" t="s">
        <v>4715</v>
      </c>
      <c r="I5976" s="340" t="s">
        <v>4716</v>
      </c>
      <c r="J5976" s="340" t="s">
        <v>3671</v>
      </c>
      <c r="K5976" s="291"/>
      <c r="L5976" s="291"/>
      <c r="M5976" s="291"/>
      <c r="S5976" s="364"/>
      <c r="Z5976" s="609">
        <v>7151</v>
      </c>
      <c r="AA5976" s="609"/>
    </row>
    <row r="5977" spans="1:27" ht="18">
      <c r="A5977" s="2714"/>
      <c r="B5977" s="371"/>
      <c r="C5977" s="371"/>
      <c r="D5977" s="371"/>
      <c r="E5977" s="2716" t="s">
        <v>2749</v>
      </c>
      <c r="F5977" s="294"/>
      <c r="G5977" s="1564" t="s">
        <v>47</v>
      </c>
      <c r="H5977" s="1565" t="s">
        <v>4717</v>
      </c>
      <c r="I5977" s="1565" t="s">
        <v>2887</v>
      </c>
      <c r="J5977" s="1566" t="s">
        <v>2758</v>
      </c>
      <c r="K5977" s="291"/>
      <c r="L5977" s="291"/>
      <c r="M5977" s="291"/>
      <c r="S5977" s="364"/>
      <c r="Z5977" s="609">
        <v>7151</v>
      </c>
      <c r="AA5977" s="609"/>
    </row>
    <row r="5978" spans="1:27" ht="18">
      <c r="A5978" s="2714"/>
      <c r="B5978" s="371">
        <v>101</v>
      </c>
      <c r="C5978" s="371" t="s">
        <v>2791</v>
      </c>
      <c r="D5978" s="2716">
        <f t="shared" ref="D5978:D5993" si="635">IF(OR(G5978="*",G5978="",G5978=0),0,COUNTIF($G$5978:$G$5993,G5978))</f>
        <v>1</v>
      </c>
      <c r="E5978" s="2721">
        <v>1</v>
      </c>
      <c r="F5978" s="294"/>
      <c r="G5978" s="1563" t="s">
        <v>4748</v>
      </c>
      <c r="H5978" s="360" t="s">
        <v>4726</v>
      </c>
      <c r="I5978" s="309"/>
      <c r="J5978" s="388"/>
      <c r="K5978" s="291"/>
      <c r="L5978" s="291"/>
      <c r="M5978" s="291"/>
      <c r="S5978" s="364"/>
      <c r="Z5978" s="609">
        <v>7151</v>
      </c>
      <c r="AA5978" s="609"/>
    </row>
    <row r="5979" spans="1:27" ht="18">
      <c r="A5979" s="2714"/>
      <c r="B5979" s="371">
        <v>102</v>
      </c>
      <c r="C5979" s="371" t="s">
        <v>2791</v>
      </c>
      <c r="D5979" s="2716">
        <f t="shared" si="635"/>
        <v>1</v>
      </c>
      <c r="E5979" s="2721">
        <v>1</v>
      </c>
      <c r="F5979" s="294"/>
      <c r="G5979" s="1563" t="s">
        <v>4749</v>
      </c>
      <c r="H5979" s="360" t="s">
        <v>4726</v>
      </c>
      <c r="I5979" s="309"/>
      <c r="J5979" s="388"/>
      <c r="K5979" s="291"/>
      <c r="L5979" s="291"/>
      <c r="M5979" s="291"/>
      <c r="S5979" s="364"/>
      <c r="Z5979" s="609">
        <v>7151</v>
      </c>
      <c r="AA5979" s="609"/>
    </row>
    <row r="5980" spans="1:27" ht="18">
      <c r="A5980" s="2714"/>
      <c r="B5980" s="371">
        <v>103</v>
      </c>
      <c r="C5980" s="371" t="s">
        <v>2791</v>
      </c>
      <c r="D5980" s="2716">
        <f t="shared" si="635"/>
        <v>1</v>
      </c>
      <c r="E5980" s="2721">
        <v>1</v>
      </c>
      <c r="F5980" s="294"/>
      <c r="G5980" s="1563" t="s">
        <v>4750</v>
      </c>
      <c r="H5980" s="360" t="s">
        <v>4726</v>
      </c>
      <c r="I5980" s="309"/>
      <c r="J5980" s="388"/>
      <c r="K5980" s="291"/>
      <c r="L5980" s="291"/>
      <c r="M5980" s="291"/>
      <c r="S5980" s="364"/>
      <c r="Z5980" s="609">
        <v>7151</v>
      </c>
      <c r="AA5980" s="609"/>
    </row>
    <row r="5981" spans="1:27" ht="36">
      <c r="A5981" s="2714"/>
      <c r="B5981" s="371">
        <v>104</v>
      </c>
      <c r="C5981" s="371" t="s">
        <v>2791</v>
      </c>
      <c r="D5981" s="2716">
        <f t="shared" si="635"/>
        <v>1</v>
      </c>
      <c r="E5981" s="2721">
        <v>1</v>
      </c>
      <c r="F5981" s="294"/>
      <c r="G5981" s="1591" t="s">
        <v>5523</v>
      </c>
      <c r="H5981" s="360" t="s">
        <v>4726</v>
      </c>
      <c r="I5981" s="309"/>
      <c r="J5981" s="388"/>
      <c r="K5981" s="291"/>
      <c r="L5981" s="291"/>
      <c r="M5981" s="291"/>
      <c r="S5981" s="364"/>
      <c r="Z5981" s="609">
        <v>7151</v>
      </c>
      <c r="AA5981" s="609"/>
    </row>
    <row r="5982" spans="1:27" ht="18">
      <c r="A5982" s="2714"/>
      <c r="B5982" s="371">
        <v>105</v>
      </c>
      <c r="C5982" s="371" t="s">
        <v>2791</v>
      </c>
      <c r="D5982" s="2716">
        <f t="shared" si="635"/>
        <v>1</v>
      </c>
      <c r="E5982" s="2721">
        <v>1</v>
      </c>
      <c r="F5982" s="294"/>
      <c r="G5982" s="1563" t="s">
        <v>4751</v>
      </c>
      <c r="H5982" s="360" t="s">
        <v>4726</v>
      </c>
      <c r="I5982" s="309"/>
      <c r="J5982" s="388"/>
      <c r="K5982" s="291"/>
      <c r="L5982" s="291"/>
      <c r="M5982" s="291"/>
      <c r="S5982" s="364"/>
      <c r="Z5982" s="609">
        <v>7151</v>
      </c>
      <c r="AA5982" s="609"/>
    </row>
    <row r="5983" spans="1:27" ht="18">
      <c r="A5983" s="2714"/>
      <c r="B5983" s="371">
        <v>106</v>
      </c>
      <c r="C5983" s="371" t="s">
        <v>2791</v>
      </c>
      <c r="D5983" s="2716">
        <f t="shared" si="635"/>
        <v>1</v>
      </c>
      <c r="E5983" s="2721">
        <v>1</v>
      </c>
      <c r="F5983" s="294"/>
      <c r="G5983" s="1563" t="s">
        <v>4752</v>
      </c>
      <c r="H5983" s="360" t="s">
        <v>4726</v>
      </c>
      <c r="I5983" s="309"/>
      <c r="J5983" s="388"/>
      <c r="K5983" s="291"/>
      <c r="L5983" s="291"/>
      <c r="M5983" s="291"/>
      <c r="S5983" s="364"/>
      <c r="Z5983" s="609">
        <v>7151</v>
      </c>
      <c r="AA5983" s="609"/>
    </row>
    <row r="5984" spans="1:27" ht="18">
      <c r="A5984" s="2714"/>
      <c r="B5984" s="371">
        <v>107</v>
      </c>
      <c r="C5984" s="371" t="s">
        <v>2791</v>
      </c>
      <c r="D5984" s="2716">
        <f t="shared" si="635"/>
        <v>1</v>
      </c>
      <c r="E5984" s="2721">
        <v>1</v>
      </c>
      <c r="F5984" s="294"/>
      <c r="G5984" s="1563" t="s">
        <v>4753</v>
      </c>
      <c r="H5984" s="360" t="s">
        <v>4726</v>
      </c>
      <c r="I5984" s="309"/>
      <c r="J5984" s="388"/>
      <c r="K5984" s="291"/>
      <c r="L5984" s="291"/>
      <c r="M5984" s="291"/>
      <c r="S5984" s="364"/>
      <c r="Z5984" s="609">
        <v>7151</v>
      </c>
      <c r="AA5984" s="609"/>
    </row>
    <row r="5985" spans="1:27" ht="18">
      <c r="A5985" s="2714"/>
      <c r="B5985" s="371">
        <v>108</v>
      </c>
      <c r="C5985" s="371" t="s">
        <v>2791</v>
      </c>
      <c r="D5985" s="2716">
        <f t="shared" si="635"/>
        <v>1</v>
      </c>
      <c r="E5985" s="2721">
        <v>1</v>
      </c>
      <c r="F5985" s="294"/>
      <c r="G5985" s="1563" t="s">
        <v>4754</v>
      </c>
      <c r="H5985" s="360" t="s">
        <v>4726</v>
      </c>
      <c r="I5985" s="309"/>
      <c r="J5985" s="388"/>
      <c r="K5985" s="291"/>
      <c r="L5985" s="291"/>
      <c r="M5985" s="291"/>
      <c r="S5985" s="364"/>
      <c r="Z5985" s="609">
        <v>7151</v>
      </c>
      <c r="AA5985" s="609"/>
    </row>
    <row r="5986" spans="1:27" ht="24">
      <c r="A5986" s="2714"/>
      <c r="B5986" s="371">
        <v>109</v>
      </c>
      <c r="C5986" s="371" t="s">
        <v>2791</v>
      </c>
      <c r="D5986" s="2716">
        <f t="shared" si="635"/>
        <v>1</v>
      </c>
      <c r="E5986" s="2721">
        <v>-1</v>
      </c>
      <c r="F5986" s="294"/>
      <c r="G5986" s="1563" t="s">
        <v>4740</v>
      </c>
      <c r="H5986" s="360" t="s">
        <v>4741</v>
      </c>
      <c r="I5986" s="309"/>
      <c r="J5986" s="388"/>
      <c r="K5986" s="291"/>
      <c r="L5986" s="291"/>
      <c r="M5986" s="291"/>
      <c r="S5986" s="364"/>
      <c r="Z5986" s="609">
        <v>7151</v>
      </c>
      <c r="AA5986" s="609"/>
    </row>
    <row r="5987" spans="1:27" ht="24">
      <c r="A5987" s="2714"/>
      <c r="B5987" s="371">
        <v>110</v>
      </c>
      <c r="C5987" s="371" t="s">
        <v>2791</v>
      </c>
      <c r="D5987" s="2716">
        <f t="shared" si="635"/>
        <v>1</v>
      </c>
      <c r="E5987" s="2721">
        <v>-1</v>
      </c>
      <c r="F5987" s="294"/>
      <c r="G5987" s="1563" t="s">
        <v>4755</v>
      </c>
      <c r="H5987" s="360" t="s">
        <v>4741</v>
      </c>
      <c r="I5987" s="309"/>
      <c r="J5987" s="388"/>
      <c r="K5987" s="291"/>
      <c r="L5987" s="291"/>
      <c r="M5987" s="291"/>
      <c r="S5987" s="364"/>
      <c r="Z5987" s="609">
        <v>7151</v>
      </c>
      <c r="AA5987" s="609"/>
    </row>
    <row r="5988" spans="1:27" ht="24">
      <c r="A5988" s="2714"/>
      <c r="B5988" s="371">
        <v>111</v>
      </c>
      <c r="C5988" s="371" t="s">
        <v>2791</v>
      </c>
      <c r="D5988" s="2716">
        <f t="shared" si="635"/>
        <v>1</v>
      </c>
      <c r="E5988" s="2721">
        <v>-1</v>
      </c>
      <c r="F5988" s="294"/>
      <c r="G5988" s="1563" t="s">
        <v>4756</v>
      </c>
      <c r="H5988" s="360" t="s">
        <v>4741</v>
      </c>
      <c r="I5988" s="309"/>
      <c r="J5988" s="388"/>
      <c r="K5988" s="291"/>
      <c r="L5988" s="291"/>
      <c r="M5988" s="291"/>
      <c r="S5988" s="364"/>
      <c r="Z5988" s="609">
        <v>7151</v>
      </c>
      <c r="AA5988" s="609"/>
    </row>
    <row r="5989" spans="1:27" ht="24">
      <c r="A5989" s="2714"/>
      <c r="B5989" s="371">
        <v>112</v>
      </c>
      <c r="C5989" s="371" t="s">
        <v>2791</v>
      </c>
      <c r="D5989" s="2716">
        <f t="shared" si="635"/>
        <v>1</v>
      </c>
      <c r="E5989" s="2721">
        <v>-1</v>
      </c>
      <c r="F5989" s="294"/>
      <c r="G5989" s="1563" t="s">
        <v>4757</v>
      </c>
      <c r="H5989" s="360" t="s">
        <v>4741</v>
      </c>
      <c r="I5989" s="309"/>
      <c r="J5989" s="388"/>
      <c r="K5989" s="291"/>
      <c r="L5989" s="291"/>
      <c r="M5989" s="291"/>
      <c r="S5989" s="364"/>
      <c r="Z5989" s="609">
        <v>7151</v>
      </c>
      <c r="AA5989" s="609"/>
    </row>
    <row r="5990" spans="1:27" ht="24">
      <c r="A5990" s="2714"/>
      <c r="B5990" s="371">
        <v>113</v>
      </c>
      <c r="C5990" s="371" t="s">
        <v>2791</v>
      </c>
      <c r="D5990" s="2716">
        <f t="shared" si="635"/>
        <v>1</v>
      </c>
      <c r="E5990" s="2721">
        <v>-1</v>
      </c>
      <c r="F5990" s="294"/>
      <c r="G5990" s="1563" t="s">
        <v>4758</v>
      </c>
      <c r="H5990" s="360" t="s">
        <v>4741</v>
      </c>
      <c r="I5990" s="309"/>
      <c r="J5990" s="388"/>
      <c r="K5990" s="291"/>
      <c r="L5990" s="291"/>
      <c r="M5990" s="291"/>
      <c r="S5990" s="364"/>
      <c r="Z5990" s="609">
        <v>7151</v>
      </c>
      <c r="AA5990" s="609"/>
    </row>
    <row r="5991" spans="1:27" ht="18">
      <c r="A5991" s="2714"/>
      <c r="B5991" s="371">
        <v>114</v>
      </c>
      <c r="C5991" s="371" t="s">
        <v>2791</v>
      </c>
      <c r="D5991" s="2716">
        <f t="shared" si="635"/>
        <v>1</v>
      </c>
      <c r="E5991" s="2721">
        <v>1</v>
      </c>
      <c r="F5991" s="294"/>
      <c r="G5991" s="1563" t="s">
        <v>932</v>
      </c>
      <c r="H5991" s="360" t="s">
        <v>4726</v>
      </c>
      <c r="I5991" s="309"/>
      <c r="J5991" s="388"/>
      <c r="K5991" s="291"/>
      <c r="L5991" s="291"/>
      <c r="M5991" s="291"/>
      <c r="S5991" s="364"/>
      <c r="Z5991" s="609">
        <v>7151</v>
      </c>
      <c r="AA5991" s="609"/>
    </row>
    <row r="5992" spans="1:27" ht="18">
      <c r="A5992" s="2714"/>
      <c r="B5992" s="371">
        <v>115</v>
      </c>
      <c r="C5992" s="371" t="s">
        <v>2791</v>
      </c>
      <c r="D5992" s="2716">
        <f t="shared" si="635"/>
        <v>0</v>
      </c>
      <c r="E5992" s="2721">
        <v>1</v>
      </c>
      <c r="F5992" s="294"/>
      <c r="G5992" s="1563" t="s">
        <v>2792</v>
      </c>
      <c r="H5992" s="360"/>
      <c r="I5992" s="309"/>
      <c r="J5992" s="388"/>
      <c r="K5992" s="291"/>
      <c r="L5992" s="291"/>
      <c r="M5992" s="291"/>
      <c r="S5992" s="364"/>
      <c r="Z5992" s="609">
        <v>7151</v>
      </c>
      <c r="AA5992" s="609"/>
    </row>
    <row r="5993" spans="1:27" ht="18.75" thickBot="1">
      <c r="A5993" s="2714"/>
      <c r="B5993" s="371"/>
      <c r="C5993" s="371"/>
      <c r="D5993" s="2716">
        <f t="shared" si="635"/>
        <v>1</v>
      </c>
      <c r="E5993" s="2721" t="s">
        <v>2751</v>
      </c>
      <c r="F5993" s="294"/>
      <c r="G5993" s="1529" t="s">
        <v>2752</v>
      </c>
      <c r="H5993" s="1570"/>
      <c r="I5993" s="1527">
        <f>SUMPRODUCT($E5977:$E5992,I5977:I5992)</f>
        <v>0</v>
      </c>
      <c r="J5993" s="1571"/>
      <c r="K5993" s="291"/>
      <c r="L5993" s="291"/>
      <c r="M5993" s="291"/>
      <c r="S5993" s="364"/>
      <c r="Z5993" s="609">
        <v>7151</v>
      </c>
      <c r="AA5993" s="609"/>
    </row>
    <row r="5994" spans="1:27" ht="18">
      <c r="A5994" s="2714"/>
      <c r="B5994" s="371"/>
      <c r="C5994" s="371" t="s">
        <v>2755</v>
      </c>
      <c r="D5994" s="371"/>
      <c r="F5994" s="294"/>
      <c r="G5994" s="301"/>
      <c r="H5994" s="393"/>
      <c r="I5994" s="315"/>
      <c r="J5994" s="393"/>
      <c r="K5994" s="291"/>
      <c r="L5994" s="291"/>
      <c r="M5994" s="291"/>
      <c r="S5994" s="364"/>
      <c r="Z5994" s="609">
        <v>7151</v>
      </c>
      <c r="AA5994" s="609"/>
    </row>
    <row r="5995" spans="1:27" ht="18">
      <c r="A5995" s="2714">
        <v>7161</v>
      </c>
      <c r="B5995" s="371">
        <v>78.790000000000006</v>
      </c>
      <c r="C5995" s="2716" t="str">
        <f>VLOOKUP($A5995,Sheet_Items,2,0)</f>
        <v>投资支付的现金</v>
      </c>
      <c r="D5995" s="371"/>
      <c r="E5995" s="2716" t="s">
        <v>2739</v>
      </c>
      <c r="F5995" s="294"/>
      <c r="G5995" s="536" t="str">
        <f>B5995&amp;" "&amp;C5995</f>
        <v>78.79 投资支付的现金</v>
      </c>
      <c r="H5995" s="322"/>
      <c r="I5995" s="322"/>
      <c r="J5995" s="306" t="s">
        <v>4206</v>
      </c>
      <c r="K5995" s="341">
        <f>VLOOKUP($A5995,Sheet_Trialbal,6,0)</f>
        <v>22000000</v>
      </c>
      <c r="L5995" s="342"/>
      <c r="M5995" s="306"/>
      <c r="N5995" s="341"/>
      <c r="O5995" s="306"/>
      <c r="P5995" s="301"/>
      <c r="S5995" s="364"/>
      <c r="Z5995" s="609">
        <v>7161</v>
      </c>
      <c r="AA5995" s="609"/>
    </row>
    <row r="5996" spans="1:27" ht="18">
      <c r="A5996" s="2714" t="s">
        <v>1975</v>
      </c>
      <c r="B5996" s="371">
        <v>1</v>
      </c>
      <c r="C5996" s="371"/>
      <c r="D5996" s="2716" t="str">
        <f>VLOOKUP($A5996,Sheet_NoteList,2,0)</f>
        <v>投资支付的现金计算表</v>
      </c>
      <c r="E5996" s="2716" t="s">
        <v>2742</v>
      </c>
      <c r="F5996" s="294"/>
      <c r="G5996" s="483" t="str">
        <f>"("&amp;B5996&amp;")"&amp;D5996</f>
        <v>(1)投资支付的现金计算表</v>
      </c>
      <c r="H5996" s="1517" t="str">
        <f>$A5996</f>
        <v>7161x</v>
      </c>
      <c r="I5996" s="343" t="s">
        <v>2743</v>
      </c>
      <c r="J5996" s="301" t="s">
        <v>4712</v>
      </c>
      <c r="K5996" s="2210">
        <f>I6004</f>
        <v>0</v>
      </c>
      <c r="L5996" s="345">
        <f>IF(ROUND(K5995-K5996,2)=0,"F/S",ROUND(K5995-K5996,2))</f>
        <v>22000000</v>
      </c>
      <c r="M5996" s="532" t="s">
        <v>4713</v>
      </c>
      <c r="N5996" s="3071"/>
      <c r="O5996" s="315"/>
      <c r="P5996" s="301"/>
      <c r="S5996" s="364"/>
      <c r="Z5996" s="609">
        <v>7161</v>
      </c>
      <c r="AA5996" s="609"/>
    </row>
    <row r="5997" spans="1:27" ht="0.75" customHeight="1" thickBot="1">
      <c r="A5997" s="2714"/>
      <c r="B5997" s="371"/>
      <c r="C5997" s="371"/>
      <c r="D5997" s="371"/>
      <c r="F5997" s="371"/>
      <c r="G5997" s="371" t="s">
        <v>4759</v>
      </c>
      <c r="H5997" s="371" t="s">
        <v>4715</v>
      </c>
      <c r="I5997" s="371" t="s">
        <v>4716</v>
      </c>
      <c r="J5997" s="371" t="s">
        <v>3671</v>
      </c>
      <c r="K5997" s="291"/>
      <c r="L5997" s="291"/>
      <c r="M5997" s="291"/>
      <c r="S5997" s="364"/>
      <c r="Z5997" s="609">
        <v>7161</v>
      </c>
      <c r="AA5997" s="609"/>
    </row>
    <row r="5998" spans="1:27" ht="18">
      <c r="A5998" s="2714"/>
      <c r="B5998" s="371"/>
      <c r="C5998" s="371"/>
      <c r="D5998" s="371"/>
      <c r="E5998" s="2716" t="s">
        <v>2749</v>
      </c>
      <c r="F5998" s="294"/>
      <c r="G5998" s="1564" t="s">
        <v>47</v>
      </c>
      <c r="H5998" s="1565" t="s">
        <v>4717</v>
      </c>
      <c r="I5998" s="1565" t="s">
        <v>2887</v>
      </c>
      <c r="J5998" s="1566" t="s">
        <v>2758</v>
      </c>
      <c r="K5998" s="291"/>
      <c r="L5998" s="291"/>
      <c r="M5998" s="291"/>
      <c r="S5998" s="364"/>
      <c r="Z5998" s="609">
        <v>7161</v>
      </c>
      <c r="AA5998" s="609"/>
    </row>
    <row r="5999" spans="1:27" ht="18">
      <c r="A5999" s="2714"/>
      <c r="B5999" s="371">
        <v>101</v>
      </c>
      <c r="C5999" s="371" t="s">
        <v>2791</v>
      </c>
      <c r="D5999" s="2716">
        <f t="shared" ref="D5999:D6004" si="636">IF(OR(G5999="*",G5999="",G5999=0),0,COUNTIF($G$5999:$G$6004,G5999))</f>
        <v>1</v>
      </c>
      <c r="E5999" s="2721">
        <v>1</v>
      </c>
      <c r="F5999" s="294"/>
      <c r="G5999" s="1563" t="s">
        <v>4760</v>
      </c>
      <c r="H5999" s="360" t="s">
        <v>4726</v>
      </c>
      <c r="I5999" s="309"/>
      <c r="J5999" s="388"/>
      <c r="K5999" s="291"/>
      <c r="L5999" s="291"/>
      <c r="M5999" s="291"/>
      <c r="S5999" s="364"/>
      <c r="Z5999" s="609">
        <v>7161</v>
      </c>
      <c r="AA5999" s="609"/>
    </row>
    <row r="6000" spans="1:27" ht="18">
      <c r="A6000" s="2714"/>
      <c r="B6000" s="371">
        <v>102</v>
      </c>
      <c r="C6000" s="371" t="s">
        <v>2791</v>
      </c>
      <c r="D6000" s="2716">
        <f t="shared" si="636"/>
        <v>1</v>
      </c>
      <c r="E6000" s="2721">
        <v>1</v>
      </c>
      <c r="F6000" s="294"/>
      <c r="G6000" s="1563" t="s">
        <v>4761</v>
      </c>
      <c r="H6000" s="360" t="s">
        <v>4726</v>
      </c>
      <c r="I6000" s="309"/>
      <c r="J6000" s="388"/>
      <c r="K6000" s="291"/>
      <c r="L6000" s="291"/>
      <c r="M6000" s="291"/>
      <c r="S6000" s="364"/>
      <c r="Z6000" s="609">
        <v>7161</v>
      </c>
      <c r="AA6000" s="609"/>
    </row>
    <row r="6001" spans="1:27" ht="18">
      <c r="A6001" s="2714"/>
      <c r="B6001" s="371">
        <v>103</v>
      </c>
      <c r="C6001" s="371" t="s">
        <v>2791</v>
      </c>
      <c r="D6001" s="2716">
        <f t="shared" si="636"/>
        <v>1</v>
      </c>
      <c r="E6001" s="2721">
        <v>1</v>
      </c>
      <c r="F6001" s="294"/>
      <c r="G6001" s="1563" t="s">
        <v>4762</v>
      </c>
      <c r="H6001" s="360" t="s">
        <v>4726</v>
      </c>
      <c r="I6001" s="309"/>
      <c r="J6001" s="388"/>
      <c r="K6001" s="291"/>
      <c r="L6001" s="291"/>
      <c r="M6001" s="291"/>
      <c r="S6001" s="364"/>
      <c r="Z6001" s="609">
        <v>7161</v>
      </c>
      <c r="AA6001" s="609"/>
    </row>
    <row r="6002" spans="1:27" ht="18">
      <c r="A6002" s="2714"/>
      <c r="B6002" s="371">
        <v>104</v>
      </c>
      <c r="C6002" s="371" t="s">
        <v>2791</v>
      </c>
      <c r="D6002" s="2716">
        <f t="shared" si="636"/>
        <v>1</v>
      </c>
      <c r="E6002" s="2721">
        <v>1</v>
      </c>
      <c r="F6002" s="294"/>
      <c r="G6002" s="1563" t="s">
        <v>4729</v>
      </c>
      <c r="H6002" s="360" t="s">
        <v>4726</v>
      </c>
      <c r="I6002" s="309"/>
      <c r="J6002" s="388"/>
      <c r="K6002" s="291"/>
      <c r="L6002" s="291"/>
      <c r="M6002" s="291"/>
      <c r="S6002" s="364"/>
      <c r="Z6002" s="609">
        <v>7161</v>
      </c>
      <c r="AA6002" s="609"/>
    </row>
    <row r="6003" spans="1:27" ht="18">
      <c r="A6003" s="2714"/>
      <c r="B6003" s="371">
        <v>105</v>
      </c>
      <c r="C6003" s="371" t="s">
        <v>2791</v>
      </c>
      <c r="D6003" s="2716">
        <f t="shared" si="636"/>
        <v>0</v>
      </c>
      <c r="E6003" s="2721">
        <v>1</v>
      </c>
      <c r="F6003" s="294"/>
      <c r="G6003" s="1563" t="s">
        <v>2792</v>
      </c>
      <c r="H6003" s="360"/>
      <c r="I6003" s="309"/>
      <c r="J6003" s="388"/>
      <c r="K6003" s="291"/>
      <c r="L6003" s="291"/>
      <c r="M6003" s="291"/>
      <c r="S6003" s="364"/>
      <c r="Z6003" s="609">
        <v>7161</v>
      </c>
      <c r="AA6003" s="609"/>
    </row>
    <row r="6004" spans="1:27" ht="18.75" thickBot="1">
      <c r="A6004" s="2714"/>
      <c r="B6004" s="371"/>
      <c r="C6004" s="371"/>
      <c r="D6004" s="2716">
        <f t="shared" si="636"/>
        <v>1</v>
      </c>
      <c r="E6004" s="2721" t="s">
        <v>2751</v>
      </c>
      <c r="F6004" s="294"/>
      <c r="G6004" s="1529" t="s">
        <v>2752</v>
      </c>
      <c r="H6004" s="1570"/>
      <c r="I6004" s="1527">
        <f>SUMPRODUCT($E5998:$E6003,I5998:I6003)</f>
        <v>0</v>
      </c>
      <c r="J6004" s="1571"/>
      <c r="K6004" s="291"/>
      <c r="L6004" s="291"/>
      <c r="M6004" s="291"/>
      <c r="S6004" s="364"/>
      <c r="Z6004" s="609">
        <v>7161</v>
      </c>
      <c r="AA6004" s="609"/>
    </row>
    <row r="6005" spans="1:27" ht="18">
      <c r="A6005" s="2714"/>
      <c r="B6005" s="371"/>
      <c r="C6005" s="371" t="s">
        <v>2755</v>
      </c>
      <c r="D6005" s="371"/>
      <c r="F6005" s="294"/>
      <c r="G6005" s="301"/>
      <c r="H6005" s="393"/>
      <c r="I6005" s="315"/>
      <c r="J6005" s="393"/>
      <c r="K6005" s="291"/>
      <c r="L6005" s="291"/>
      <c r="M6005" s="291"/>
      <c r="S6005" s="364"/>
      <c r="Z6005" s="609">
        <v>7161</v>
      </c>
      <c r="AA6005" s="609"/>
    </row>
    <row r="6006" spans="1:27" ht="18">
      <c r="A6006" s="2714">
        <v>7211</v>
      </c>
      <c r="B6006" s="371">
        <v>78.81</v>
      </c>
      <c r="C6006" s="2716" t="str">
        <f>VLOOKUP($A6006,Sheet_Items,2,0)</f>
        <v>取得借款收到的现金</v>
      </c>
      <c r="D6006" s="371"/>
      <c r="E6006" s="2716" t="s">
        <v>2739</v>
      </c>
      <c r="F6006" s="294"/>
      <c r="G6006" s="536" t="str">
        <f>B6006&amp;" "&amp;C6006</f>
        <v>78.81 取得借款收到的现金</v>
      </c>
      <c r="H6006" s="322"/>
      <c r="I6006" s="322"/>
      <c r="J6006" s="306" t="s">
        <v>4206</v>
      </c>
      <c r="K6006" s="341">
        <f>VLOOKUP($A6006,Sheet_Trialbal,6,0)</f>
        <v>0</v>
      </c>
      <c r="L6006" s="342"/>
      <c r="M6006" s="306"/>
      <c r="N6006" s="341"/>
      <c r="O6006" s="306"/>
      <c r="P6006" s="301"/>
      <c r="S6006" s="364"/>
      <c r="Z6006" s="609">
        <v>7211</v>
      </c>
      <c r="AA6006" s="609"/>
    </row>
    <row r="6007" spans="1:27" ht="24">
      <c r="A6007" s="2714" t="s">
        <v>1980</v>
      </c>
      <c r="B6007" s="371">
        <v>1</v>
      </c>
      <c r="C6007" s="371"/>
      <c r="D6007" s="2716" t="str">
        <f>VLOOKUP($A6007,Sheet_NoteList,2,0)</f>
        <v>取得借款收到的现金计算表</v>
      </c>
      <c r="E6007" s="2716" t="s">
        <v>2742</v>
      </c>
      <c r="F6007" s="294"/>
      <c r="G6007" s="483" t="str">
        <f>"("&amp;B6007&amp;")"&amp;D6007</f>
        <v>(1)取得借款收到的现金计算表</v>
      </c>
      <c r="H6007" s="1517" t="str">
        <f>$A6007</f>
        <v>7211x</v>
      </c>
      <c r="I6007" s="343" t="s">
        <v>2743</v>
      </c>
      <c r="J6007" s="301" t="s">
        <v>4712</v>
      </c>
      <c r="K6007" s="2210">
        <f>I6016</f>
        <v>0</v>
      </c>
      <c r="L6007" s="345" t="str">
        <f>IF(ROUND(K6006-K6007,2)=0,"F/S",ROUND(K6006-K6007,2))</f>
        <v>F/S</v>
      </c>
      <c r="M6007" s="532" t="s">
        <v>4713</v>
      </c>
      <c r="N6007" s="3071"/>
      <c r="O6007" s="315"/>
      <c r="P6007" s="301"/>
      <c r="S6007" s="364"/>
      <c r="Z6007" s="609">
        <v>7211</v>
      </c>
      <c r="AA6007" s="609"/>
    </row>
    <row r="6008" spans="1:27" ht="0.75" customHeight="1" thickBot="1">
      <c r="A6008" s="2714"/>
      <c r="B6008" s="371"/>
      <c r="C6008" s="371"/>
      <c r="D6008" s="371"/>
      <c r="F6008" s="371"/>
      <c r="G6008" s="371" t="s">
        <v>4763</v>
      </c>
      <c r="H6008" s="371" t="s">
        <v>4715</v>
      </c>
      <c r="I6008" s="371" t="s">
        <v>4716</v>
      </c>
      <c r="J6008" s="371" t="s">
        <v>3671</v>
      </c>
      <c r="K6008" s="291"/>
      <c r="L6008" s="291"/>
      <c r="M6008" s="291"/>
      <c r="S6008" s="364"/>
      <c r="Z6008" s="609">
        <v>7211</v>
      </c>
      <c r="AA6008" s="609"/>
    </row>
    <row r="6009" spans="1:27" ht="18">
      <c r="A6009" s="2714"/>
      <c r="B6009" s="371"/>
      <c r="C6009" s="371"/>
      <c r="D6009" s="371"/>
      <c r="E6009" s="2716" t="s">
        <v>2749</v>
      </c>
      <c r="F6009" s="294"/>
      <c r="G6009" s="1564" t="s">
        <v>47</v>
      </c>
      <c r="H6009" s="1565" t="s">
        <v>4717</v>
      </c>
      <c r="I6009" s="1565" t="s">
        <v>2887</v>
      </c>
      <c r="J6009" s="1566" t="s">
        <v>2758</v>
      </c>
      <c r="K6009" s="291"/>
      <c r="L6009" s="291"/>
      <c r="M6009" s="291"/>
      <c r="S6009" s="364"/>
      <c r="Z6009" s="609">
        <v>7211</v>
      </c>
      <c r="AA6009" s="609"/>
    </row>
    <row r="6010" spans="1:27" ht="18">
      <c r="A6010" s="2714"/>
      <c r="B6010" s="371">
        <v>101</v>
      </c>
      <c r="C6010" s="371" t="s">
        <v>2791</v>
      </c>
      <c r="D6010" s="2716">
        <f t="shared" ref="D6010:D6016" si="637">IF(OR(G6010="*",G6010="",G6010=0),0,COUNTIF($G$6010:$G$6016,G6010))</f>
        <v>1</v>
      </c>
      <c r="E6010" s="2721">
        <v>1</v>
      </c>
      <c r="F6010" s="294"/>
      <c r="G6010" s="1563" t="s">
        <v>4764</v>
      </c>
      <c r="H6010" s="360" t="s">
        <v>4726</v>
      </c>
      <c r="I6010" s="309"/>
      <c r="J6010" s="388"/>
      <c r="K6010" s="291"/>
      <c r="L6010" s="291"/>
      <c r="M6010" s="291"/>
      <c r="S6010" s="364"/>
      <c r="Z6010" s="609">
        <v>7211</v>
      </c>
      <c r="AA6010" s="609"/>
    </row>
    <row r="6011" spans="1:27" ht="18">
      <c r="A6011" s="2714"/>
      <c r="B6011" s="371">
        <v>102</v>
      </c>
      <c r="C6011" s="371" t="s">
        <v>2791</v>
      </c>
      <c r="D6011" s="2716">
        <f t="shared" si="637"/>
        <v>1</v>
      </c>
      <c r="E6011" s="2721">
        <v>1</v>
      </c>
      <c r="F6011" s="294"/>
      <c r="G6011" s="1563" t="s">
        <v>4765</v>
      </c>
      <c r="H6011" s="360" t="s">
        <v>4726</v>
      </c>
      <c r="I6011" s="309"/>
      <c r="J6011" s="388"/>
      <c r="K6011" s="291"/>
      <c r="L6011" s="291"/>
      <c r="M6011" s="291"/>
      <c r="S6011" s="364"/>
      <c r="Z6011" s="609">
        <v>7211</v>
      </c>
      <c r="AA6011" s="609"/>
    </row>
    <row r="6012" spans="1:27" ht="18">
      <c r="A6012" s="2714"/>
      <c r="B6012" s="371">
        <v>103</v>
      </c>
      <c r="C6012" s="371" t="s">
        <v>2791</v>
      </c>
      <c r="D6012" s="2716">
        <f t="shared" si="637"/>
        <v>1</v>
      </c>
      <c r="E6012" s="2721">
        <v>1</v>
      </c>
      <c r="F6012" s="294"/>
      <c r="G6012" s="1563" t="s">
        <v>4766</v>
      </c>
      <c r="H6012" s="360" t="s">
        <v>4726</v>
      </c>
      <c r="I6012" s="309"/>
      <c r="J6012" s="388"/>
      <c r="K6012" s="291"/>
      <c r="L6012" s="291"/>
      <c r="M6012" s="291"/>
      <c r="S6012" s="364"/>
      <c r="Z6012" s="609">
        <v>7211</v>
      </c>
      <c r="AA6012" s="609"/>
    </row>
    <row r="6013" spans="1:27" ht="18">
      <c r="A6013" s="2714"/>
      <c r="B6013" s="371">
        <v>104</v>
      </c>
      <c r="C6013" s="371" t="s">
        <v>2791</v>
      </c>
      <c r="D6013" s="2716">
        <f t="shared" si="637"/>
        <v>1</v>
      </c>
      <c r="E6013" s="2721">
        <v>1</v>
      </c>
      <c r="F6013" s="294"/>
      <c r="G6013" s="1563" t="s">
        <v>4767</v>
      </c>
      <c r="H6013" s="360" t="s">
        <v>4726</v>
      </c>
      <c r="I6013" s="309"/>
      <c r="J6013" s="388"/>
      <c r="K6013" s="291"/>
      <c r="L6013" s="291"/>
      <c r="M6013" s="291"/>
      <c r="S6013" s="364"/>
      <c r="Z6013" s="609">
        <v>7211</v>
      </c>
      <c r="AA6013" s="609"/>
    </row>
    <row r="6014" spans="1:27" ht="24">
      <c r="A6014" s="2714"/>
      <c r="B6014" s="371">
        <v>105</v>
      </c>
      <c r="C6014" s="371" t="s">
        <v>2791</v>
      </c>
      <c r="D6014" s="2716">
        <f t="shared" si="637"/>
        <v>1</v>
      </c>
      <c r="E6014" s="2721">
        <v>1</v>
      </c>
      <c r="F6014" s="294"/>
      <c r="G6014" s="1563" t="s">
        <v>4768</v>
      </c>
      <c r="H6014" s="360" t="s">
        <v>4726</v>
      </c>
      <c r="I6014" s="309"/>
      <c r="J6014" s="388"/>
      <c r="K6014" s="291"/>
      <c r="L6014" s="291"/>
      <c r="M6014" s="291"/>
      <c r="S6014" s="364"/>
      <c r="Z6014" s="609">
        <v>7211</v>
      </c>
      <c r="AA6014" s="609"/>
    </row>
    <row r="6015" spans="1:27" ht="18">
      <c r="A6015" s="2714"/>
      <c r="B6015" s="371">
        <v>106</v>
      </c>
      <c r="C6015" s="371" t="s">
        <v>2791</v>
      </c>
      <c r="D6015" s="2716">
        <f t="shared" si="637"/>
        <v>0</v>
      </c>
      <c r="E6015" s="2721">
        <v>1</v>
      </c>
      <c r="F6015" s="294"/>
      <c r="G6015" s="1563" t="s">
        <v>2792</v>
      </c>
      <c r="H6015" s="360"/>
      <c r="I6015" s="309"/>
      <c r="J6015" s="388"/>
      <c r="K6015" s="291"/>
      <c r="L6015" s="291"/>
      <c r="M6015" s="291"/>
      <c r="S6015" s="364"/>
      <c r="Z6015" s="609">
        <v>7211</v>
      </c>
      <c r="AA6015" s="609"/>
    </row>
    <row r="6016" spans="1:27" ht="18.75" thickBot="1">
      <c r="A6016" s="2714"/>
      <c r="B6016" s="371"/>
      <c r="C6016" s="371"/>
      <c r="D6016" s="2716">
        <f t="shared" si="637"/>
        <v>1</v>
      </c>
      <c r="E6016" s="2721" t="s">
        <v>2751</v>
      </c>
      <c r="F6016" s="294"/>
      <c r="G6016" s="1529" t="s">
        <v>2752</v>
      </c>
      <c r="H6016" s="1570"/>
      <c r="I6016" s="1527">
        <f>SUMPRODUCT($E6009:$E6015,I6009:I6015)</f>
        <v>0</v>
      </c>
      <c r="J6016" s="1571"/>
      <c r="K6016" s="291"/>
      <c r="L6016" s="291"/>
      <c r="M6016" s="291"/>
      <c r="S6016" s="364"/>
      <c r="Z6016" s="609">
        <v>7211</v>
      </c>
      <c r="AA6016" s="609"/>
    </row>
    <row r="6017" spans="1:27" ht="18">
      <c r="A6017" s="2714"/>
      <c r="B6017" s="371"/>
      <c r="C6017" s="371" t="s">
        <v>2755</v>
      </c>
      <c r="D6017" s="371"/>
      <c r="F6017" s="294"/>
      <c r="G6017" s="301"/>
      <c r="H6017" s="393"/>
      <c r="I6017" s="315"/>
      <c r="J6017" s="393"/>
      <c r="K6017" s="291"/>
      <c r="L6017" s="291"/>
      <c r="M6017" s="291"/>
      <c r="S6017" s="364"/>
      <c r="Z6017" s="609">
        <v>7211</v>
      </c>
      <c r="AA6017" s="609"/>
    </row>
    <row r="6018" spans="1:27" ht="18">
      <c r="A6018" s="2714">
        <v>7251</v>
      </c>
      <c r="B6018" s="371">
        <v>78.819999999999993</v>
      </c>
      <c r="C6018" s="2716" t="str">
        <f>VLOOKUP($A6018,Sheet_Items,2,0)</f>
        <v>偿还债务支付的现金</v>
      </c>
      <c r="D6018" s="371"/>
      <c r="E6018" s="2716" t="s">
        <v>2739</v>
      </c>
      <c r="F6018" s="294"/>
      <c r="G6018" s="536" t="str">
        <f>B6018&amp;" "&amp;C6018</f>
        <v>78.82 偿还债务支付的现金</v>
      </c>
      <c r="H6018" s="322"/>
      <c r="I6018" s="322"/>
      <c r="J6018" s="306" t="s">
        <v>4206</v>
      </c>
      <c r="K6018" s="341">
        <f>VLOOKUP($A6018,Sheet_Trialbal,6,0)</f>
        <v>0</v>
      </c>
      <c r="L6018" s="342"/>
      <c r="M6018" s="306"/>
      <c r="N6018" s="341"/>
      <c r="O6018" s="306"/>
      <c r="P6018" s="301"/>
      <c r="S6018" s="364"/>
      <c r="Z6018" s="609">
        <v>7251</v>
      </c>
      <c r="AA6018" s="609"/>
    </row>
    <row r="6019" spans="1:27" ht="24">
      <c r="A6019" s="2714" t="s">
        <v>1986</v>
      </c>
      <c r="B6019" s="371">
        <v>1</v>
      </c>
      <c r="C6019" s="371"/>
      <c r="D6019" s="2716" t="str">
        <f>VLOOKUP($A6019,Sheet_NoteList,2,0)</f>
        <v>偿还债务支付的现金计算表</v>
      </c>
      <c r="E6019" s="2716" t="s">
        <v>2742</v>
      </c>
      <c r="F6019" s="294"/>
      <c r="G6019" s="483" t="str">
        <f>"("&amp;B6019&amp;")"&amp;D6019</f>
        <v>(1)偿还债务支付的现金计算表</v>
      </c>
      <c r="H6019" s="1517" t="str">
        <f>$A6019</f>
        <v>7251x</v>
      </c>
      <c r="I6019" s="343" t="s">
        <v>2743</v>
      </c>
      <c r="J6019" s="301" t="s">
        <v>4712</v>
      </c>
      <c r="K6019" s="2210">
        <f>I6028</f>
        <v>0</v>
      </c>
      <c r="L6019" s="345" t="str">
        <f>IF(ROUND(K6018-K6019,2)=0,"F/S",ROUND(K6018-K6019,2))</f>
        <v>F/S</v>
      </c>
      <c r="M6019" s="532" t="s">
        <v>4713</v>
      </c>
      <c r="N6019" s="3071"/>
      <c r="O6019" s="315"/>
      <c r="P6019" s="301"/>
      <c r="S6019" s="364"/>
      <c r="Z6019" s="609">
        <v>7251</v>
      </c>
      <c r="AA6019" s="609"/>
    </row>
    <row r="6020" spans="1:27" ht="0.75" customHeight="1" thickBot="1">
      <c r="A6020" s="2714"/>
      <c r="B6020" s="371"/>
      <c r="C6020" s="371"/>
      <c r="D6020" s="371"/>
      <c r="F6020" s="371"/>
      <c r="G6020" s="371" t="s">
        <v>4769</v>
      </c>
      <c r="H6020" s="371" t="s">
        <v>4715</v>
      </c>
      <c r="I6020" s="371" t="s">
        <v>4716</v>
      </c>
      <c r="J6020" s="371" t="s">
        <v>3671</v>
      </c>
      <c r="K6020" s="291"/>
      <c r="L6020" s="291"/>
      <c r="M6020" s="291"/>
      <c r="S6020" s="364"/>
      <c r="Z6020" s="609">
        <v>7251</v>
      </c>
      <c r="AA6020" s="609"/>
    </row>
    <row r="6021" spans="1:27" ht="18">
      <c r="A6021" s="2714"/>
      <c r="B6021" s="371"/>
      <c r="C6021" s="371"/>
      <c r="D6021" s="371"/>
      <c r="E6021" s="2716" t="s">
        <v>2749</v>
      </c>
      <c r="F6021" s="294"/>
      <c r="G6021" s="1564" t="s">
        <v>47</v>
      </c>
      <c r="H6021" s="1565" t="s">
        <v>4717</v>
      </c>
      <c r="I6021" s="1565" t="s">
        <v>2887</v>
      </c>
      <c r="J6021" s="1566" t="s">
        <v>2758</v>
      </c>
      <c r="K6021" s="291"/>
      <c r="L6021" s="291"/>
      <c r="M6021" s="291"/>
      <c r="S6021" s="364"/>
      <c r="Z6021" s="609">
        <v>7251</v>
      </c>
      <c r="AA6021" s="609"/>
    </row>
    <row r="6022" spans="1:27" ht="18">
      <c r="A6022" s="2714"/>
      <c r="B6022" s="371">
        <v>101</v>
      </c>
      <c r="C6022" s="371" t="s">
        <v>2791</v>
      </c>
      <c r="D6022" s="2716">
        <f t="shared" ref="D6022:D6028" si="638">IF(OR(G6022="*",G6022="",G6022=0),0,COUNTIF($G$6022:$G$6028,G6022))</f>
        <v>1</v>
      </c>
      <c r="E6022" s="2721">
        <v>1</v>
      </c>
      <c r="F6022" s="294"/>
      <c r="G6022" s="1563" t="s">
        <v>4770</v>
      </c>
      <c r="H6022" s="360" t="s">
        <v>4726</v>
      </c>
      <c r="I6022" s="309"/>
      <c r="J6022" s="388"/>
      <c r="K6022" s="291"/>
      <c r="L6022" s="291"/>
      <c r="M6022" s="291"/>
      <c r="S6022" s="364"/>
      <c r="Z6022" s="609">
        <v>7251</v>
      </c>
      <c r="AA6022" s="609"/>
    </row>
    <row r="6023" spans="1:27" ht="18">
      <c r="A6023" s="2714"/>
      <c r="B6023" s="371">
        <v>102</v>
      </c>
      <c r="C6023" s="371" t="s">
        <v>2791</v>
      </c>
      <c r="D6023" s="2716">
        <f t="shared" si="638"/>
        <v>1</v>
      </c>
      <c r="E6023" s="2721">
        <v>1</v>
      </c>
      <c r="F6023" s="294"/>
      <c r="G6023" s="1563" t="s">
        <v>4771</v>
      </c>
      <c r="H6023" s="360" t="s">
        <v>4726</v>
      </c>
      <c r="I6023" s="309"/>
      <c r="J6023" s="388"/>
      <c r="K6023" s="291"/>
      <c r="L6023" s="291"/>
      <c r="M6023" s="291"/>
      <c r="S6023" s="364"/>
      <c r="Z6023" s="609">
        <v>7251</v>
      </c>
      <c r="AA6023" s="609"/>
    </row>
    <row r="6024" spans="1:27" ht="18">
      <c r="A6024" s="2714"/>
      <c r="B6024" s="371">
        <v>103</v>
      </c>
      <c r="C6024" s="371" t="s">
        <v>2791</v>
      </c>
      <c r="D6024" s="2716">
        <f t="shared" si="638"/>
        <v>1</v>
      </c>
      <c r="E6024" s="2721">
        <v>1</v>
      </c>
      <c r="F6024" s="294"/>
      <c r="G6024" s="1563" t="s">
        <v>4772</v>
      </c>
      <c r="H6024" s="360" t="s">
        <v>4726</v>
      </c>
      <c r="I6024" s="309"/>
      <c r="J6024" s="388"/>
      <c r="K6024" s="291"/>
      <c r="L6024" s="291"/>
      <c r="M6024" s="291"/>
      <c r="S6024" s="364"/>
      <c r="Z6024" s="609">
        <v>7251</v>
      </c>
      <c r="AA6024" s="609"/>
    </row>
    <row r="6025" spans="1:27" ht="18">
      <c r="A6025" s="2714"/>
      <c r="B6025" s="371">
        <v>104</v>
      </c>
      <c r="C6025" s="371" t="s">
        <v>2791</v>
      </c>
      <c r="D6025" s="2716">
        <f t="shared" si="638"/>
        <v>1</v>
      </c>
      <c r="E6025" s="2721">
        <v>1</v>
      </c>
      <c r="F6025" s="294"/>
      <c r="G6025" s="1563" t="s">
        <v>4773</v>
      </c>
      <c r="H6025" s="360" t="s">
        <v>4726</v>
      </c>
      <c r="I6025" s="309"/>
      <c r="J6025" s="388"/>
      <c r="K6025" s="291"/>
      <c r="L6025" s="291"/>
      <c r="M6025" s="291"/>
      <c r="S6025" s="364"/>
      <c r="Z6025" s="609">
        <v>7251</v>
      </c>
      <c r="AA6025" s="609"/>
    </row>
    <row r="6026" spans="1:27" ht="24">
      <c r="A6026" s="2714"/>
      <c r="B6026" s="371">
        <v>105</v>
      </c>
      <c r="C6026" s="371" t="s">
        <v>2791</v>
      </c>
      <c r="D6026" s="2716">
        <f t="shared" si="638"/>
        <v>1</v>
      </c>
      <c r="E6026" s="2721">
        <v>1</v>
      </c>
      <c r="F6026" s="294"/>
      <c r="G6026" s="1563" t="s">
        <v>4774</v>
      </c>
      <c r="H6026" s="360" t="s">
        <v>4726</v>
      </c>
      <c r="I6026" s="309"/>
      <c r="J6026" s="388"/>
      <c r="K6026" s="291"/>
      <c r="L6026" s="291"/>
      <c r="M6026" s="291"/>
      <c r="S6026" s="364"/>
      <c r="Z6026" s="609">
        <v>7251</v>
      </c>
      <c r="AA6026" s="609"/>
    </row>
    <row r="6027" spans="1:27" ht="18">
      <c r="A6027" s="2714"/>
      <c r="B6027" s="371">
        <v>106</v>
      </c>
      <c r="C6027" s="371" t="s">
        <v>2791</v>
      </c>
      <c r="D6027" s="2716">
        <f t="shared" si="638"/>
        <v>0</v>
      </c>
      <c r="E6027" s="2721">
        <v>1</v>
      </c>
      <c r="F6027" s="294"/>
      <c r="G6027" s="1563" t="s">
        <v>2792</v>
      </c>
      <c r="H6027" s="360"/>
      <c r="I6027" s="309"/>
      <c r="J6027" s="388"/>
      <c r="K6027" s="291"/>
      <c r="L6027" s="291"/>
      <c r="M6027" s="291"/>
      <c r="S6027" s="364"/>
      <c r="Z6027" s="609">
        <v>7251</v>
      </c>
      <c r="AA6027" s="609"/>
    </row>
    <row r="6028" spans="1:27" ht="18.75" thickBot="1">
      <c r="A6028" s="2714"/>
      <c r="B6028" s="371"/>
      <c r="C6028" s="371"/>
      <c r="D6028" s="2716">
        <f t="shared" si="638"/>
        <v>1</v>
      </c>
      <c r="E6028" s="2721" t="s">
        <v>2751</v>
      </c>
      <c r="F6028" s="294"/>
      <c r="G6028" s="1529" t="s">
        <v>2752</v>
      </c>
      <c r="H6028" s="1570"/>
      <c r="I6028" s="1527">
        <f>SUMPRODUCT($E6021:$E6027,I6021:I6027)</f>
        <v>0</v>
      </c>
      <c r="J6028" s="1571"/>
      <c r="K6028" s="291"/>
      <c r="L6028" s="291"/>
      <c r="M6028" s="291"/>
      <c r="S6028" s="364"/>
      <c r="Z6028" s="609">
        <v>7251</v>
      </c>
      <c r="AA6028" s="609"/>
    </row>
    <row r="6029" spans="1:27" ht="18">
      <c r="A6029" s="2714"/>
      <c r="B6029" s="371"/>
      <c r="C6029" s="371" t="s">
        <v>2755</v>
      </c>
      <c r="D6029" s="371"/>
      <c r="F6029" s="294"/>
      <c r="G6029" s="301"/>
      <c r="H6029" s="393"/>
      <c r="I6029" s="315"/>
      <c r="J6029" s="393"/>
      <c r="K6029" s="291"/>
      <c r="L6029" s="291"/>
      <c r="M6029" s="291"/>
      <c r="S6029" s="364"/>
      <c r="Z6029" s="609">
        <v>7251</v>
      </c>
      <c r="AA6029" s="609"/>
    </row>
    <row r="6030" spans="1:27" ht="18">
      <c r="A6030" s="2714">
        <v>7261</v>
      </c>
      <c r="B6030" s="371">
        <v>78.83</v>
      </c>
      <c r="C6030" s="2716" t="str">
        <f>VLOOKUP($A6030,Sheet_Items,2,0)</f>
        <v>分配利润偿付利息支付的现金</v>
      </c>
      <c r="D6030" s="371"/>
      <c r="E6030" s="2716" t="s">
        <v>2739</v>
      </c>
      <c r="F6030" s="294"/>
      <c r="G6030" s="536" t="str">
        <f>B6030&amp;" "&amp;C6030</f>
        <v>78.83 分配利润偿付利息支付的现金</v>
      </c>
      <c r="H6030" s="322"/>
      <c r="I6030" s="322"/>
      <c r="J6030" s="306" t="s">
        <v>4206</v>
      </c>
      <c r="K6030" s="341">
        <f>VLOOKUP($A6030,Sheet_Trialbal,6,0)</f>
        <v>0</v>
      </c>
      <c r="L6030" s="342"/>
      <c r="M6030" s="306"/>
      <c r="N6030" s="341"/>
      <c r="O6030" s="306"/>
      <c r="P6030" s="301"/>
      <c r="S6030" s="364"/>
      <c r="Z6030" s="609">
        <v>7261</v>
      </c>
      <c r="AA6030" s="609"/>
    </row>
    <row r="6031" spans="1:27" ht="24">
      <c r="A6031" s="2714" t="s">
        <v>1988</v>
      </c>
      <c r="B6031" s="371">
        <v>1</v>
      </c>
      <c r="C6031" s="371"/>
      <c r="D6031" s="2716" t="str">
        <f>VLOOKUP($A6031,Sheet_NoteList,2,0)</f>
        <v>分配利润偿付利息支付的现金计算表</v>
      </c>
      <c r="E6031" s="2716" t="s">
        <v>2742</v>
      </c>
      <c r="F6031" s="294"/>
      <c r="G6031" s="483" t="str">
        <f>"("&amp;B6031&amp;")"&amp;D6031</f>
        <v>(1)分配利润偿付利息支付的现金计算表</v>
      </c>
      <c r="H6031" s="1517" t="str">
        <f>$A6031</f>
        <v>7261x</v>
      </c>
      <c r="I6031" s="343" t="s">
        <v>2743</v>
      </c>
      <c r="J6031" s="301" t="s">
        <v>4712</v>
      </c>
      <c r="K6031" s="2210">
        <f>I6050</f>
        <v>0</v>
      </c>
      <c r="L6031" s="345" t="str">
        <f>IF(ROUND(K6030-K6031,2)=0,"F/S",ROUND(K6030-K6031,2))</f>
        <v>F/S</v>
      </c>
      <c r="M6031" s="532" t="s">
        <v>4713</v>
      </c>
      <c r="N6031" s="3071"/>
      <c r="O6031" s="315"/>
      <c r="P6031" s="301"/>
      <c r="S6031" s="364"/>
      <c r="Z6031" s="609">
        <v>7261</v>
      </c>
      <c r="AA6031" s="609"/>
    </row>
    <row r="6032" spans="1:27" ht="0.75" customHeight="1" thickBot="1">
      <c r="A6032" s="2714"/>
      <c r="B6032" s="371"/>
      <c r="C6032" s="371"/>
      <c r="D6032" s="371"/>
      <c r="F6032" s="371"/>
      <c r="G6032" s="371" t="s">
        <v>4775</v>
      </c>
      <c r="H6032" s="371" t="s">
        <v>4715</v>
      </c>
      <c r="I6032" s="371" t="s">
        <v>4716</v>
      </c>
      <c r="J6032" s="371" t="s">
        <v>3671</v>
      </c>
      <c r="K6032" s="291"/>
      <c r="L6032" s="291"/>
      <c r="M6032" s="291"/>
      <c r="S6032" s="364"/>
      <c r="Z6032" s="609">
        <v>7261</v>
      </c>
      <c r="AA6032" s="609"/>
    </row>
    <row r="6033" spans="1:27" ht="18">
      <c r="A6033" s="2714"/>
      <c r="B6033" s="371"/>
      <c r="C6033" s="371"/>
      <c r="D6033" s="371"/>
      <c r="E6033" s="2716" t="s">
        <v>2749</v>
      </c>
      <c r="F6033" s="294"/>
      <c r="G6033" s="1564" t="s">
        <v>47</v>
      </c>
      <c r="H6033" s="1565" t="s">
        <v>4717</v>
      </c>
      <c r="I6033" s="1565" t="s">
        <v>2887</v>
      </c>
      <c r="J6033" s="1566" t="s">
        <v>2758</v>
      </c>
      <c r="K6033" s="291"/>
      <c r="L6033" s="291"/>
      <c r="M6033" s="291"/>
      <c r="S6033" s="364"/>
      <c r="Z6033" s="609">
        <v>7261</v>
      </c>
      <c r="AA6033" s="609"/>
    </row>
    <row r="6034" spans="1:27" ht="18">
      <c r="A6034" s="2714"/>
      <c r="B6034" s="371">
        <v>101</v>
      </c>
      <c r="C6034" s="371" t="s">
        <v>2791</v>
      </c>
      <c r="D6034" s="2716">
        <f t="shared" ref="D6034:D6050" si="639">IF(OR(G6034="*",G6034="",G6034=0),0,COUNTIF($G$6034:$G$6050,G6034))</f>
        <v>1</v>
      </c>
      <c r="E6034" s="2721">
        <v>0</v>
      </c>
      <c r="F6034" s="294"/>
      <c r="G6034" s="1563" t="s">
        <v>4776</v>
      </c>
      <c r="H6034" s="360"/>
      <c r="I6034" s="309"/>
      <c r="J6034" s="388"/>
      <c r="K6034" s="291"/>
      <c r="L6034" s="291"/>
      <c r="M6034" s="291"/>
      <c r="S6034" s="364"/>
      <c r="Z6034" s="609">
        <v>7261</v>
      </c>
      <c r="AA6034" s="609"/>
    </row>
    <row r="6035" spans="1:27" ht="18">
      <c r="A6035" s="2714"/>
      <c r="B6035" s="371">
        <v>102</v>
      </c>
      <c r="C6035" s="371" t="s">
        <v>2791</v>
      </c>
      <c r="D6035" s="2716">
        <f t="shared" si="639"/>
        <v>1</v>
      </c>
      <c r="E6035" s="2721">
        <v>0</v>
      </c>
      <c r="F6035" s="294"/>
      <c r="G6035" s="1563" t="s">
        <v>4777</v>
      </c>
      <c r="H6035" s="360"/>
      <c r="I6035" s="309"/>
      <c r="J6035" s="388"/>
      <c r="K6035" s="291"/>
      <c r="L6035" s="291"/>
      <c r="M6035" s="291"/>
      <c r="S6035" s="364"/>
      <c r="Z6035" s="609">
        <v>7261</v>
      </c>
      <c r="AA6035" s="609"/>
    </row>
    <row r="6036" spans="1:27" ht="18">
      <c r="A6036" s="2714"/>
      <c r="B6036" s="371">
        <v>103</v>
      </c>
      <c r="C6036" s="371" t="s">
        <v>2791</v>
      </c>
      <c r="D6036" s="2716">
        <f t="shared" si="639"/>
        <v>1</v>
      </c>
      <c r="E6036" s="2721">
        <v>1</v>
      </c>
      <c r="F6036" s="294"/>
      <c r="G6036" s="1521" t="s">
        <v>4778</v>
      </c>
      <c r="H6036" s="360" t="s">
        <v>4726</v>
      </c>
      <c r="I6036" s="1476">
        <f>I6034-I6035</f>
        <v>0</v>
      </c>
      <c r="J6036" s="388"/>
      <c r="K6036" s="291"/>
      <c r="L6036" s="291"/>
      <c r="M6036" s="291"/>
      <c r="S6036" s="364"/>
      <c r="Z6036" s="609">
        <v>7261</v>
      </c>
      <c r="AA6036" s="609"/>
    </row>
    <row r="6037" spans="1:27" ht="18">
      <c r="A6037" s="2714"/>
      <c r="B6037" s="371">
        <v>104</v>
      </c>
      <c r="C6037" s="371" t="s">
        <v>2791</v>
      </c>
      <c r="D6037" s="2716">
        <f t="shared" si="639"/>
        <v>1</v>
      </c>
      <c r="E6037" s="2721">
        <v>0</v>
      </c>
      <c r="F6037" s="294"/>
      <c r="G6037" s="1563" t="s">
        <v>4779</v>
      </c>
      <c r="H6037" s="360"/>
      <c r="I6037" s="309"/>
      <c r="J6037" s="388"/>
      <c r="K6037" s="291"/>
      <c r="L6037" s="291"/>
      <c r="M6037" s="291"/>
      <c r="S6037" s="364"/>
      <c r="Z6037" s="609">
        <v>7261</v>
      </c>
      <c r="AA6037" s="609"/>
    </row>
    <row r="6038" spans="1:27" ht="18">
      <c r="A6038" s="2714"/>
      <c r="B6038" s="371">
        <v>105</v>
      </c>
      <c r="C6038" s="371" t="s">
        <v>2791</v>
      </c>
      <c r="D6038" s="2716">
        <f t="shared" si="639"/>
        <v>1</v>
      </c>
      <c r="E6038" s="2721">
        <v>0</v>
      </c>
      <c r="F6038" s="294"/>
      <c r="G6038" s="1563" t="s">
        <v>4780</v>
      </c>
      <c r="H6038" s="360"/>
      <c r="I6038" s="309"/>
      <c r="J6038" s="388"/>
      <c r="K6038" s="291"/>
      <c r="L6038" s="291"/>
      <c r="M6038" s="291"/>
      <c r="S6038" s="364"/>
      <c r="Z6038" s="609">
        <v>7261</v>
      </c>
      <c r="AA6038" s="609"/>
    </row>
    <row r="6039" spans="1:27" ht="18">
      <c r="A6039" s="2714"/>
      <c r="B6039" s="371">
        <v>106</v>
      </c>
      <c r="C6039" s="371" t="s">
        <v>2791</v>
      </c>
      <c r="D6039" s="2716">
        <f t="shared" si="639"/>
        <v>1</v>
      </c>
      <c r="E6039" s="2721">
        <v>1</v>
      </c>
      <c r="F6039" s="294"/>
      <c r="G6039" s="1521" t="s">
        <v>4781</v>
      </c>
      <c r="H6039" s="360" t="s">
        <v>4726</v>
      </c>
      <c r="I6039" s="1476">
        <f>I6037-I6038</f>
        <v>0</v>
      </c>
      <c r="J6039" s="388"/>
      <c r="K6039" s="291"/>
      <c r="L6039" s="291"/>
      <c r="M6039" s="291"/>
      <c r="S6039" s="364"/>
      <c r="Z6039" s="609">
        <v>7261</v>
      </c>
      <c r="AA6039" s="609"/>
    </row>
    <row r="6040" spans="1:27" ht="18">
      <c r="A6040" s="2714"/>
      <c r="B6040" s="371">
        <v>107</v>
      </c>
      <c r="C6040" s="371" t="s">
        <v>2791</v>
      </c>
      <c r="D6040" s="2716">
        <f t="shared" si="639"/>
        <v>1</v>
      </c>
      <c r="E6040" s="2721">
        <v>1</v>
      </c>
      <c r="F6040" s="294"/>
      <c r="G6040" s="1563" t="s">
        <v>4782</v>
      </c>
      <c r="H6040" s="360" t="s">
        <v>4726</v>
      </c>
      <c r="I6040" s="309"/>
      <c r="J6040" s="388"/>
      <c r="K6040" s="291"/>
      <c r="L6040" s="291"/>
      <c r="M6040" s="291"/>
      <c r="S6040" s="364"/>
      <c r="Z6040" s="609">
        <v>7261</v>
      </c>
      <c r="AA6040" s="609"/>
    </row>
    <row r="6041" spans="1:27" ht="24">
      <c r="A6041" s="2714"/>
      <c r="B6041" s="371">
        <v>108</v>
      </c>
      <c r="C6041" s="371" t="s">
        <v>2791</v>
      </c>
      <c r="D6041" s="2716">
        <f t="shared" si="639"/>
        <v>1</v>
      </c>
      <c r="E6041" s="2721">
        <v>0</v>
      </c>
      <c r="F6041" s="294"/>
      <c r="G6041" s="1563" t="s">
        <v>4783</v>
      </c>
      <c r="H6041" s="360"/>
      <c r="I6041" s="309"/>
      <c r="J6041" s="388"/>
      <c r="K6041" s="291"/>
      <c r="L6041" s="291"/>
      <c r="M6041" s="291"/>
      <c r="S6041" s="364"/>
      <c r="Z6041" s="609">
        <v>7261</v>
      </c>
      <c r="AA6041" s="609"/>
    </row>
    <row r="6042" spans="1:27" ht="24">
      <c r="A6042" s="2714"/>
      <c r="B6042" s="371">
        <v>109</v>
      </c>
      <c r="C6042" s="371" t="s">
        <v>2791</v>
      </c>
      <c r="D6042" s="2716">
        <f t="shared" si="639"/>
        <v>1</v>
      </c>
      <c r="E6042" s="2721">
        <v>0</v>
      </c>
      <c r="F6042" s="294"/>
      <c r="G6042" s="1563" t="s">
        <v>4784</v>
      </c>
      <c r="H6042" s="360"/>
      <c r="I6042" s="309"/>
      <c r="J6042" s="388"/>
      <c r="K6042" s="291"/>
      <c r="L6042" s="291"/>
      <c r="M6042" s="291"/>
      <c r="S6042" s="364"/>
      <c r="Z6042" s="609">
        <v>7261</v>
      </c>
      <c r="AA6042" s="609"/>
    </row>
    <row r="6043" spans="1:27" ht="24">
      <c r="A6043" s="2714"/>
      <c r="B6043" s="371">
        <v>110</v>
      </c>
      <c r="C6043" s="371" t="s">
        <v>2791</v>
      </c>
      <c r="D6043" s="2716">
        <f t="shared" si="639"/>
        <v>1</v>
      </c>
      <c r="E6043" s="2721">
        <v>1</v>
      </c>
      <c r="F6043" s="294"/>
      <c r="G6043" s="1521" t="s">
        <v>4785</v>
      </c>
      <c r="H6043" s="360" t="s">
        <v>4726</v>
      </c>
      <c r="I6043" s="1476">
        <f>I6041-I6042</f>
        <v>0</v>
      </c>
      <c r="J6043" s="388"/>
      <c r="K6043" s="291"/>
      <c r="L6043" s="291"/>
      <c r="M6043" s="291"/>
      <c r="S6043" s="364"/>
      <c r="Z6043" s="609">
        <v>7261</v>
      </c>
      <c r="AA6043" s="609"/>
    </row>
    <row r="6044" spans="1:27" ht="18">
      <c r="A6044" s="2714"/>
      <c r="B6044" s="371">
        <v>111</v>
      </c>
      <c r="C6044" s="371" t="s">
        <v>2791</v>
      </c>
      <c r="D6044" s="2716">
        <f t="shared" si="639"/>
        <v>1</v>
      </c>
      <c r="E6044" s="2721">
        <v>1</v>
      </c>
      <c r="F6044" s="294"/>
      <c r="G6044" s="1563" t="s">
        <v>4786</v>
      </c>
      <c r="H6044" s="360" t="s">
        <v>4726</v>
      </c>
      <c r="I6044" s="309"/>
      <c r="J6044" s="388"/>
      <c r="K6044" s="291"/>
      <c r="L6044" s="291"/>
      <c r="M6044" s="291"/>
      <c r="S6044" s="364"/>
      <c r="Z6044" s="609">
        <v>7261</v>
      </c>
      <c r="AA6044" s="609"/>
    </row>
    <row r="6045" spans="1:27" ht="18">
      <c r="A6045" s="2714"/>
      <c r="B6045" s="371">
        <v>112</v>
      </c>
      <c r="C6045" s="371" t="s">
        <v>2791</v>
      </c>
      <c r="D6045" s="2716">
        <f t="shared" si="639"/>
        <v>1</v>
      </c>
      <c r="E6045" s="2721">
        <v>1</v>
      </c>
      <c r="F6045" s="294"/>
      <c r="G6045" s="1563" t="s">
        <v>4787</v>
      </c>
      <c r="H6045" s="360" t="s">
        <v>4726</v>
      </c>
      <c r="I6045" s="309"/>
      <c r="J6045" s="388"/>
      <c r="K6045" s="291"/>
      <c r="L6045" s="291"/>
      <c r="M6045" s="291"/>
      <c r="S6045" s="364"/>
      <c r="Z6045" s="609">
        <v>7261</v>
      </c>
      <c r="AA6045" s="609"/>
    </row>
    <row r="6046" spans="1:27" ht="18">
      <c r="A6046" s="2714"/>
      <c r="B6046" s="371">
        <v>113</v>
      </c>
      <c r="C6046" s="371" t="s">
        <v>2791</v>
      </c>
      <c r="D6046" s="2716">
        <f t="shared" si="639"/>
        <v>1</v>
      </c>
      <c r="E6046" s="2721">
        <v>1</v>
      </c>
      <c r="F6046" s="294"/>
      <c r="G6046" s="1563" t="s">
        <v>4788</v>
      </c>
      <c r="H6046" s="360" t="s">
        <v>4726</v>
      </c>
      <c r="I6046" s="309"/>
      <c r="J6046" s="388"/>
      <c r="K6046" s="291"/>
      <c r="L6046" s="291"/>
      <c r="M6046" s="291"/>
      <c r="S6046" s="364"/>
      <c r="Z6046" s="609">
        <v>7261</v>
      </c>
      <c r="AA6046" s="609"/>
    </row>
    <row r="6047" spans="1:27" ht="18">
      <c r="A6047" s="2714"/>
      <c r="B6047" s="371">
        <v>114</v>
      </c>
      <c r="C6047" s="371" t="s">
        <v>2791</v>
      </c>
      <c r="D6047" s="2716">
        <f t="shared" si="639"/>
        <v>1</v>
      </c>
      <c r="E6047" s="2721">
        <v>1</v>
      </c>
      <c r="F6047" s="294"/>
      <c r="G6047" s="1563" t="s">
        <v>4789</v>
      </c>
      <c r="H6047" s="360" t="s">
        <v>4726</v>
      </c>
      <c r="I6047" s="309"/>
      <c r="J6047" s="388"/>
      <c r="K6047" s="291"/>
      <c r="L6047" s="291"/>
      <c r="M6047" s="291"/>
      <c r="S6047" s="364"/>
      <c r="Z6047" s="609">
        <v>7261</v>
      </c>
      <c r="AA6047" s="609"/>
    </row>
    <row r="6048" spans="1:27" ht="18">
      <c r="A6048" s="2714"/>
      <c r="B6048" s="371">
        <v>115</v>
      </c>
      <c r="C6048" s="371" t="s">
        <v>2791</v>
      </c>
      <c r="D6048" s="2716">
        <f t="shared" si="639"/>
        <v>1</v>
      </c>
      <c r="E6048" s="2721">
        <v>1</v>
      </c>
      <c r="F6048" s="294"/>
      <c r="G6048" s="1563" t="s">
        <v>932</v>
      </c>
      <c r="H6048" s="360" t="s">
        <v>4726</v>
      </c>
      <c r="I6048" s="309"/>
      <c r="J6048" s="388"/>
      <c r="K6048" s="291"/>
      <c r="L6048" s="291"/>
      <c r="M6048" s="291"/>
      <c r="S6048" s="364"/>
      <c r="Z6048" s="609">
        <v>7261</v>
      </c>
      <c r="AA6048" s="609"/>
    </row>
    <row r="6049" spans="1:27" ht="18">
      <c r="A6049" s="2714"/>
      <c r="B6049" s="371">
        <v>116</v>
      </c>
      <c r="C6049" s="371" t="s">
        <v>2791</v>
      </c>
      <c r="D6049" s="2716">
        <f t="shared" si="639"/>
        <v>0</v>
      </c>
      <c r="E6049" s="2721">
        <v>1</v>
      </c>
      <c r="F6049" s="294"/>
      <c r="G6049" s="1563" t="s">
        <v>2792</v>
      </c>
      <c r="H6049" s="360"/>
      <c r="I6049" s="309"/>
      <c r="J6049" s="388"/>
      <c r="K6049" s="291"/>
      <c r="L6049" s="291"/>
      <c r="M6049" s="291"/>
      <c r="S6049" s="364"/>
      <c r="Z6049" s="609">
        <v>7261</v>
      </c>
      <c r="AA6049" s="609"/>
    </row>
    <row r="6050" spans="1:27" ht="18.75" thickBot="1">
      <c r="A6050" s="2714"/>
      <c r="B6050" s="371"/>
      <c r="C6050" s="371"/>
      <c r="D6050" s="2716">
        <f t="shared" si="639"/>
        <v>1</v>
      </c>
      <c r="E6050" s="2721" t="s">
        <v>2751</v>
      </c>
      <c r="F6050" s="294"/>
      <c r="G6050" s="1529" t="s">
        <v>2752</v>
      </c>
      <c r="H6050" s="1570"/>
      <c r="I6050" s="1527">
        <f>SUMPRODUCT($E6033:$E6049,I6033:I6049)</f>
        <v>0</v>
      </c>
      <c r="J6050" s="1571"/>
      <c r="K6050" s="291"/>
      <c r="L6050" s="291"/>
      <c r="M6050" s="291"/>
      <c r="S6050" s="364"/>
      <c r="Z6050" s="609">
        <v>7261</v>
      </c>
      <c r="AA6050" s="609"/>
    </row>
    <row r="6051" spans="1:27" ht="18.75" thickBot="1">
      <c r="A6051" s="2714"/>
      <c r="B6051" s="371"/>
      <c r="C6051" s="371" t="s">
        <v>2755</v>
      </c>
      <c r="D6051" s="371"/>
      <c r="F6051" s="294"/>
      <c r="G6051" s="301"/>
      <c r="H6051" s="393"/>
      <c r="I6051" s="315"/>
      <c r="J6051" s="393"/>
      <c r="K6051" s="291"/>
      <c r="L6051" s="291"/>
      <c r="M6051" s="291"/>
      <c r="S6051" s="364"/>
      <c r="Z6051" s="609">
        <v>7261</v>
      </c>
      <c r="AA6051" s="609"/>
    </row>
    <row r="6052" spans="1:27" ht="18.75" thickBot="1">
      <c r="A6052" s="2714"/>
      <c r="B6052" s="371"/>
      <c r="C6052" s="371"/>
      <c r="D6052" s="371"/>
      <c r="F6052" s="294"/>
      <c r="G6052" s="627" t="s">
        <v>4708</v>
      </c>
      <c r="H6052" s="628" t="s">
        <v>4790</v>
      </c>
      <c r="I6052" s="629"/>
      <c r="J6052" s="630"/>
      <c r="K6052" s="630"/>
      <c r="L6052" s="630"/>
      <c r="M6052" s="630"/>
      <c r="N6052" s="631"/>
      <c r="S6052" s="364"/>
      <c r="Z6052" s="609" t="s">
        <v>2014</v>
      </c>
      <c r="AA6052" s="609"/>
    </row>
    <row r="6053" spans="1:27" ht="18">
      <c r="A6053" s="2714">
        <v>7503</v>
      </c>
      <c r="B6053" s="371">
        <v>79.010000000000005</v>
      </c>
      <c r="C6053" s="2716" t="str">
        <f>VLOOKUP($A6053,Sheet_Items,2,0)</f>
        <v>资产减值准备金额</v>
      </c>
      <c r="D6053" s="371"/>
      <c r="E6053" s="2716" t="s">
        <v>2739</v>
      </c>
      <c r="F6053" s="294"/>
      <c r="G6053" s="536" t="str">
        <f>B6053&amp;" "&amp;C6053</f>
        <v>79.01 资产减值准备金额</v>
      </c>
      <c r="H6053" s="322"/>
      <c r="I6053" s="322"/>
      <c r="J6053" s="306" t="s">
        <v>4206</v>
      </c>
      <c r="K6053" s="341">
        <f>VLOOKUP($A6053,Sheet_Trialbal,6,0)</f>
        <v>0</v>
      </c>
      <c r="L6053" s="342"/>
      <c r="M6053" s="306"/>
      <c r="N6053" s="341"/>
      <c r="O6053" s="306"/>
      <c r="P6053" s="301"/>
      <c r="S6053" s="364"/>
      <c r="Z6053" s="609" t="s">
        <v>2014</v>
      </c>
      <c r="AA6053" s="609"/>
    </row>
    <row r="6054" spans="1:27" ht="36">
      <c r="A6054" s="2714" t="s">
        <v>2012</v>
      </c>
      <c r="B6054" s="371">
        <v>1</v>
      </c>
      <c r="C6054" s="371"/>
      <c r="D6054" s="2716" t="str">
        <f>VLOOKUP($A6054,Sheet_NoteList,2,0)</f>
        <v>将净利润调节为经营活动现金流量：资产减值准备金额</v>
      </c>
      <c r="E6054" s="2716" t="s">
        <v>2742</v>
      </c>
      <c r="F6054" s="294"/>
      <c r="G6054" s="372" t="str">
        <f>"("&amp;B6054&amp;")"&amp;D6054</f>
        <v>(1)将净利润调节为经营活动现金流量：资产减值准备金额</v>
      </c>
      <c r="H6054" s="1517" t="str">
        <f>$A6054</f>
        <v>7503a</v>
      </c>
      <c r="I6054" s="343" t="s">
        <v>2743</v>
      </c>
      <c r="J6054" s="301" t="s">
        <v>4712</v>
      </c>
      <c r="K6054" s="2210">
        <f>H6060</f>
        <v>0</v>
      </c>
      <c r="L6054" s="345" t="str">
        <f>IF(ROUND(K6053-K6054,2)=0,"F/S",ROUND(K6053-K6054,2))</f>
        <v>F/S</v>
      </c>
      <c r="M6054" s="532" t="s">
        <v>4713</v>
      </c>
      <c r="N6054" s="3071"/>
      <c r="O6054" s="315"/>
      <c r="P6054" s="301"/>
      <c r="S6054" s="364"/>
      <c r="Z6054" s="609" t="s">
        <v>2014</v>
      </c>
      <c r="AA6054" s="609"/>
    </row>
    <row r="6055" spans="1:27" ht="0.75" customHeight="1" thickBot="1">
      <c r="A6055" s="2714"/>
      <c r="B6055" s="371"/>
      <c r="C6055" s="371"/>
      <c r="D6055" s="371"/>
      <c r="F6055" s="294"/>
      <c r="G6055" s="294" t="s">
        <v>4791</v>
      </c>
      <c r="H6055" s="294" t="s">
        <v>3472</v>
      </c>
      <c r="I6055" s="294" t="s">
        <v>2821</v>
      </c>
      <c r="J6055" s="291"/>
      <c r="K6055" s="291"/>
      <c r="L6055" s="291"/>
      <c r="M6055" s="291"/>
      <c r="S6055" s="364"/>
      <c r="Z6055" s="609" t="s">
        <v>2014</v>
      </c>
      <c r="AA6055" s="609"/>
    </row>
    <row r="6056" spans="1:27" ht="18">
      <c r="A6056" s="2714"/>
      <c r="B6056" s="371"/>
      <c r="C6056" s="371"/>
      <c r="D6056" s="371"/>
      <c r="E6056" s="2716" t="s">
        <v>2749</v>
      </c>
      <c r="F6056" s="294"/>
      <c r="G6056" s="1564" t="s">
        <v>47</v>
      </c>
      <c r="H6056" s="1565" t="s">
        <v>2587</v>
      </c>
      <c r="I6056" s="1566" t="s">
        <v>2508</v>
      </c>
      <c r="J6056" s="575"/>
      <c r="K6056" s="291"/>
      <c r="L6056" s="291"/>
      <c r="M6056" s="291"/>
      <c r="S6056" s="364"/>
      <c r="Z6056" s="609" t="s">
        <v>2014</v>
      </c>
      <c r="AA6056" s="609"/>
    </row>
    <row r="6057" spans="1:27" ht="18">
      <c r="A6057" s="2714"/>
      <c r="B6057" s="371">
        <v>101</v>
      </c>
      <c r="C6057" s="371"/>
      <c r="D6057" s="2716">
        <f>IF(OR(G6057="*",G6057="",G6057=0),0,COUNTIF($G$6057:$G$6060,G6057))</f>
        <v>1</v>
      </c>
      <c r="E6057" s="2721">
        <v>1</v>
      </c>
      <c r="F6057" s="294"/>
      <c r="G6057" s="308" t="s">
        <v>697</v>
      </c>
      <c r="H6057" s="309"/>
      <c r="I6057" s="388"/>
      <c r="J6057" s="291"/>
      <c r="K6057" s="291"/>
      <c r="L6057" s="291"/>
      <c r="M6057" s="291"/>
      <c r="S6057" s="364"/>
      <c r="Z6057" s="609" t="s">
        <v>2014</v>
      </c>
      <c r="AA6057" s="609"/>
    </row>
    <row r="6058" spans="1:27" ht="18">
      <c r="A6058" s="2714"/>
      <c r="B6058" s="371">
        <v>102</v>
      </c>
      <c r="C6058" s="371" t="s">
        <v>2791</v>
      </c>
      <c r="D6058" s="2716">
        <f>IF(OR(G6058="*",G6058="",G6058=0),0,COUNTIF($G$6057:$G$6060,G6058))</f>
        <v>0</v>
      </c>
      <c r="E6058" s="2721">
        <v>1</v>
      </c>
      <c r="F6058" s="294"/>
      <c r="G6058" s="1563" t="s">
        <v>2792</v>
      </c>
      <c r="H6058" s="309"/>
      <c r="I6058" s="388"/>
      <c r="J6058" s="291"/>
      <c r="K6058" s="291"/>
      <c r="L6058" s="291"/>
      <c r="M6058" s="291"/>
      <c r="S6058" s="364"/>
      <c r="Z6058" s="609" t="s">
        <v>2014</v>
      </c>
      <c r="AA6058" s="609"/>
    </row>
    <row r="6059" spans="1:27" ht="18">
      <c r="A6059" s="2714"/>
      <c r="B6059" s="371">
        <v>103</v>
      </c>
      <c r="C6059" s="371" t="s">
        <v>2791</v>
      </c>
      <c r="D6059" s="2716">
        <f>IF(OR(G6059="*",G6059="",G6059=0),0,COUNTIF($G$6057:$G$6060,G6059))</f>
        <v>0</v>
      </c>
      <c r="E6059" s="2721">
        <v>1</v>
      </c>
      <c r="F6059" s="294"/>
      <c r="G6059" s="1563" t="s">
        <v>2792</v>
      </c>
      <c r="H6059" s="309"/>
      <c r="I6059" s="388"/>
      <c r="J6059" s="291"/>
      <c r="K6059" s="291"/>
      <c r="L6059" s="291"/>
      <c r="M6059" s="291"/>
      <c r="S6059" s="364"/>
      <c r="Z6059" s="609" t="s">
        <v>2014</v>
      </c>
      <c r="AA6059" s="609"/>
    </row>
    <row r="6060" spans="1:27" ht="18.75" thickBot="1">
      <c r="A6060" s="2714"/>
      <c r="B6060" s="371"/>
      <c r="C6060" s="371"/>
      <c r="D6060" s="2716">
        <f>IF(OR(G6060="*",G6060="",G6060=0),0,COUNTIF($G$6057:$G$6060,G6060))</f>
        <v>1</v>
      </c>
      <c r="E6060" s="2721" t="s">
        <v>2751</v>
      </c>
      <c r="F6060" s="294"/>
      <c r="G6060" s="1529" t="s">
        <v>2752</v>
      </c>
      <c r="H6060" s="1527">
        <f>SUMPRODUCT($E6056:$E6059,H6056:H6059)</f>
        <v>0</v>
      </c>
      <c r="I6060" s="1572"/>
      <c r="J6060" s="291"/>
      <c r="K6060" s="291"/>
      <c r="L6060" s="291"/>
      <c r="M6060" s="291"/>
      <c r="S6060" s="364"/>
      <c r="Z6060" s="609" t="s">
        <v>2014</v>
      </c>
      <c r="AA6060" s="609"/>
    </row>
    <row r="6061" spans="1:27" ht="18">
      <c r="A6061" s="2714"/>
      <c r="B6061" s="371"/>
      <c r="C6061" s="371" t="s">
        <v>2755</v>
      </c>
      <c r="D6061" s="371"/>
      <c r="F6061" s="294"/>
      <c r="G6061" s="301"/>
      <c r="H6061" s="315"/>
      <c r="I6061" s="393"/>
      <c r="J6061" s="291"/>
      <c r="K6061" s="291"/>
      <c r="L6061" s="291"/>
      <c r="M6061" s="291"/>
      <c r="S6061" s="364"/>
      <c r="Z6061" s="609" t="s">
        <v>2014</v>
      </c>
      <c r="AA6061" s="609"/>
    </row>
    <row r="6062" spans="1:27" ht="18">
      <c r="A6062" s="2714">
        <v>7505</v>
      </c>
      <c r="B6062" s="371">
        <v>79.02</v>
      </c>
      <c r="C6062" s="2716" t="str">
        <f>VLOOKUP($A6062,Sheet_Items,2,0)</f>
        <v>固定资产折旧、油气资产折耗、生产性生物资产折旧</v>
      </c>
      <c r="D6062" s="371"/>
      <c r="E6062" s="2716" t="s">
        <v>2739</v>
      </c>
      <c r="F6062" s="294"/>
      <c r="G6062" s="536" t="str">
        <f>B6062&amp;" "&amp;C6062</f>
        <v>79.02 固定资产折旧、油气资产折耗、生产性生物资产折旧</v>
      </c>
      <c r="H6062" s="322"/>
      <c r="I6062" s="322"/>
      <c r="J6062" s="306" t="s">
        <v>4206</v>
      </c>
      <c r="K6062" s="341">
        <f>VLOOKUP($A6062,Sheet_Trialbal,6,0)</f>
        <v>63520.08</v>
      </c>
      <c r="L6062" s="342"/>
      <c r="M6062" s="306"/>
      <c r="N6062" s="341"/>
      <c r="O6062" s="306"/>
      <c r="P6062" s="301"/>
      <c r="S6062" s="364"/>
      <c r="Z6062" s="609" t="s">
        <v>2017</v>
      </c>
      <c r="AA6062" s="609"/>
    </row>
    <row r="6063" spans="1:27" ht="48">
      <c r="A6063" s="2714" t="s">
        <v>2015</v>
      </c>
      <c r="B6063" s="371">
        <v>1</v>
      </c>
      <c r="C6063" s="371"/>
      <c r="D6063" s="2716" t="str">
        <f>VLOOKUP($A6063,Sheet_NoteList,2,0)</f>
        <v>将净利润调节为经营活动现金流量：固定资产折旧、油气资产折耗、生产性生物资产折旧</v>
      </c>
      <c r="E6063" s="2716" t="s">
        <v>2742</v>
      </c>
      <c r="F6063" s="294"/>
      <c r="G6063" s="372" t="str">
        <f>"("&amp;B6063&amp;")"&amp;D6063</f>
        <v>(1)将净利润调节为经营活动现金流量：固定资产折旧、油气资产折耗、生产性生物资产折旧</v>
      </c>
      <c r="H6063" s="1517" t="str">
        <f>$A6063</f>
        <v>7505a</v>
      </c>
      <c r="I6063" s="343" t="s">
        <v>2743</v>
      </c>
      <c r="J6063" s="301" t="s">
        <v>4712</v>
      </c>
      <c r="K6063" s="2210">
        <f>H6071</f>
        <v>0</v>
      </c>
      <c r="L6063" s="345">
        <f>IF(ROUND(K6062-K6063,2)=0,"F/S",ROUND(K6062-K6063,2))</f>
        <v>63520.08</v>
      </c>
      <c r="M6063" s="532" t="s">
        <v>4713</v>
      </c>
      <c r="N6063" s="3071"/>
      <c r="O6063" s="315"/>
      <c r="P6063" s="301"/>
      <c r="S6063" s="364"/>
      <c r="Z6063" s="609" t="s">
        <v>2017</v>
      </c>
      <c r="AA6063" s="609"/>
    </row>
    <row r="6064" spans="1:27" ht="0.75" customHeight="1" thickBot="1">
      <c r="A6064" s="2714"/>
      <c r="B6064" s="371"/>
      <c r="C6064" s="371"/>
      <c r="D6064" s="371"/>
      <c r="F6064" s="294"/>
      <c r="G6064" s="294" t="s">
        <v>4792</v>
      </c>
      <c r="H6064" s="294" t="s">
        <v>3472</v>
      </c>
      <c r="I6064" s="294" t="s">
        <v>2821</v>
      </c>
      <c r="J6064" s="291"/>
      <c r="K6064" s="291"/>
      <c r="L6064" s="291"/>
      <c r="M6064" s="291"/>
      <c r="S6064" s="364"/>
      <c r="Z6064" s="609" t="s">
        <v>2017</v>
      </c>
      <c r="AA6064" s="609"/>
    </row>
    <row r="6065" spans="1:27" ht="18">
      <c r="A6065" s="2714"/>
      <c r="B6065" s="371"/>
      <c r="C6065" s="371"/>
      <c r="D6065" s="371"/>
      <c r="E6065" s="2716" t="s">
        <v>2749</v>
      </c>
      <c r="F6065" s="294"/>
      <c r="G6065" s="1564" t="s">
        <v>47</v>
      </c>
      <c r="H6065" s="1565" t="s">
        <v>2587</v>
      </c>
      <c r="I6065" s="1566" t="s">
        <v>2508</v>
      </c>
      <c r="J6065" s="291"/>
      <c r="K6065" s="291"/>
      <c r="L6065" s="291"/>
      <c r="M6065" s="291"/>
      <c r="S6065" s="364"/>
      <c r="Z6065" s="609" t="s">
        <v>2017</v>
      </c>
      <c r="AA6065" s="609"/>
    </row>
    <row r="6066" spans="1:27" ht="18">
      <c r="A6066" s="2714"/>
      <c r="B6066" s="371">
        <v>101</v>
      </c>
      <c r="C6066" s="371"/>
      <c r="D6066" s="2716">
        <f t="shared" ref="D6066:D6071" si="640">IF(OR(G6066="*",G6066="",G6066=0),0,COUNTIF($G$6066:$G$6071,G6066))</f>
        <v>1</v>
      </c>
      <c r="E6066" s="2721">
        <v>1</v>
      </c>
      <c r="F6066" s="294"/>
      <c r="G6066" s="308" t="s">
        <v>4793</v>
      </c>
      <c r="H6066" s="309"/>
      <c r="I6066" s="388"/>
      <c r="J6066" s="291"/>
      <c r="K6066" s="291"/>
      <c r="L6066" s="291"/>
      <c r="M6066" s="291"/>
      <c r="S6066" s="364"/>
      <c r="Z6066" s="609" t="s">
        <v>2017</v>
      </c>
      <c r="AA6066" s="609"/>
    </row>
    <row r="6067" spans="1:27" ht="18">
      <c r="A6067" s="2714"/>
      <c r="B6067" s="371">
        <v>102</v>
      </c>
      <c r="C6067" s="371"/>
      <c r="D6067" s="2716">
        <f t="shared" si="640"/>
        <v>1</v>
      </c>
      <c r="E6067" s="2721">
        <v>1</v>
      </c>
      <c r="F6067" s="294"/>
      <c r="G6067" s="308" t="s">
        <v>4794</v>
      </c>
      <c r="H6067" s="309"/>
      <c r="I6067" s="388"/>
      <c r="J6067" s="291"/>
      <c r="K6067" s="291"/>
      <c r="L6067" s="291"/>
      <c r="M6067" s="291"/>
      <c r="S6067" s="364"/>
      <c r="Z6067" s="609" t="s">
        <v>2017</v>
      </c>
      <c r="AA6067" s="609"/>
    </row>
    <row r="6068" spans="1:27" ht="24">
      <c r="A6068" s="2714"/>
      <c r="B6068" s="371">
        <v>103</v>
      </c>
      <c r="C6068" s="371"/>
      <c r="D6068" s="2716">
        <f t="shared" si="640"/>
        <v>1</v>
      </c>
      <c r="E6068" s="2721">
        <v>1</v>
      </c>
      <c r="F6068" s="294"/>
      <c r="G6068" s="308" t="s">
        <v>4795</v>
      </c>
      <c r="H6068" s="309"/>
      <c r="I6068" s="388"/>
      <c r="J6068" s="291"/>
      <c r="K6068" s="291"/>
      <c r="L6068" s="291"/>
      <c r="M6068" s="291"/>
      <c r="S6068" s="364"/>
      <c r="Z6068" s="609" t="s">
        <v>2017</v>
      </c>
      <c r="AA6068" s="609"/>
    </row>
    <row r="6069" spans="1:27" ht="18">
      <c r="A6069" s="2714"/>
      <c r="B6069" s="371">
        <v>104</v>
      </c>
      <c r="C6069" s="371" t="s">
        <v>2791</v>
      </c>
      <c r="D6069" s="2716">
        <f t="shared" si="640"/>
        <v>0</v>
      </c>
      <c r="E6069" s="2721">
        <v>1</v>
      </c>
      <c r="F6069" s="294"/>
      <c r="G6069" s="1563" t="s">
        <v>2792</v>
      </c>
      <c r="H6069" s="309"/>
      <c r="I6069" s="388"/>
      <c r="J6069" s="291"/>
      <c r="K6069" s="291"/>
      <c r="L6069" s="291"/>
      <c r="M6069" s="291"/>
      <c r="S6069" s="364"/>
      <c r="Z6069" s="609" t="s">
        <v>2017</v>
      </c>
      <c r="AA6069" s="609"/>
    </row>
    <row r="6070" spans="1:27" ht="18">
      <c r="A6070" s="2714"/>
      <c r="B6070" s="371">
        <v>105</v>
      </c>
      <c r="C6070" s="371" t="s">
        <v>2791</v>
      </c>
      <c r="D6070" s="2716">
        <f t="shared" si="640"/>
        <v>0</v>
      </c>
      <c r="E6070" s="2721">
        <v>1</v>
      </c>
      <c r="F6070" s="294"/>
      <c r="G6070" s="1563" t="s">
        <v>2792</v>
      </c>
      <c r="H6070" s="309"/>
      <c r="I6070" s="388"/>
      <c r="J6070" s="291"/>
      <c r="K6070" s="291"/>
      <c r="L6070" s="291"/>
      <c r="M6070" s="291"/>
      <c r="S6070" s="364"/>
      <c r="Z6070" s="609" t="s">
        <v>2017</v>
      </c>
      <c r="AA6070" s="609"/>
    </row>
    <row r="6071" spans="1:27" ht="18.75" thickBot="1">
      <c r="A6071" s="2714"/>
      <c r="B6071" s="371"/>
      <c r="C6071" s="371"/>
      <c r="D6071" s="2716">
        <f t="shared" si="640"/>
        <v>1</v>
      </c>
      <c r="E6071" s="2721" t="s">
        <v>2751</v>
      </c>
      <c r="F6071" s="294"/>
      <c r="G6071" s="1529" t="s">
        <v>2752</v>
      </c>
      <c r="H6071" s="1527">
        <f>SUMPRODUCT($E6065:$E6070,H6065:H6070)</f>
        <v>0</v>
      </c>
      <c r="I6071" s="1571"/>
      <c r="J6071" s="291"/>
      <c r="K6071" s="291"/>
      <c r="L6071" s="291"/>
      <c r="M6071" s="291"/>
      <c r="S6071" s="364"/>
      <c r="Z6071" s="609" t="s">
        <v>2017</v>
      </c>
      <c r="AA6071" s="609"/>
    </row>
    <row r="6072" spans="1:27" ht="18">
      <c r="A6072" s="2714"/>
      <c r="B6072" s="371"/>
      <c r="C6072" s="371" t="s">
        <v>2755</v>
      </c>
      <c r="D6072" s="371"/>
      <c r="F6072" s="294"/>
      <c r="G6072" s="301"/>
      <c r="H6072" s="315"/>
      <c r="I6072" s="393"/>
      <c r="J6072" s="291"/>
      <c r="K6072" s="291"/>
      <c r="L6072" s="291"/>
      <c r="M6072" s="291"/>
      <c r="S6072" s="364"/>
      <c r="Z6072" s="609" t="s">
        <v>2017</v>
      </c>
      <c r="AA6072" s="609"/>
    </row>
    <row r="6073" spans="1:27" ht="18">
      <c r="A6073" s="2714">
        <v>7506</v>
      </c>
      <c r="B6073" s="371">
        <v>79.03</v>
      </c>
      <c r="C6073" s="2716" t="str">
        <f>VLOOKUP($A6073,Sheet_Items,2,0)</f>
        <v>无形资产摊销</v>
      </c>
      <c r="D6073" s="371"/>
      <c r="E6073" s="2716" t="s">
        <v>2739</v>
      </c>
      <c r="F6073" s="294"/>
      <c r="G6073" s="536" t="str">
        <f>B6073&amp;" "&amp;C6073</f>
        <v>79.03 无形资产摊销</v>
      </c>
      <c r="H6073" s="322"/>
      <c r="I6073" s="322"/>
      <c r="J6073" s="306" t="s">
        <v>4206</v>
      </c>
      <c r="K6073" s="341">
        <f>VLOOKUP($A6073,Sheet_Trialbal,6,0)</f>
        <v>77952.14</v>
      </c>
      <c r="L6073" s="342"/>
      <c r="M6073" s="306"/>
      <c r="N6073" s="341"/>
      <c r="O6073" s="306"/>
      <c r="P6073" s="301"/>
      <c r="S6073" s="364"/>
      <c r="Z6073" s="609" t="s">
        <v>2020</v>
      </c>
      <c r="AA6073" s="609"/>
    </row>
    <row r="6074" spans="1:27" ht="24">
      <c r="A6074" s="2714" t="s">
        <v>2018</v>
      </c>
      <c r="B6074" s="371">
        <v>1</v>
      </c>
      <c r="C6074" s="371"/>
      <c r="D6074" s="2716" t="str">
        <f>VLOOKUP($A6074,Sheet_NoteList,2,0)</f>
        <v>将净利润调节为经营活动现金流量：无形资产摊销</v>
      </c>
      <c r="E6074" s="2716" t="s">
        <v>2742</v>
      </c>
      <c r="F6074" s="294"/>
      <c r="G6074" s="372" t="str">
        <f>"("&amp;B6074&amp;")"&amp;D6074</f>
        <v>(1)将净利润调节为经营活动现金流量：无形资产摊销</v>
      </c>
      <c r="H6074" s="1517" t="str">
        <f>$A6074</f>
        <v>7506a</v>
      </c>
      <c r="I6074" s="343" t="s">
        <v>2743</v>
      </c>
      <c r="J6074" s="301" t="s">
        <v>4712</v>
      </c>
      <c r="K6074" s="2210">
        <f>H6080</f>
        <v>0</v>
      </c>
      <c r="L6074" s="345">
        <f>IF(ROUND(K6073-K6074,2)=0,"F/S",ROUND(K6073-K6074,2))</f>
        <v>77952.14</v>
      </c>
      <c r="M6074" s="532" t="s">
        <v>4713</v>
      </c>
      <c r="N6074" s="3071"/>
      <c r="O6074" s="315"/>
      <c r="P6074" s="301"/>
      <c r="S6074" s="364"/>
      <c r="Z6074" s="609" t="s">
        <v>2020</v>
      </c>
      <c r="AA6074" s="609"/>
    </row>
    <row r="6075" spans="1:27" ht="0.75" customHeight="1" thickBot="1">
      <c r="A6075" s="2714"/>
      <c r="B6075" s="371"/>
      <c r="C6075" s="371"/>
      <c r="D6075" s="371"/>
      <c r="F6075" s="294"/>
      <c r="G6075" s="294" t="s">
        <v>4796</v>
      </c>
      <c r="H6075" s="294" t="s">
        <v>3472</v>
      </c>
      <c r="I6075" s="294" t="s">
        <v>2821</v>
      </c>
      <c r="J6075" s="291"/>
      <c r="K6075" s="291"/>
      <c r="L6075" s="291"/>
      <c r="M6075" s="291"/>
      <c r="S6075" s="364"/>
      <c r="Z6075" s="609" t="s">
        <v>2020</v>
      </c>
      <c r="AA6075" s="609"/>
    </row>
    <row r="6076" spans="1:27" ht="18">
      <c r="A6076" s="2714"/>
      <c r="B6076" s="371"/>
      <c r="C6076" s="371"/>
      <c r="D6076" s="371"/>
      <c r="E6076" s="2716" t="s">
        <v>2749</v>
      </c>
      <c r="F6076" s="294"/>
      <c r="G6076" s="1564" t="s">
        <v>47</v>
      </c>
      <c r="H6076" s="1565" t="s">
        <v>2587</v>
      </c>
      <c r="I6076" s="1566" t="s">
        <v>2508</v>
      </c>
      <c r="J6076" s="291"/>
      <c r="K6076" s="291"/>
      <c r="L6076" s="291"/>
      <c r="M6076" s="291"/>
      <c r="S6076" s="364"/>
      <c r="Z6076" s="609" t="s">
        <v>2020</v>
      </c>
      <c r="AA6076" s="609"/>
    </row>
    <row r="6077" spans="1:27" ht="18">
      <c r="A6077" s="2714"/>
      <c r="B6077" s="371">
        <v>101</v>
      </c>
      <c r="C6077" s="371"/>
      <c r="D6077" s="2716">
        <f>IF(OR(G6077="*",G6077="",G6077=0),0,COUNTIF($G$6077:$G$6080,G6077))</f>
        <v>1</v>
      </c>
      <c r="E6077" s="2721">
        <v>1</v>
      </c>
      <c r="F6077" s="294"/>
      <c r="G6077" s="308" t="s">
        <v>4797</v>
      </c>
      <c r="H6077" s="309"/>
      <c r="I6077" s="388"/>
      <c r="J6077" s="291"/>
      <c r="K6077" s="291"/>
      <c r="L6077" s="291"/>
      <c r="M6077" s="291"/>
      <c r="S6077" s="364"/>
      <c r="Z6077" s="609" t="s">
        <v>2020</v>
      </c>
      <c r="AA6077" s="609"/>
    </row>
    <row r="6078" spans="1:27" ht="18">
      <c r="A6078" s="2714"/>
      <c r="B6078" s="371">
        <v>102</v>
      </c>
      <c r="C6078" s="371" t="s">
        <v>2791</v>
      </c>
      <c r="D6078" s="2716">
        <f>IF(OR(G6078="*",G6078="",G6078=0),0,COUNTIF($G$6077:$G$6080,G6078))</f>
        <v>0</v>
      </c>
      <c r="E6078" s="2721">
        <v>1</v>
      </c>
      <c r="F6078" s="294"/>
      <c r="G6078" s="1563" t="s">
        <v>2792</v>
      </c>
      <c r="H6078" s="309"/>
      <c r="I6078" s="388"/>
      <c r="J6078" s="291"/>
      <c r="K6078" s="291"/>
      <c r="L6078" s="291"/>
      <c r="M6078" s="291"/>
      <c r="S6078" s="364"/>
      <c r="Z6078" s="609" t="s">
        <v>2020</v>
      </c>
      <c r="AA6078" s="609"/>
    </row>
    <row r="6079" spans="1:27" ht="18">
      <c r="A6079" s="2714"/>
      <c r="B6079" s="371">
        <v>103</v>
      </c>
      <c r="C6079" s="371" t="s">
        <v>2791</v>
      </c>
      <c r="D6079" s="2716">
        <f>IF(OR(G6079="*",G6079="",G6079=0),0,COUNTIF($G$6077:$G$6080,G6079))</f>
        <v>0</v>
      </c>
      <c r="E6079" s="2721">
        <v>1</v>
      </c>
      <c r="F6079" s="294"/>
      <c r="G6079" s="1563" t="s">
        <v>2792</v>
      </c>
      <c r="H6079" s="309"/>
      <c r="I6079" s="388"/>
      <c r="J6079" s="291"/>
      <c r="K6079" s="291"/>
      <c r="L6079" s="291"/>
      <c r="M6079" s="291"/>
      <c r="S6079" s="364"/>
      <c r="Z6079" s="609" t="s">
        <v>2020</v>
      </c>
      <c r="AA6079" s="609"/>
    </row>
    <row r="6080" spans="1:27" ht="18.75" thickBot="1">
      <c r="A6080" s="2714"/>
      <c r="B6080" s="371"/>
      <c r="C6080" s="371"/>
      <c r="D6080" s="2716">
        <f>IF(OR(G6080="*",G6080="",G6080=0),0,COUNTIF($G$6077:$G$6080,G6080))</f>
        <v>1</v>
      </c>
      <c r="E6080" s="2721" t="s">
        <v>2751</v>
      </c>
      <c r="F6080" s="294"/>
      <c r="G6080" s="1529" t="s">
        <v>2752</v>
      </c>
      <c r="H6080" s="1527">
        <f>SUMPRODUCT($E6076:$E6079,H6076:H6079)</f>
        <v>0</v>
      </c>
      <c r="I6080" s="1571"/>
      <c r="J6080" s="291"/>
      <c r="K6080" s="291"/>
      <c r="L6080" s="291"/>
      <c r="M6080" s="291"/>
      <c r="S6080" s="364"/>
      <c r="Z6080" s="609" t="s">
        <v>2020</v>
      </c>
      <c r="AA6080" s="609"/>
    </row>
    <row r="6081" spans="1:27" ht="18">
      <c r="A6081" s="2714"/>
      <c r="B6081" s="371"/>
      <c r="C6081" s="371" t="s">
        <v>2755</v>
      </c>
      <c r="D6081" s="371"/>
      <c r="F6081" s="294"/>
      <c r="G6081" s="301"/>
      <c r="H6081" s="315"/>
      <c r="I6081" s="393"/>
      <c r="J6081" s="291"/>
      <c r="K6081" s="291"/>
      <c r="L6081" s="291"/>
      <c r="M6081" s="291"/>
      <c r="S6081" s="364"/>
      <c r="Z6081" s="609" t="s">
        <v>2020</v>
      </c>
      <c r="AA6081" s="609"/>
    </row>
    <row r="6082" spans="1:27" ht="18">
      <c r="A6082" s="2714">
        <v>7507</v>
      </c>
      <c r="B6082" s="371">
        <v>79.040000000000006</v>
      </c>
      <c r="C6082" s="2716" t="str">
        <f>VLOOKUP($A6082,Sheet_Items,2,0)</f>
        <v>长期待摊费用摊销</v>
      </c>
      <c r="D6082" s="371"/>
      <c r="E6082" s="2716" t="s">
        <v>2739</v>
      </c>
      <c r="F6082" s="294"/>
      <c r="G6082" s="536" t="str">
        <f>B6082&amp;" "&amp;C6082</f>
        <v>79.04 长期待摊费用摊销</v>
      </c>
      <c r="H6082" s="322"/>
      <c r="I6082" s="322"/>
      <c r="J6082" s="306" t="s">
        <v>4206</v>
      </c>
      <c r="K6082" s="341">
        <f>VLOOKUP($A6082,Sheet_Trialbal,6,0)</f>
        <v>380521.72</v>
      </c>
      <c r="L6082" s="342"/>
      <c r="M6082" s="306"/>
      <c r="N6082" s="341"/>
      <c r="O6082" s="306"/>
      <c r="P6082" s="301"/>
      <c r="S6082" s="364"/>
      <c r="Z6082" s="609" t="s">
        <v>2024</v>
      </c>
      <c r="AA6082" s="609"/>
    </row>
    <row r="6083" spans="1:27" ht="36">
      <c r="A6083" s="2714" t="s">
        <v>2022</v>
      </c>
      <c r="B6083" s="371">
        <v>1</v>
      </c>
      <c r="C6083" s="371"/>
      <c r="D6083" s="2716" t="str">
        <f>VLOOKUP($A6083,Sheet_NoteList,2,0)</f>
        <v>将净利润调节为经营活动现金流量：长期待摊费用摊销</v>
      </c>
      <c r="E6083" s="2716" t="s">
        <v>2742</v>
      </c>
      <c r="F6083" s="294"/>
      <c r="G6083" s="372" t="str">
        <f>"("&amp;B6083&amp;")"&amp;D6083</f>
        <v>(1)将净利润调节为经营活动现金流量：长期待摊费用摊销</v>
      </c>
      <c r="H6083" s="1517" t="str">
        <f>$A6083</f>
        <v>7507a</v>
      </c>
      <c r="I6083" s="343" t="s">
        <v>2743</v>
      </c>
      <c r="J6083" s="301" t="s">
        <v>4712</v>
      </c>
      <c r="K6083" s="2210">
        <f>H6089</f>
        <v>0</v>
      </c>
      <c r="L6083" s="345">
        <f>IF(ROUND(K6082-K6083,2)=0,"F/S",ROUND(K6082-K6083,2))</f>
        <v>380521.72</v>
      </c>
      <c r="M6083" s="532" t="s">
        <v>4713</v>
      </c>
      <c r="N6083" s="3071"/>
      <c r="O6083" s="315"/>
      <c r="P6083" s="301"/>
      <c r="S6083" s="364"/>
      <c r="Z6083" s="609" t="s">
        <v>2024</v>
      </c>
      <c r="AA6083" s="609"/>
    </row>
    <row r="6084" spans="1:27" ht="0.75" customHeight="1" thickBot="1">
      <c r="A6084" s="2714"/>
      <c r="B6084" s="371"/>
      <c r="C6084" s="371"/>
      <c r="D6084" s="371"/>
      <c r="F6084" s="294"/>
      <c r="G6084" s="294" t="s">
        <v>4798</v>
      </c>
      <c r="H6084" s="294" t="s">
        <v>3472</v>
      </c>
      <c r="I6084" s="294" t="s">
        <v>2821</v>
      </c>
      <c r="J6084" s="291"/>
      <c r="K6084" s="291"/>
      <c r="L6084" s="291"/>
      <c r="M6084" s="291"/>
      <c r="S6084" s="364"/>
      <c r="Z6084" s="609" t="s">
        <v>2024</v>
      </c>
      <c r="AA6084" s="609"/>
    </row>
    <row r="6085" spans="1:27" ht="18">
      <c r="A6085" s="2714"/>
      <c r="B6085" s="371"/>
      <c r="C6085" s="371"/>
      <c r="D6085" s="371"/>
      <c r="E6085" s="2716" t="s">
        <v>2749</v>
      </c>
      <c r="F6085" s="294"/>
      <c r="G6085" s="1564" t="s">
        <v>47</v>
      </c>
      <c r="H6085" s="1565" t="s">
        <v>2587</v>
      </c>
      <c r="I6085" s="1566" t="s">
        <v>2508</v>
      </c>
      <c r="J6085" s="291"/>
      <c r="K6085" s="291"/>
      <c r="L6085" s="291"/>
      <c r="M6085" s="291"/>
      <c r="S6085" s="364"/>
      <c r="Z6085" s="609" t="s">
        <v>2024</v>
      </c>
      <c r="AA6085" s="609"/>
    </row>
    <row r="6086" spans="1:27" ht="18">
      <c r="A6086" s="2714"/>
      <c r="B6086" s="371">
        <v>101</v>
      </c>
      <c r="C6086" s="371"/>
      <c r="D6086" s="2716">
        <f>IF(OR(G6086="*",G6086="",G6086=0),0,COUNTIF($G$6086:$G$6089,G6086))</f>
        <v>1</v>
      </c>
      <c r="E6086" s="2721">
        <v>1</v>
      </c>
      <c r="F6086" s="294"/>
      <c r="G6086" s="308" t="s">
        <v>4799</v>
      </c>
      <c r="H6086" s="309"/>
      <c r="I6086" s="388"/>
      <c r="J6086" s="291"/>
      <c r="K6086" s="291"/>
      <c r="L6086" s="291"/>
      <c r="M6086" s="291"/>
      <c r="S6086" s="364"/>
      <c r="Z6086" s="609" t="s">
        <v>2024</v>
      </c>
      <c r="AA6086" s="609"/>
    </row>
    <row r="6087" spans="1:27" ht="18">
      <c r="A6087" s="2714"/>
      <c r="B6087" s="371">
        <v>102</v>
      </c>
      <c r="C6087" s="371" t="s">
        <v>2791</v>
      </c>
      <c r="D6087" s="2716">
        <f>IF(OR(G6087="*",G6087="",G6087=0),0,COUNTIF($G$6086:$G$6089,G6087))</f>
        <v>0</v>
      </c>
      <c r="E6087" s="2721">
        <v>1</v>
      </c>
      <c r="F6087" s="294"/>
      <c r="G6087" s="1563" t="s">
        <v>2792</v>
      </c>
      <c r="H6087" s="309"/>
      <c r="I6087" s="388"/>
      <c r="J6087" s="291"/>
      <c r="K6087" s="291"/>
      <c r="L6087" s="291"/>
      <c r="M6087" s="291"/>
      <c r="S6087" s="364"/>
      <c r="Z6087" s="609" t="s">
        <v>2024</v>
      </c>
      <c r="AA6087" s="609"/>
    </row>
    <row r="6088" spans="1:27" ht="18">
      <c r="A6088" s="2714"/>
      <c r="B6088" s="371">
        <v>103</v>
      </c>
      <c r="C6088" s="371" t="s">
        <v>2791</v>
      </c>
      <c r="D6088" s="2716">
        <f>IF(OR(G6088="*",G6088="",G6088=0),0,COUNTIF($G$6086:$G$6089,G6088))</f>
        <v>0</v>
      </c>
      <c r="E6088" s="2721">
        <v>1</v>
      </c>
      <c r="F6088" s="294"/>
      <c r="G6088" s="1563" t="s">
        <v>2792</v>
      </c>
      <c r="H6088" s="309"/>
      <c r="I6088" s="388"/>
      <c r="J6088" s="291"/>
      <c r="K6088" s="291"/>
      <c r="L6088" s="291"/>
      <c r="M6088" s="291"/>
      <c r="S6088" s="364"/>
      <c r="Z6088" s="609" t="s">
        <v>2024</v>
      </c>
      <c r="AA6088" s="609"/>
    </row>
    <row r="6089" spans="1:27" ht="18.75" thickBot="1">
      <c r="A6089" s="2714"/>
      <c r="B6089" s="371"/>
      <c r="C6089" s="371"/>
      <c r="D6089" s="2716">
        <f>IF(OR(G6089="*",G6089="",G6089=0),0,COUNTIF($G$6086:$G$6089,G6089))</f>
        <v>1</v>
      </c>
      <c r="E6089" s="2721" t="s">
        <v>2751</v>
      </c>
      <c r="F6089" s="294"/>
      <c r="G6089" s="1529" t="s">
        <v>2752</v>
      </c>
      <c r="H6089" s="1527">
        <f>SUMPRODUCT($E6085:$E6088,H6085:H6088)</f>
        <v>0</v>
      </c>
      <c r="I6089" s="1571"/>
      <c r="J6089" s="291"/>
      <c r="K6089" s="291"/>
      <c r="L6089" s="291"/>
      <c r="M6089" s="291"/>
      <c r="S6089" s="364"/>
      <c r="Z6089" s="609" t="s">
        <v>2024</v>
      </c>
      <c r="AA6089" s="609"/>
    </row>
    <row r="6090" spans="1:27" ht="18">
      <c r="A6090" s="2714"/>
      <c r="B6090" s="371"/>
      <c r="C6090" s="371" t="s">
        <v>2755</v>
      </c>
      <c r="D6090" s="371"/>
      <c r="F6090" s="294"/>
      <c r="G6090" s="301"/>
      <c r="H6090" s="315"/>
      <c r="I6090" s="393"/>
      <c r="J6090" s="291"/>
      <c r="K6090" s="291"/>
      <c r="L6090" s="291"/>
      <c r="M6090" s="291"/>
      <c r="S6090" s="364"/>
      <c r="Z6090" s="609" t="s">
        <v>2024</v>
      </c>
      <c r="AA6090" s="609"/>
    </row>
    <row r="6091" spans="1:27" ht="18">
      <c r="A6091" s="2714">
        <v>7508</v>
      </c>
      <c r="B6091" s="371">
        <v>79.05</v>
      </c>
      <c r="C6091" s="2716" t="str">
        <f>VLOOKUP($A6091,Sheet_Items,2,0)</f>
        <v>处置固定资产、无形资产和其他长期资产的损失</v>
      </c>
      <c r="D6091" s="371"/>
      <c r="E6091" s="2716" t="s">
        <v>2739</v>
      </c>
      <c r="F6091" s="294"/>
      <c r="G6091" s="536" t="str">
        <f>B6091&amp;" "&amp;C6091</f>
        <v>79.05 处置固定资产、无形资产和其他长期资产的损失</v>
      </c>
      <c r="H6091" s="322"/>
      <c r="I6091" s="322"/>
      <c r="J6091" s="306" t="s">
        <v>4206</v>
      </c>
      <c r="K6091" s="341">
        <f>VLOOKUP($A6091,Sheet_Trialbal,6,0)</f>
        <v>0</v>
      </c>
      <c r="L6091" s="342"/>
      <c r="M6091" s="306"/>
      <c r="N6091" s="341"/>
      <c r="O6091" s="306"/>
      <c r="P6091" s="301"/>
      <c r="S6091" s="364"/>
      <c r="Z6091" s="609" t="s">
        <v>2028</v>
      </c>
      <c r="AA6091" s="609"/>
    </row>
    <row r="6092" spans="1:27" ht="48">
      <c r="A6092" s="2714" t="s">
        <v>2026</v>
      </c>
      <c r="B6092" s="371">
        <v>1</v>
      </c>
      <c r="C6092" s="371"/>
      <c r="D6092" s="2716" t="str">
        <f>VLOOKUP($A6092,Sheet_NoteList,2,0)</f>
        <v>将净利润调节为经营活动现金流量：处置固定资产、无形资产和其他长期资产的损失</v>
      </c>
      <c r="E6092" s="2716" t="s">
        <v>2742</v>
      </c>
      <c r="F6092" s="294"/>
      <c r="G6092" s="372" t="str">
        <f>"("&amp;B6092&amp;")"&amp;D6092</f>
        <v>(1)将净利润调节为经营活动现金流量：处置固定资产、无形资产和其他长期资产的损失</v>
      </c>
      <c r="H6092" s="1517" t="str">
        <f>$A6092</f>
        <v>7508a</v>
      </c>
      <c r="I6092" s="343" t="s">
        <v>2743</v>
      </c>
      <c r="J6092" s="301" t="s">
        <v>4712</v>
      </c>
      <c r="K6092" s="2210">
        <f>H6103</f>
        <v>0</v>
      </c>
      <c r="L6092" s="345" t="str">
        <f>IF(ROUND(K6091-K6092,2)=0,"F/S",ROUND(K6091-K6092,2))</f>
        <v>F/S</v>
      </c>
      <c r="M6092" s="532" t="s">
        <v>4713</v>
      </c>
      <c r="N6092" s="3071"/>
      <c r="O6092" s="315"/>
      <c r="P6092" s="301"/>
      <c r="S6092" s="364"/>
      <c r="Z6092" s="609" t="s">
        <v>2028</v>
      </c>
      <c r="AA6092" s="609"/>
    </row>
    <row r="6093" spans="1:27" ht="0.75" customHeight="1" thickBot="1">
      <c r="A6093" s="2714"/>
      <c r="B6093" s="371"/>
      <c r="C6093" s="371"/>
      <c r="D6093" s="371"/>
      <c r="F6093" s="294"/>
      <c r="G6093" s="294" t="s">
        <v>4800</v>
      </c>
      <c r="H6093" s="294" t="s">
        <v>3472</v>
      </c>
      <c r="I6093" s="294" t="s">
        <v>2821</v>
      </c>
      <c r="J6093" s="291"/>
      <c r="K6093" s="291"/>
      <c r="L6093" s="291"/>
      <c r="M6093" s="291"/>
      <c r="S6093" s="364"/>
      <c r="Z6093" s="609" t="s">
        <v>2028</v>
      </c>
      <c r="AA6093" s="609"/>
    </row>
    <row r="6094" spans="1:27" ht="18">
      <c r="A6094" s="2714"/>
      <c r="B6094" s="371"/>
      <c r="C6094" s="371"/>
      <c r="D6094" s="371"/>
      <c r="E6094" s="2716" t="s">
        <v>2749</v>
      </c>
      <c r="F6094" s="294"/>
      <c r="G6094" s="1594" t="s">
        <v>47</v>
      </c>
      <c r="H6094" s="1592" t="s">
        <v>2587</v>
      </c>
      <c r="I6094" s="1593" t="s">
        <v>2508</v>
      </c>
      <c r="J6094" s="291"/>
      <c r="K6094" s="291"/>
      <c r="L6094" s="291"/>
      <c r="M6094" s="291"/>
      <c r="S6094" s="364"/>
      <c r="Z6094" s="609" t="s">
        <v>2028</v>
      </c>
      <c r="AA6094" s="609"/>
    </row>
    <row r="6095" spans="1:27" ht="18">
      <c r="A6095" s="2714"/>
      <c r="B6095" s="371">
        <v>101</v>
      </c>
      <c r="C6095" s="371" t="s">
        <v>2791</v>
      </c>
      <c r="D6095" s="2716">
        <f t="shared" ref="D6095:D6103" si="641">IF(OR(G6095="*",G6095="",G6095=0),0,COUNTIF($G$6095:$G$6103,G6095))</f>
        <v>0</v>
      </c>
      <c r="E6095" s="2721">
        <v>1</v>
      </c>
      <c r="F6095" s="294"/>
      <c r="G6095" s="1591" t="s">
        <v>2792</v>
      </c>
      <c r="H6095" s="309"/>
      <c r="I6095" s="388"/>
      <c r="J6095" s="291"/>
      <c r="K6095" s="291"/>
      <c r="L6095" s="291"/>
      <c r="M6095" s="291"/>
      <c r="S6095" s="364"/>
      <c r="Z6095" s="609" t="s">
        <v>2028</v>
      </c>
      <c r="AA6095" s="609"/>
    </row>
    <row r="6096" spans="1:27" ht="18">
      <c r="A6096" s="2714"/>
      <c r="B6096" s="371">
        <v>102</v>
      </c>
      <c r="C6096" s="371" t="s">
        <v>2791</v>
      </c>
      <c r="D6096" s="2716">
        <f t="shared" si="641"/>
        <v>0</v>
      </c>
      <c r="E6096" s="2721">
        <v>1</v>
      </c>
      <c r="F6096" s="294"/>
      <c r="G6096" s="1591" t="s">
        <v>2792</v>
      </c>
      <c r="H6096" s="309"/>
      <c r="I6096" s="388"/>
      <c r="J6096" s="291"/>
      <c r="K6096" s="291"/>
      <c r="L6096" s="291"/>
      <c r="M6096" s="291"/>
      <c r="S6096" s="364"/>
      <c r="Z6096" s="609" t="s">
        <v>2028</v>
      </c>
      <c r="AA6096" s="609"/>
    </row>
    <row r="6097" spans="1:27" ht="24">
      <c r="A6097" s="2714"/>
      <c r="B6097" s="371">
        <v>103</v>
      </c>
      <c r="C6097" s="371"/>
      <c r="D6097" s="2716">
        <f t="shared" si="641"/>
        <v>1</v>
      </c>
      <c r="E6097" s="2721">
        <v>-1</v>
      </c>
      <c r="F6097" s="294"/>
      <c r="G6097" s="308" t="s">
        <v>5522</v>
      </c>
      <c r="H6097" s="309"/>
      <c r="I6097" s="388"/>
      <c r="J6097" s="291"/>
      <c r="K6097" s="291"/>
      <c r="L6097" s="291"/>
      <c r="M6097" s="291"/>
      <c r="S6097" s="364"/>
      <c r="Z6097" s="609" t="s">
        <v>2028</v>
      </c>
      <c r="AA6097" s="609"/>
    </row>
    <row r="6098" spans="1:27" ht="24">
      <c r="A6098" s="2714"/>
      <c r="B6098" s="371">
        <v>104</v>
      </c>
      <c r="C6098" s="371"/>
      <c r="D6098" s="2716">
        <f t="shared" si="641"/>
        <v>1</v>
      </c>
      <c r="E6098" s="2721">
        <v>-1</v>
      </c>
      <c r="F6098" s="294"/>
      <c r="G6098" s="308" t="s">
        <v>5520</v>
      </c>
      <c r="H6098" s="309"/>
      <c r="I6098" s="388"/>
      <c r="J6098" s="291"/>
      <c r="K6098" s="291"/>
      <c r="L6098" s="291"/>
      <c r="M6098" s="291"/>
      <c r="S6098" s="364"/>
      <c r="Z6098" s="609" t="s">
        <v>2028</v>
      </c>
      <c r="AA6098" s="609"/>
    </row>
    <row r="6099" spans="1:27" ht="24">
      <c r="A6099" s="2714"/>
      <c r="B6099" s="371">
        <v>105</v>
      </c>
      <c r="C6099" s="371"/>
      <c r="D6099" s="2716">
        <f t="shared" si="641"/>
        <v>1</v>
      </c>
      <c r="E6099" s="2721">
        <v>-1</v>
      </c>
      <c r="F6099" s="294"/>
      <c r="G6099" s="308" t="s">
        <v>5521</v>
      </c>
      <c r="H6099" s="309"/>
      <c r="I6099" s="388"/>
      <c r="J6099" s="291"/>
      <c r="K6099" s="291"/>
      <c r="L6099" s="291"/>
      <c r="M6099" s="291"/>
      <c r="S6099" s="364"/>
      <c r="Z6099" s="609" t="s">
        <v>2028</v>
      </c>
      <c r="AA6099" s="609"/>
    </row>
    <row r="6100" spans="1:27" ht="18">
      <c r="A6100" s="2714"/>
      <c r="B6100" s="371">
        <v>106</v>
      </c>
      <c r="C6100" s="371" t="s">
        <v>2791</v>
      </c>
      <c r="D6100" s="2716">
        <f t="shared" si="641"/>
        <v>0</v>
      </c>
      <c r="E6100" s="2721">
        <v>-1</v>
      </c>
      <c r="F6100" s="294"/>
      <c r="G6100" s="1591" t="s">
        <v>2792</v>
      </c>
      <c r="H6100" s="309"/>
      <c r="I6100" s="388"/>
      <c r="J6100" s="291"/>
      <c r="K6100" s="291"/>
      <c r="L6100" s="291"/>
      <c r="M6100" s="291"/>
      <c r="S6100" s="364"/>
      <c r="Z6100" s="609" t="s">
        <v>2028</v>
      </c>
      <c r="AA6100" s="609"/>
    </row>
    <row r="6101" spans="1:27" ht="18">
      <c r="A6101" s="2714"/>
      <c r="B6101" s="371">
        <v>107</v>
      </c>
      <c r="C6101" s="371" t="s">
        <v>6533</v>
      </c>
      <c r="D6101" s="2716">
        <f t="shared" si="641"/>
        <v>0</v>
      </c>
      <c r="E6101" s="2721">
        <v>-1</v>
      </c>
      <c r="F6101" s="294"/>
      <c r="G6101" s="1591" t="s">
        <v>2792</v>
      </c>
      <c r="H6101" s="309"/>
      <c r="I6101" s="388"/>
      <c r="J6101" s="291"/>
      <c r="K6101" s="291"/>
      <c r="L6101" s="291"/>
      <c r="M6101" s="291"/>
      <c r="S6101" s="364"/>
      <c r="Z6101" s="609" t="s">
        <v>2028</v>
      </c>
      <c r="AA6101" s="609"/>
    </row>
    <row r="6102" spans="1:27" ht="18">
      <c r="A6102" s="2714"/>
      <c r="B6102" s="371">
        <v>108</v>
      </c>
      <c r="C6102" s="371" t="s">
        <v>6533</v>
      </c>
      <c r="D6102" s="2716">
        <f t="shared" si="641"/>
        <v>0</v>
      </c>
      <c r="E6102" s="2721">
        <v>-1</v>
      </c>
      <c r="F6102" s="294"/>
      <c r="G6102" s="1591" t="s">
        <v>2792</v>
      </c>
      <c r="H6102" s="309"/>
      <c r="I6102" s="388"/>
      <c r="J6102" s="291"/>
      <c r="K6102" s="291"/>
      <c r="L6102" s="291"/>
      <c r="M6102" s="291"/>
      <c r="S6102" s="364"/>
      <c r="Z6102" s="609" t="s">
        <v>2028</v>
      </c>
      <c r="AA6102" s="609"/>
    </row>
    <row r="6103" spans="1:27" ht="18.75" thickBot="1">
      <c r="A6103" s="2714"/>
      <c r="B6103" s="371"/>
      <c r="C6103" s="371"/>
      <c r="D6103" s="2716">
        <f t="shared" si="641"/>
        <v>1</v>
      </c>
      <c r="E6103" s="2721" t="s">
        <v>2751</v>
      </c>
      <c r="F6103" s="294"/>
      <c r="G6103" s="1529" t="s">
        <v>2752</v>
      </c>
      <c r="H6103" s="1527">
        <f>SUMPRODUCT($E6094:$E6102,H6094:H6102)</f>
        <v>0</v>
      </c>
      <c r="I6103" s="1571"/>
      <c r="J6103" s="291"/>
      <c r="K6103" s="291"/>
      <c r="L6103" s="291"/>
      <c r="M6103" s="291"/>
      <c r="S6103" s="364"/>
      <c r="Z6103" s="609" t="s">
        <v>2028</v>
      </c>
      <c r="AA6103" s="609"/>
    </row>
    <row r="6104" spans="1:27" ht="18">
      <c r="A6104" s="2714"/>
      <c r="B6104" s="371"/>
      <c r="C6104" s="371" t="s">
        <v>2755</v>
      </c>
      <c r="D6104" s="371"/>
      <c r="F6104" s="294"/>
      <c r="G6104" s="301"/>
      <c r="H6104" s="315"/>
      <c r="I6104" s="393"/>
      <c r="J6104" s="291"/>
      <c r="K6104" s="291"/>
      <c r="L6104" s="291"/>
      <c r="M6104" s="291"/>
      <c r="S6104" s="364"/>
      <c r="Z6104" s="609" t="s">
        <v>2028</v>
      </c>
      <c r="AA6104" s="609"/>
    </row>
    <row r="6105" spans="1:27" ht="18">
      <c r="A6105" s="2714">
        <v>7509</v>
      </c>
      <c r="B6105" s="371">
        <v>79.06</v>
      </c>
      <c r="C6105" s="2716" t="str">
        <f>VLOOKUP($A6105,Sheet_Items,2,0)</f>
        <v>固定资产报废损失</v>
      </c>
      <c r="D6105" s="371"/>
      <c r="E6105" s="2716" t="s">
        <v>2739</v>
      </c>
      <c r="F6105" s="294"/>
      <c r="G6105" s="536" t="str">
        <f>B6105&amp;" "&amp;C6105</f>
        <v>79.06 固定资产报废损失</v>
      </c>
      <c r="H6105" s="322"/>
      <c r="I6105" s="322"/>
      <c r="J6105" s="306" t="s">
        <v>4206</v>
      </c>
      <c r="K6105" s="341">
        <f>VLOOKUP($A6105,Sheet_Trialbal,6,0)</f>
        <v>0</v>
      </c>
      <c r="L6105" s="342"/>
      <c r="M6105" s="306"/>
      <c r="N6105" s="341"/>
      <c r="O6105" s="306"/>
      <c r="P6105" s="301"/>
      <c r="S6105" s="364"/>
      <c r="Z6105" s="609" t="s">
        <v>2032</v>
      </c>
      <c r="AA6105" s="609"/>
    </row>
    <row r="6106" spans="1:27" ht="36">
      <c r="A6106" s="2714" t="s">
        <v>2030</v>
      </c>
      <c r="B6106" s="371">
        <v>1</v>
      </c>
      <c r="C6106" s="371"/>
      <c r="D6106" s="2716" t="str">
        <f>VLOOKUP($A6106,Sheet_NoteList,2,0)</f>
        <v>将净利润调节为经营活动现金流量：固定资产报废损失</v>
      </c>
      <c r="E6106" s="2716" t="s">
        <v>2742</v>
      </c>
      <c r="F6106" s="294"/>
      <c r="G6106" s="372" t="str">
        <f>"("&amp;B6106&amp;")"&amp;D6106</f>
        <v>(1)将净利润调节为经营活动现金流量：固定资产报废损失</v>
      </c>
      <c r="H6106" s="1517" t="str">
        <f>$A6106</f>
        <v>7509a</v>
      </c>
      <c r="I6106" s="343" t="s">
        <v>2743</v>
      </c>
      <c r="J6106" s="301" t="s">
        <v>4712</v>
      </c>
      <c r="K6106" s="2210">
        <f>H6113</f>
        <v>0</v>
      </c>
      <c r="L6106" s="345" t="str">
        <f>IF(ROUND(K6105-K6106,2)=0,"F/S",ROUND(K6105-K6106,2))</f>
        <v>F/S</v>
      </c>
      <c r="M6106" s="532" t="s">
        <v>4713</v>
      </c>
      <c r="N6106" s="3071"/>
      <c r="O6106" s="315"/>
      <c r="P6106" s="301"/>
      <c r="S6106" s="364"/>
      <c r="Z6106" s="609" t="s">
        <v>2032</v>
      </c>
      <c r="AA6106" s="609"/>
    </row>
    <row r="6107" spans="1:27" ht="0.75" customHeight="1" thickBot="1">
      <c r="A6107" s="2714"/>
      <c r="B6107" s="371"/>
      <c r="C6107" s="371"/>
      <c r="D6107" s="371"/>
      <c r="F6107" s="294"/>
      <c r="G6107" s="294" t="s">
        <v>4807</v>
      </c>
      <c r="H6107" s="294" t="s">
        <v>3472</v>
      </c>
      <c r="I6107" s="294" t="s">
        <v>2821</v>
      </c>
      <c r="J6107" s="291"/>
      <c r="K6107" s="291"/>
      <c r="L6107" s="291"/>
      <c r="M6107" s="291"/>
      <c r="S6107" s="364"/>
      <c r="Z6107" s="609" t="s">
        <v>2032</v>
      </c>
      <c r="AA6107" s="609"/>
    </row>
    <row r="6108" spans="1:27" ht="18">
      <c r="A6108" s="2714"/>
      <c r="B6108" s="371"/>
      <c r="C6108" s="371"/>
      <c r="D6108" s="371"/>
      <c r="E6108" s="2716" t="s">
        <v>2749</v>
      </c>
      <c r="F6108" s="294"/>
      <c r="G6108" s="1564" t="s">
        <v>47</v>
      </c>
      <c r="H6108" s="1565" t="s">
        <v>2587</v>
      </c>
      <c r="I6108" s="1566" t="s">
        <v>2508</v>
      </c>
      <c r="J6108" s="291"/>
      <c r="K6108" s="291"/>
      <c r="L6108" s="291"/>
      <c r="M6108" s="291"/>
      <c r="S6108" s="364"/>
      <c r="Z6108" s="609" t="s">
        <v>2032</v>
      </c>
      <c r="AA6108" s="609"/>
    </row>
    <row r="6109" spans="1:27" ht="24">
      <c r="A6109" s="2714"/>
      <c r="B6109" s="371">
        <v>101</v>
      </c>
      <c r="C6109" s="371"/>
      <c r="D6109" s="2716">
        <f>IF(OR(G6109="*",G6109="",G6109=0),0,COUNTIF($G$6109:$G$6113,G6109))</f>
        <v>1</v>
      </c>
      <c r="E6109" s="2721">
        <v>1</v>
      </c>
      <c r="F6109" s="294"/>
      <c r="G6109" s="308" t="s">
        <v>4808</v>
      </c>
      <c r="H6109" s="309"/>
      <c r="I6109" s="388"/>
      <c r="J6109" s="291"/>
      <c r="K6109" s="291"/>
      <c r="L6109" s="291"/>
      <c r="M6109" s="291"/>
      <c r="S6109" s="364"/>
      <c r="Z6109" s="609" t="s">
        <v>2032</v>
      </c>
      <c r="AA6109" s="609"/>
    </row>
    <row r="6110" spans="1:27" ht="18">
      <c r="A6110" s="2714"/>
      <c r="B6110" s="371">
        <v>102</v>
      </c>
      <c r="C6110" s="371" t="s">
        <v>2791</v>
      </c>
      <c r="D6110" s="2716">
        <f>IF(OR(G6110="*",G6110="",G6110=0),0,COUNTIF($G$6109:$G$6113,G6110))</f>
        <v>0</v>
      </c>
      <c r="E6110" s="2721">
        <v>1</v>
      </c>
      <c r="F6110" s="294"/>
      <c r="G6110" s="1563" t="s">
        <v>2792</v>
      </c>
      <c r="H6110" s="309"/>
      <c r="I6110" s="388"/>
      <c r="J6110" s="291"/>
      <c r="K6110" s="291"/>
      <c r="L6110" s="291"/>
      <c r="M6110" s="291"/>
      <c r="S6110" s="364"/>
      <c r="Z6110" s="609" t="s">
        <v>2032</v>
      </c>
      <c r="AA6110" s="609"/>
    </row>
    <row r="6111" spans="1:27" ht="24">
      <c r="A6111" s="2714"/>
      <c r="B6111" s="371">
        <v>103</v>
      </c>
      <c r="C6111" s="371"/>
      <c r="D6111" s="2716">
        <f>IF(OR(G6111="*",G6111="",G6111=0),0,COUNTIF($G$6109:$G$6113,G6111))</f>
        <v>1</v>
      </c>
      <c r="E6111" s="2721">
        <v>-1</v>
      </c>
      <c r="F6111" s="294"/>
      <c r="G6111" s="308" t="s">
        <v>4809</v>
      </c>
      <c r="H6111" s="309"/>
      <c r="I6111" s="388"/>
      <c r="J6111" s="291"/>
      <c r="K6111" s="291"/>
      <c r="L6111" s="291"/>
      <c r="M6111" s="291"/>
      <c r="S6111" s="364"/>
      <c r="Z6111" s="609" t="s">
        <v>2032</v>
      </c>
      <c r="AA6111" s="609"/>
    </row>
    <row r="6112" spans="1:27" ht="18">
      <c r="A6112" s="2714"/>
      <c r="B6112" s="371">
        <v>104</v>
      </c>
      <c r="C6112" s="371" t="s">
        <v>2791</v>
      </c>
      <c r="D6112" s="2716">
        <f>IF(OR(G6112="*",G6112="",G6112=0),0,COUNTIF($G$6109:$G$6113,G6112))</f>
        <v>0</v>
      </c>
      <c r="E6112" s="2721">
        <v>-1</v>
      </c>
      <c r="F6112" s="294"/>
      <c r="G6112" s="1563" t="s">
        <v>2792</v>
      </c>
      <c r="H6112" s="309"/>
      <c r="I6112" s="388"/>
      <c r="J6112" s="291"/>
      <c r="K6112" s="291"/>
      <c r="L6112" s="291"/>
      <c r="M6112" s="291"/>
      <c r="S6112" s="364"/>
      <c r="Z6112" s="609" t="s">
        <v>2032</v>
      </c>
      <c r="AA6112" s="609"/>
    </row>
    <row r="6113" spans="1:27" ht="18.75" thickBot="1">
      <c r="A6113" s="2714"/>
      <c r="B6113" s="371"/>
      <c r="C6113" s="371"/>
      <c r="D6113" s="2716">
        <f>IF(OR(G6113="*",G6113="",G6113=0),0,COUNTIF($G$6109:$G$6113,G6113))</f>
        <v>1</v>
      </c>
      <c r="E6113" s="2721" t="s">
        <v>2751</v>
      </c>
      <c r="F6113" s="294"/>
      <c r="G6113" s="1529" t="s">
        <v>2752</v>
      </c>
      <c r="H6113" s="1527">
        <f>SUMPRODUCT($E6108:$E6112,H6108:H6112)</f>
        <v>0</v>
      </c>
      <c r="I6113" s="1571"/>
      <c r="J6113" s="291"/>
      <c r="K6113" s="291"/>
      <c r="L6113" s="291"/>
      <c r="M6113" s="291"/>
      <c r="S6113" s="364"/>
      <c r="Z6113" s="609" t="s">
        <v>2032</v>
      </c>
      <c r="AA6113" s="609"/>
    </row>
    <row r="6114" spans="1:27" ht="18">
      <c r="A6114" s="2714"/>
      <c r="B6114" s="371"/>
      <c r="C6114" s="371" t="s">
        <v>2755</v>
      </c>
      <c r="D6114" s="371"/>
      <c r="F6114" s="294"/>
      <c r="G6114" s="301"/>
      <c r="H6114" s="315"/>
      <c r="I6114" s="393"/>
      <c r="J6114" s="291"/>
      <c r="K6114" s="291"/>
      <c r="L6114" s="291"/>
      <c r="M6114" s="291"/>
      <c r="S6114" s="364"/>
      <c r="Z6114" s="609" t="s">
        <v>2032</v>
      </c>
      <c r="AA6114" s="609"/>
    </row>
    <row r="6115" spans="1:27" ht="18">
      <c r="A6115" s="2714">
        <v>7510</v>
      </c>
      <c r="B6115" s="371">
        <v>79.069999999999993</v>
      </c>
      <c r="C6115" s="2716" t="str">
        <f>VLOOKUP($A6115,Sheet_Items,2,0)</f>
        <v>公允价值变动损失</v>
      </c>
      <c r="D6115" s="371"/>
      <c r="E6115" s="2716" t="s">
        <v>2739</v>
      </c>
      <c r="F6115" s="294"/>
      <c r="G6115" s="536" t="str">
        <f>B6115&amp;" "&amp;C6115</f>
        <v>79.07 公允价值变动损失</v>
      </c>
      <c r="H6115" s="322"/>
      <c r="I6115" s="322"/>
      <c r="J6115" s="306" t="s">
        <v>4206</v>
      </c>
      <c r="K6115" s="341">
        <f>VLOOKUP($A6115,Sheet_Trialbal,6,0)</f>
        <v>0</v>
      </c>
      <c r="L6115" s="342"/>
      <c r="M6115" s="306"/>
      <c r="N6115" s="341"/>
      <c r="O6115" s="306"/>
      <c r="P6115" s="301"/>
      <c r="S6115" s="364"/>
      <c r="Z6115" s="609" t="s">
        <v>2037</v>
      </c>
      <c r="AA6115" s="609"/>
    </row>
    <row r="6116" spans="1:27" ht="36">
      <c r="A6116" s="2714" t="s">
        <v>2035</v>
      </c>
      <c r="B6116" s="371">
        <v>1</v>
      </c>
      <c r="C6116" s="371"/>
      <c r="D6116" s="2716" t="str">
        <f>VLOOKUP($A6116,Sheet_NoteList,2,0)</f>
        <v>将净利润调节为经营活动现金流量：公允价值变动损失</v>
      </c>
      <c r="E6116" s="2716" t="s">
        <v>2742</v>
      </c>
      <c r="F6116" s="294"/>
      <c r="G6116" s="372" t="str">
        <f>"("&amp;B6116&amp;")"&amp;D6116</f>
        <v>(1)将净利润调节为经营活动现金流量：公允价值变动损失</v>
      </c>
      <c r="H6116" s="1517" t="str">
        <f>$A6116</f>
        <v>7510a</v>
      </c>
      <c r="I6116" s="343" t="s">
        <v>2743</v>
      </c>
      <c r="J6116" s="301" t="s">
        <v>4712</v>
      </c>
      <c r="K6116" s="2210">
        <f>H6122</f>
        <v>0</v>
      </c>
      <c r="L6116" s="345" t="str">
        <f>IF(ROUND(K6115-K6116,2)=0,"F/S",ROUND(K6115-K6116,2))</f>
        <v>F/S</v>
      </c>
      <c r="M6116" s="532" t="s">
        <v>4713</v>
      </c>
      <c r="N6116" s="3071"/>
      <c r="O6116" s="315"/>
      <c r="P6116" s="301"/>
      <c r="S6116" s="364"/>
      <c r="Z6116" s="609" t="s">
        <v>2037</v>
      </c>
      <c r="AA6116" s="609"/>
    </row>
    <row r="6117" spans="1:27" ht="0.75" customHeight="1" thickBot="1">
      <c r="A6117" s="2714"/>
      <c r="B6117" s="371"/>
      <c r="C6117" s="371"/>
      <c r="D6117" s="371"/>
      <c r="F6117" s="294"/>
      <c r="G6117" s="294" t="s">
        <v>4810</v>
      </c>
      <c r="H6117" s="294" t="s">
        <v>3472</v>
      </c>
      <c r="I6117" s="294" t="s">
        <v>2821</v>
      </c>
      <c r="J6117" s="291"/>
      <c r="K6117" s="291"/>
      <c r="L6117" s="291"/>
      <c r="M6117" s="291"/>
      <c r="S6117" s="364"/>
      <c r="Z6117" s="609" t="s">
        <v>2037</v>
      </c>
      <c r="AA6117" s="609"/>
    </row>
    <row r="6118" spans="1:27" ht="18">
      <c r="A6118" s="2714"/>
      <c r="B6118" s="371"/>
      <c r="C6118" s="371"/>
      <c r="D6118" s="371"/>
      <c r="E6118" s="2716" t="s">
        <v>2749</v>
      </c>
      <c r="F6118" s="294"/>
      <c r="G6118" s="1564" t="s">
        <v>47</v>
      </c>
      <c r="H6118" s="1565" t="s">
        <v>2587</v>
      </c>
      <c r="I6118" s="1566" t="s">
        <v>2508</v>
      </c>
      <c r="J6118" s="291"/>
      <c r="K6118" s="291"/>
      <c r="L6118" s="291"/>
      <c r="M6118" s="291"/>
      <c r="S6118" s="364"/>
      <c r="Z6118" s="609" t="s">
        <v>2037</v>
      </c>
      <c r="AA6118" s="609"/>
    </row>
    <row r="6119" spans="1:27" ht="18">
      <c r="A6119" s="2714"/>
      <c r="B6119" s="371">
        <v>101</v>
      </c>
      <c r="C6119" s="371"/>
      <c r="D6119" s="2716">
        <f>IF(OR(G6119="*",G6119="",G6119=0),0,COUNTIF($G$6119:$G$6122,G6119))</f>
        <v>1</v>
      </c>
      <c r="E6119" s="2721">
        <v>1</v>
      </c>
      <c r="F6119" s="294"/>
      <c r="G6119" s="308" t="s">
        <v>4811</v>
      </c>
      <c r="H6119" s="309"/>
      <c r="I6119" s="388"/>
      <c r="J6119" s="291"/>
      <c r="K6119" s="291"/>
      <c r="L6119" s="291"/>
      <c r="M6119" s="291"/>
      <c r="S6119" s="364"/>
      <c r="Z6119" s="609" t="s">
        <v>2037</v>
      </c>
      <c r="AA6119" s="609"/>
    </row>
    <row r="6120" spans="1:27" ht="18">
      <c r="A6120" s="2714"/>
      <c r="B6120" s="371">
        <v>102</v>
      </c>
      <c r="C6120" s="371" t="s">
        <v>2791</v>
      </c>
      <c r="D6120" s="2716">
        <f>IF(OR(G6120="*",G6120="",G6120=0),0,COUNTIF($G$6119:$G$6122,G6120))</f>
        <v>0</v>
      </c>
      <c r="E6120" s="2721">
        <v>1</v>
      </c>
      <c r="F6120" s="294"/>
      <c r="G6120" s="1563" t="s">
        <v>2792</v>
      </c>
      <c r="H6120" s="309"/>
      <c r="I6120" s="388"/>
      <c r="J6120" s="291"/>
      <c r="K6120" s="291"/>
      <c r="L6120" s="291"/>
      <c r="M6120" s="291"/>
      <c r="S6120" s="364"/>
      <c r="Z6120" s="609" t="s">
        <v>2037</v>
      </c>
      <c r="AA6120" s="609"/>
    </row>
    <row r="6121" spans="1:27" ht="18">
      <c r="A6121" s="2714"/>
      <c r="B6121" s="371">
        <v>103</v>
      </c>
      <c r="C6121" s="371" t="s">
        <v>2791</v>
      </c>
      <c r="D6121" s="2716">
        <f>IF(OR(G6121="*",G6121="",G6121=0),0,COUNTIF($G$6119:$G$6122,G6121))</f>
        <v>0</v>
      </c>
      <c r="E6121" s="2721">
        <v>1</v>
      </c>
      <c r="F6121" s="294"/>
      <c r="G6121" s="1563" t="s">
        <v>2792</v>
      </c>
      <c r="H6121" s="309"/>
      <c r="I6121" s="388"/>
      <c r="J6121" s="291"/>
      <c r="K6121" s="291"/>
      <c r="L6121" s="291"/>
      <c r="M6121" s="291"/>
      <c r="S6121" s="364"/>
      <c r="Z6121" s="609" t="s">
        <v>2037</v>
      </c>
      <c r="AA6121" s="609"/>
    </row>
    <row r="6122" spans="1:27" ht="18.75" thickBot="1">
      <c r="A6122" s="2714"/>
      <c r="B6122" s="371"/>
      <c r="C6122" s="371"/>
      <c r="D6122" s="2716">
        <f>IF(OR(G6122="*",G6122="",G6122=0),0,COUNTIF($G$6119:$G$6122,G6122))</f>
        <v>1</v>
      </c>
      <c r="E6122" s="2721" t="s">
        <v>2751</v>
      </c>
      <c r="F6122" s="294"/>
      <c r="G6122" s="1529" t="s">
        <v>2752</v>
      </c>
      <c r="H6122" s="1527">
        <f>SUMPRODUCT($E6118:$E6121,H6118:H6121)</f>
        <v>0</v>
      </c>
      <c r="I6122" s="1571"/>
      <c r="J6122" s="291"/>
      <c r="K6122" s="291"/>
      <c r="L6122" s="291"/>
      <c r="M6122" s="291"/>
      <c r="S6122" s="364"/>
      <c r="Z6122" s="609" t="s">
        <v>2037</v>
      </c>
      <c r="AA6122" s="609"/>
    </row>
    <row r="6123" spans="1:27" ht="18">
      <c r="A6123" s="2714"/>
      <c r="B6123" s="371"/>
      <c r="C6123" s="371" t="s">
        <v>2755</v>
      </c>
      <c r="D6123" s="371"/>
      <c r="F6123" s="294"/>
      <c r="G6123" s="301"/>
      <c r="H6123" s="315"/>
      <c r="I6123" s="393"/>
      <c r="J6123" s="291"/>
      <c r="K6123" s="291"/>
      <c r="L6123" s="291"/>
      <c r="M6123" s="291"/>
      <c r="S6123" s="364"/>
      <c r="Z6123" s="609" t="s">
        <v>2037</v>
      </c>
      <c r="AA6123" s="609"/>
    </row>
    <row r="6124" spans="1:27" ht="18">
      <c r="A6124" s="2714">
        <v>7511</v>
      </c>
      <c r="B6124" s="371">
        <v>79.08</v>
      </c>
      <c r="C6124" s="2716" t="str">
        <f>VLOOKUP($A6124,Sheet_Items,2,0)</f>
        <v>财务费用金额</v>
      </c>
      <c r="D6124" s="371"/>
      <c r="E6124" s="2716" t="s">
        <v>2739</v>
      </c>
      <c r="F6124" s="294"/>
      <c r="G6124" s="536" t="str">
        <f>B6124&amp;" "&amp;C6124</f>
        <v>79.08 财务费用金额</v>
      </c>
      <c r="H6124" s="322"/>
      <c r="I6124" s="322"/>
      <c r="J6124" s="306" t="s">
        <v>4206</v>
      </c>
      <c r="K6124" s="341">
        <f>VLOOKUP($A6124,Sheet_Trialbal,6,0)</f>
        <v>0</v>
      </c>
      <c r="L6124" s="342"/>
      <c r="M6124" s="306"/>
      <c r="N6124" s="341"/>
      <c r="O6124" s="306"/>
      <c r="P6124" s="301"/>
      <c r="S6124" s="364"/>
      <c r="Z6124" s="609" t="s">
        <v>2040</v>
      </c>
      <c r="AA6124" s="609"/>
    </row>
    <row r="6125" spans="1:27" ht="24">
      <c r="A6125" s="2714" t="s">
        <v>2038</v>
      </c>
      <c r="B6125" s="371">
        <v>1</v>
      </c>
      <c r="C6125" s="371"/>
      <c r="D6125" s="2716" t="str">
        <f>VLOOKUP($A6125,Sheet_NoteList,2,0)</f>
        <v>将净利润调节为经营活动现金流量：财务费用金额</v>
      </c>
      <c r="E6125" s="2716" t="s">
        <v>2742</v>
      </c>
      <c r="F6125" s="294"/>
      <c r="G6125" s="372" t="str">
        <f>"("&amp;B6125&amp;")"&amp;D6125</f>
        <v>(1)将净利润调节为经营活动现金流量：财务费用金额</v>
      </c>
      <c r="H6125" s="1517" t="str">
        <f>$A6125</f>
        <v>7511a</v>
      </c>
      <c r="I6125" s="343" t="s">
        <v>2743</v>
      </c>
      <c r="J6125" s="301" t="s">
        <v>4712</v>
      </c>
      <c r="K6125" s="2210">
        <f>H6133</f>
        <v>0</v>
      </c>
      <c r="L6125" s="345" t="str">
        <f>IF(ROUND(K6124-K6125,2)=0,"F/S",ROUND(K6124-K6125,2))</f>
        <v>F/S</v>
      </c>
      <c r="M6125" s="532" t="s">
        <v>4713</v>
      </c>
      <c r="N6125" s="3071"/>
      <c r="O6125" s="315"/>
      <c r="P6125" s="301"/>
      <c r="S6125" s="364"/>
      <c r="Z6125" s="609" t="s">
        <v>2040</v>
      </c>
      <c r="AA6125" s="609"/>
    </row>
    <row r="6126" spans="1:27" ht="0.75" customHeight="1" thickBot="1">
      <c r="A6126" s="2714"/>
      <c r="B6126" s="371"/>
      <c r="C6126" s="371"/>
      <c r="D6126" s="371"/>
      <c r="F6126" s="294"/>
      <c r="G6126" s="294" t="s">
        <v>4812</v>
      </c>
      <c r="H6126" s="294" t="s">
        <v>3472</v>
      </c>
      <c r="I6126" s="294" t="s">
        <v>2821</v>
      </c>
      <c r="J6126" s="291"/>
      <c r="K6126" s="291"/>
      <c r="L6126" s="291"/>
      <c r="M6126" s="291"/>
      <c r="S6126" s="364"/>
      <c r="Z6126" s="609" t="s">
        <v>2040</v>
      </c>
      <c r="AA6126" s="609"/>
    </row>
    <row r="6127" spans="1:27" ht="18">
      <c r="A6127" s="2714"/>
      <c r="B6127" s="371"/>
      <c r="C6127" s="371"/>
      <c r="D6127" s="371"/>
      <c r="E6127" s="2716" t="s">
        <v>2749</v>
      </c>
      <c r="F6127" s="294"/>
      <c r="G6127" s="1564" t="s">
        <v>47</v>
      </c>
      <c r="H6127" s="1565" t="s">
        <v>2587</v>
      </c>
      <c r="I6127" s="1566" t="s">
        <v>2508</v>
      </c>
      <c r="J6127" s="291"/>
      <c r="K6127" s="291"/>
      <c r="L6127" s="291"/>
      <c r="M6127" s="291"/>
      <c r="S6127" s="364"/>
      <c r="Z6127" s="609" t="s">
        <v>2040</v>
      </c>
      <c r="AA6127" s="609"/>
    </row>
    <row r="6128" spans="1:27" ht="18">
      <c r="A6128" s="2714"/>
      <c r="B6128" s="371">
        <v>101</v>
      </c>
      <c r="C6128" s="371"/>
      <c r="D6128" s="2716">
        <f t="shared" ref="D6128:D6133" si="642">IF(OR(G6128="*",G6128="",G6128=0),0,COUNTIF($G$6128:$G$6133,G6128))</f>
        <v>1</v>
      </c>
      <c r="E6128" s="2721">
        <v>1</v>
      </c>
      <c r="F6128" s="294"/>
      <c r="G6128" s="308" t="s">
        <v>771</v>
      </c>
      <c r="H6128" s="309"/>
      <c r="I6128" s="388"/>
      <c r="J6128" s="291"/>
      <c r="K6128" s="291"/>
      <c r="L6128" s="291"/>
      <c r="M6128" s="291"/>
      <c r="S6128" s="364"/>
      <c r="Z6128" s="609" t="s">
        <v>2040</v>
      </c>
      <c r="AA6128" s="609"/>
    </row>
    <row r="6129" spans="1:27" ht="18">
      <c r="A6129" s="2714"/>
      <c r="B6129" s="371">
        <v>102</v>
      </c>
      <c r="C6129" s="371"/>
      <c r="D6129" s="2716">
        <f t="shared" si="642"/>
        <v>1</v>
      </c>
      <c r="E6129" s="2721">
        <v>-1</v>
      </c>
      <c r="F6129" s="294"/>
      <c r="G6129" s="308" t="s">
        <v>4271</v>
      </c>
      <c r="H6129" s="309"/>
      <c r="I6129" s="388"/>
      <c r="J6129" s="291"/>
      <c r="K6129" s="291"/>
      <c r="L6129" s="291"/>
      <c r="M6129" s="291"/>
      <c r="S6129" s="364"/>
      <c r="Z6129" s="609" t="s">
        <v>2040</v>
      </c>
      <c r="AA6129" s="609"/>
    </row>
    <row r="6130" spans="1:27" ht="24">
      <c r="A6130" s="2714"/>
      <c r="B6130" s="371">
        <v>103</v>
      </c>
      <c r="C6130" s="371"/>
      <c r="D6130" s="2716">
        <f t="shared" si="642"/>
        <v>1</v>
      </c>
      <c r="E6130" s="2721">
        <v>1</v>
      </c>
      <c r="F6130" s="294"/>
      <c r="G6130" s="308" t="s">
        <v>4813</v>
      </c>
      <c r="H6130" s="309"/>
      <c r="I6130" s="388"/>
      <c r="J6130" s="291"/>
      <c r="K6130" s="291"/>
      <c r="L6130" s="291"/>
      <c r="M6130" s="291"/>
      <c r="S6130" s="364"/>
      <c r="Z6130" s="609" t="s">
        <v>2040</v>
      </c>
      <c r="AA6130" s="609"/>
    </row>
    <row r="6131" spans="1:27" ht="24">
      <c r="A6131" s="2714"/>
      <c r="B6131" s="371">
        <v>104</v>
      </c>
      <c r="C6131" s="371"/>
      <c r="D6131" s="2716">
        <f t="shared" si="642"/>
        <v>1</v>
      </c>
      <c r="E6131" s="2721">
        <v>1</v>
      </c>
      <c r="F6131" s="294"/>
      <c r="G6131" s="308" t="s">
        <v>4814</v>
      </c>
      <c r="H6131" s="309"/>
      <c r="I6131" s="388"/>
      <c r="J6131" s="291"/>
      <c r="K6131" s="291"/>
      <c r="L6131" s="291"/>
      <c r="M6131" s="291"/>
      <c r="S6131" s="364"/>
      <c r="Z6131" s="609" t="s">
        <v>2040</v>
      </c>
      <c r="AA6131" s="609"/>
    </row>
    <row r="6132" spans="1:27" ht="18">
      <c r="A6132" s="2714"/>
      <c r="B6132" s="371">
        <v>108</v>
      </c>
      <c r="C6132" s="371" t="s">
        <v>2791</v>
      </c>
      <c r="D6132" s="2716">
        <f t="shared" si="642"/>
        <v>0</v>
      </c>
      <c r="E6132" s="2721">
        <v>1</v>
      </c>
      <c r="F6132" s="294"/>
      <c r="G6132" s="1563" t="s">
        <v>2792</v>
      </c>
      <c r="H6132" s="309"/>
      <c r="I6132" s="388"/>
      <c r="J6132" s="291"/>
      <c r="K6132" s="291"/>
      <c r="L6132" s="291"/>
      <c r="M6132" s="291"/>
      <c r="S6132" s="364"/>
      <c r="Z6132" s="609" t="s">
        <v>2040</v>
      </c>
      <c r="AA6132" s="609"/>
    </row>
    <row r="6133" spans="1:27" ht="18.75" thickBot="1">
      <c r="A6133" s="2714"/>
      <c r="B6133" s="371"/>
      <c r="C6133" s="371"/>
      <c r="D6133" s="2716">
        <f t="shared" si="642"/>
        <v>1</v>
      </c>
      <c r="E6133" s="2721" t="s">
        <v>2751</v>
      </c>
      <c r="F6133" s="294"/>
      <c r="G6133" s="1529" t="s">
        <v>2752</v>
      </c>
      <c r="H6133" s="1527">
        <f>SUMPRODUCT($E6127:$E6132,H6127:H6132)</f>
        <v>0</v>
      </c>
      <c r="I6133" s="1571"/>
      <c r="J6133" s="532"/>
      <c r="K6133" s="291"/>
      <c r="L6133" s="291"/>
      <c r="M6133" s="291"/>
      <c r="S6133" s="364"/>
      <c r="Z6133" s="609" t="s">
        <v>2040</v>
      </c>
      <c r="AA6133" s="609"/>
    </row>
    <row r="6134" spans="1:27" ht="18">
      <c r="A6134" s="2714"/>
      <c r="B6134" s="371"/>
      <c r="C6134" s="371" t="s">
        <v>2755</v>
      </c>
      <c r="D6134" s="371"/>
      <c r="F6134" s="294"/>
      <c r="G6134" s="301"/>
      <c r="H6134" s="315"/>
      <c r="I6134" s="393"/>
      <c r="J6134" s="291"/>
      <c r="K6134" s="291"/>
      <c r="L6134" s="291"/>
      <c r="M6134" s="291"/>
      <c r="S6134" s="364"/>
      <c r="Z6134" s="609" t="s">
        <v>2040</v>
      </c>
      <c r="AA6134" s="609"/>
    </row>
    <row r="6135" spans="1:27" ht="18">
      <c r="A6135" s="2714">
        <v>7512</v>
      </c>
      <c r="B6135" s="371">
        <v>79.09</v>
      </c>
      <c r="C6135" s="2716" t="str">
        <f>VLOOKUP($A6135,Sheet_Items,2,0)</f>
        <v>投资损失</v>
      </c>
      <c r="D6135" s="371"/>
      <c r="E6135" s="2716" t="s">
        <v>2739</v>
      </c>
      <c r="F6135" s="294"/>
      <c r="G6135" s="536" t="str">
        <f>B6135&amp;" "&amp;C6135</f>
        <v>79.09 投资损失</v>
      </c>
      <c r="H6135" s="322"/>
      <c r="I6135" s="322"/>
      <c r="J6135" s="306" t="s">
        <v>4206</v>
      </c>
      <c r="K6135" s="341">
        <f>VLOOKUP($A6135,Sheet_Trialbal,6,0)</f>
        <v>0</v>
      </c>
      <c r="L6135" s="342"/>
      <c r="M6135" s="306"/>
      <c r="N6135" s="341"/>
      <c r="O6135" s="306"/>
      <c r="P6135" s="301"/>
      <c r="S6135" s="364"/>
      <c r="Z6135" s="609" t="s">
        <v>2044</v>
      </c>
      <c r="AA6135" s="609"/>
    </row>
    <row r="6136" spans="1:27" ht="24">
      <c r="A6136" s="2714" t="s">
        <v>2042</v>
      </c>
      <c r="B6136" s="371">
        <v>1</v>
      </c>
      <c r="C6136" s="371"/>
      <c r="D6136" s="2716" t="str">
        <f>VLOOKUP($A6136,Sheet_NoteList,2,0)</f>
        <v>将净利润调节为经营活动现金流量：投资损失</v>
      </c>
      <c r="E6136" s="2716" t="s">
        <v>2742</v>
      </c>
      <c r="F6136" s="294"/>
      <c r="G6136" s="372" t="str">
        <f>"("&amp;B6136&amp;")"&amp;D6136</f>
        <v>(1)将净利润调节为经营活动现金流量：投资损失</v>
      </c>
      <c r="H6136" s="1517" t="str">
        <f>$A6136</f>
        <v>7512a</v>
      </c>
      <c r="I6136" s="343" t="s">
        <v>2743</v>
      </c>
      <c r="J6136" s="301" t="s">
        <v>4712</v>
      </c>
      <c r="K6136" s="2210">
        <f>H6142</f>
        <v>0</v>
      </c>
      <c r="L6136" s="345" t="str">
        <f>IF(ROUND(K6135-K6136,2)=0,"F/S",ROUND(K6135-K6136,2))</f>
        <v>F/S</v>
      </c>
      <c r="M6136" s="532" t="s">
        <v>4713</v>
      </c>
      <c r="N6136" s="3071"/>
      <c r="O6136" s="315"/>
      <c r="P6136" s="301"/>
      <c r="S6136" s="364"/>
      <c r="Z6136" s="609" t="s">
        <v>2044</v>
      </c>
      <c r="AA6136" s="609"/>
    </row>
    <row r="6137" spans="1:27" ht="0.75" customHeight="1" thickBot="1">
      <c r="A6137" s="2714"/>
      <c r="B6137" s="371"/>
      <c r="C6137" s="371"/>
      <c r="D6137" s="371"/>
      <c r="F6137" s="294"/>
      <c r="G6137" s="294" t="s">
        <v>4815</v>
      </c>
      <c r="H6137" s="294" t="s">
        <v>3472</v>
      </c>
      <c r="I6137" s="294" t="s">
        <v>2821</v>
      </c>
      <c r="J6137" s="291"/>
      <c r="K6137" s="291"/>
      <c r="L6137" s="291"/>
      <c r="M6137" s="291"/>
      <c r="S6137" s="364"/>
      <c r="Z6137" s="609" t="s">
        <v>2044</v>
      </c>
      <c r="AA6137" s="609"/>
    </row>
    <row r="6138" spans="1:27" ht="18">
      <c r="A6138" s="2714"/>
      <c r="B6138" s="371"/>
      <c r="C6138" s="371"/>
      <c r="D6138" s="371"/>
      <c r="E6138" s="2716" t="s">
        <v>2749</v>
      </c>
      <c r="F6138" s="294"/>
      <c r="G6138" s="1564" t="s">
        <v>47</v>
      </c>
      <c r="H6138" s="1565" t="s">
        <v>2587</v>
      </c>
      <c r="I6138" s="1566" t="s">
        <v>2508</v>
      </c>
      <c r="J6138" s="291"/>
      <c r="K6138" s="291"/>
      <c r="L6138" s="291"/>
      <c r="M6138" s="291"/>
      <c r="S6138" s="364"/>
      <c r="Z6138" s="609" t="s">
        <v>2044</v>
      </c>
      <c r="AA6138" s="609"/>
    </row>
    <row r="6139" spans="1:27" ht="18">
      <c r="A6139" s="2714"/>
      <c r="B6139" s="371">
        <v>101</v>
      </c>
      <c r="C6139" s="371"/>
      <c r="D6139" s="2716">
        <f>IF(OR(G6139="*",G6139="",G6139=0),0,COUNTIF($G$6139:$G$6142,G6139))</f>
        <v>1</v>
      </c>
      <c r="E6139" s="2721">
        <v>1</v>
      </c>
      <c r="F6139" s="294"/>
      <c r="G6139" s="308" t="s">
        <v>843</v>
      </c>
      <c r="H6139" s="309"/>
      <c r="I6139" s="388"/>
      <c r="J6139" s="291"/>
      <c r="K6139" s="291"/>
      <c r="L6139" s="291"/>
      <c r="M6139" s="291"/>
      <c r="S6139" s="364"/>
      <c r="Z6139" s="609" t="s">
        <v>2044</v>
      </c>
      <c r="AA6139" s="609"/>
    </row>
    <row r="6140" spans="1:27" ht="18">
      <c r="A6140" s="2714"/>
      <c r="B6140" s="371">
        <v>102</v>
      </c>
      <c r="C6140" s="371" t="s">
        <v>2791</v>
      </c>
      <c r="D6140" s="2716">
        <f>IF(OR(G6140="*",G6140="",G6140=0),0,COUNTIF($G$6139:$G$6142,G6140))</f>
        <v>0</v>
      </c>
      <c r="E6140" s="2721">
        <v>1</v>
      </c>
      <c r="F6140" s="294"/>
      <c r="G6140" s="1563" t="s">
        <v>2792</v>
      </c>
      <c r="H6140" s="309"/>
      <c r="I6140" s="388"/>
      <c r="J6140" s="291"/>
      <c r="K6140" s="291"/>
      <c r="L6140" s="291"/>
      <c r="M6140" s="291"/>
      <c r="S6140" s="364"/>
      <c r="Z6140" s="609" t="s">
        <v>2044</v>
      </c>
      <c r="AA6140" s="609"/>
    </row>
    <row r="6141" spans="1:27" ht="18">
      <c r="A6141" s="2714"/>
      <c r="B6141" s="371">
        <v>103</v>
      </c>
      <c r="C6141" s="371" t="s">
        <v>2791</v>
      </c>
      <c r="D6141" s="2716">
        <f>IF(OR(G6141="*",G6141="",G6141=0),0,COUNTIF($G$6139:$G$6142,G6141))</f>
        <v>0</v>
      </c>
      <c r="E6141" s="2721">
        <v>1</v>
      </c>
      <c r="F6141" s="294"/>
      <c r="G6141" s="1563" t="s">
        <v>2792</v>
      </c>
      <c r="H6141" s="309"/>
      <c r="I6141" s="388"/>
      <c r="J6141" s="291"/>
      <c r="K6141" s="291"/>
      <c r="L6141" s="291"/>
      <c r="M6141" s="291"/>
      <c r="S6141" s="364"/>
      <c r="Z6141" s="609" t="s">
        <v>2044</v>
      </c>
      <c r="AA6141" s="609"/>
    </row>
    <row r="6142" spans="1:27" ht="18.75" thickBot="1">
      <c r="A6142" s="2714"/>
      <c r="B6142" s="371"/>
      <c r="C6142" s="371"/>
      <c r="D6142" s="2716">
        <f>IF(OR(G6142="*",G6142="",G6142=0),0,COUNTIF($G$6139:$G$6142,G6142))</f>
        <v>1</v>
      </c>
      <c r="E6142" s="2721" t="s">
        <v>2751</v>
      </c>
      <c r="F6142" s="294"/>
      <c r="G6142" s="1529" t="s">
        <v>2752</v>
      </c>
      <c r="H6142" s="1527">
        <f>SUMPRODUCT($E6138:$E6141,H6138:H6141)</f>
        <v>0</v>
      </c>
      <c r="I6142" s="1571"/>
      <c r="J6142" s="291"/>
      <c r="K6142" s="291"/>
      <c r="L6142" s="291"/>
      <c r="M6142" s="291"/>
      <c r="S6142" s="364"/>
      <c r="Z6142" s="609" t="s">
        <v>2044</v>
      </c>
      <c r="AA6142" s="609"/>
    </row>
    <row r="6143" spans="1:27" ht="18">
      <c r="A6143" s="2714"/>
      <c r="B6143" s="371"/>
      <c r="C6143" s="371" t="s">
        <v>2755</v>
      </c>
      <c r="D6143" s="371"/>
      <c r="F6143" s="294"/>
      <c r="G6143" s="301"/>
      <c r="H6143" s="315"/>
      <c r="I6143" s="393"/>
      <c r="J6143" s="291"/>
      <c r="K6143" s="291"/>
      <c r="L6143" s="291"/>
      <c r="M6143" s="291"/>
      <c r="S6143" s="364"/>
      <c r="Z6143" s="609" t="s">
        <v>2044</v>
      </c>
      <c r="AA6143" s="609"/>
    </row>
    <row r="6144" spans="1:27" ht="18">
      <c r="A6144" s="2714">
        <v>7515</v>
      </c>
      <c r="B6144" s="371">
        <v>79.099999999999994</v>
      </c>
      <c r="C6144" s="2716" t="str">
        <f>VLOOKUP($A6144,Sheet_Items,2,0)</f>
        <v>递延所得税资产减少</v>
      </c>
      <c r="D6144" s="371"/>
      <c r="E6144" s="2716" t="s">
        <v>2739</v>
      </c>
      <c r="F6144" s="294"/>
      <c r="G6144" s="536" t="str">
        <f>B6144&amp;" "&amp;C6144</f>
        <v>79.1 递延所得税资产减少</v>
      </c>
      <c r="H6144" s="322"/>
      <c r="I6144" s="322"/>
      <c r="J6144" s="306" t="s">
        <v>4206</v>
      </c>
      <c r="K6144" s="341">
        <f>VLOOKUP($A6144,Sheet_Trialbal,6,0)</f>
        <v>-6256690.8899999997</v>
      </c>
      <c r="L6144" s="342"/>
      <c r="M6144" s="306"/>
      <c r="N6144" s="341"/>
      <c r="O6144" s="306"/>
      <c r="P6144" s="301"/>
      <c r="S6144" s="364"/>
      <c r="Z6144" s="609" t="s">
        <v>2047</v>
      </c>
      <c r="AA6144" s="609"/>
    </row>
    <row r="6145" spans="1:27" ht="36">
      <c r="A6145" s="2714" t="s">
        <v>2045</v>
      </c>
      <c r="B6145" s="371">
        <v>1</v>
      </c>
      <c r="C6145" s="371"/>
      <c r="D6145" s="2716" t="str">
        <f>VLOOKUP($A6145,Sheet_NoteList,2,0)</f>
        <v>将净利润调节为经营活动现金流量：递延所得税资产减少</v>
      </c>
      <c r="E6145" s="2716" t="s">
        <v>2742</v>
      </c>
      <c r="F6145" s="294"/>
      <c r="G6145" s="372" t="str">
        <f>"("&amp;B6145&amp;")"&amp;D6145</f>
        <v>(1)将净利润调节为经营活动现金流量：递延所得税资产减少</v>
      </c>
      <c r="H6145" s="1517" t="str">
        <f>$A6145</f>
        <v>7515a</v>
      </c>
      <c r="I6145" s="343" t="s">
        <v>2743</v>
      </c>
      <c r="J6145" s="301" t="s">
        <v>4712</v>
      </c>
      <c r="K6145" s="2210">
        <f>J6151</f>
        <v>0</v>
      </c>
      <c r="L6145" s="345">
        <f>IF(ROUND(K6144-K6145,2)=0,"F/S",ROUND(K6144-K6145,2))</f>
        <v>-6256690.8899999997</v>
      </c>
      <c r="M6145" s="532" t="s">
        <v>4713</v>
      </c>
      <c r="N6145" s="3071"/>
      <c r="O6145" s="315"/>
      <c r="P6145" s="301"/>
      <c r="S6145" s="364"/>
      <c r="Z6145" s="609" t="s">
        <v>2047</v>
      </c>
      <c r="AA6145" s="609"/>
    </row>
    <row r="6146" spans="1:27" ht="0.75" customHeight="1" thickBot="1">
      <c r="A6146" s="2714"/>
      <c r="B6146" s="371"/>
      <c r="C6146" s="371"/>
      <c r="D6146" s="371"/>
      <c r="F6146" s="294"/>
      <c r="G6146" s="294" t="s">
        <v>4816</v>
      </c>
      <c r="H6146" s="294" t="s">
        <v>2747</v>
      </c>
      <c r="I6146" s="294" t="s">
        <v>2748</v>
      </c>
      <c r="J6146" s="294" t="s">
        <v>3256</v>
      </c>
      <c r="K6146" s="294" t="s">
        <v>2898</v>
      </c>
      <c r="L6146" s="291"/>
      <c r="M6146" s="291"/>
      <c r="N6146" s="291"/>
      <c r="O6146" s="291"/>
      <c r="S6146" s="364"/>
      <c r="Z6146" s="609" t="s">
        <v>2047</v>
      </c>
      <c r="AA6146" s="609"/>
    </row>
    <row r="6147" spans="1:27" ht="18">
      <c r="A6147" s="2714"/>
      <c r="B6147" s="371"/>
      <c r="C6147" s="371"/>
      <c r="D6147" s="371"/>
      <c r="E6147" s="2716" t="s">
        <v>2749</v>
      </c>
      <c r="F6147" s="294"/>
      <c r="G6147" s="1564" t="s">
        <v>47</v>
      </c>
      <c r="H6147" s="1565" t="s">
        <v>3276</v>
      </c>
      <c r="I6147" s="1565" t="s">
        <v>3273</v>
      </c>
      <c r="J6147" s="1565" t="s">
        <v>3275</v>
      </c>
      <c r="K6147" s="1566" t="s">
        <v>2508</v>
      </c>
      <c r="L6147" s="291"/>
      <c r="M6147" s="291"/>
      <c r="N6147" s="291"/>
      <c r="O6147" s="291"/>
      <c r="S6147" s="364"/>
      <c r="Z6147" s="609" t="s">
        <v>2047</v>
      </c>
      <c r="AA6147" s="609"/>
    </row>
    <row r="6148" spans="1:27" ht="18">
      <c r="A6148" s="2714"/>
      <c r="B6148" s="371">
        <v>101</v>
      </c>
      <c r="C6148" s="371"/>
      <c r="D6148" s="2716">
        <f>IF(OR(G6148="*",G6148="",G6148=0),0,COUNTIF($G$6148:$G$6151,G6148))</f>
        <v>1</v>
      </c>
      <c r="E6148" s="2721">
        <v>1</v>
      </c>
      <c r="F6148" s="294"/>
      <c r="G6148" s="308" t="s">
        <v>422</v>
      </c>
      <c r="H6148" s="309"/>
      <c r="I6148" s="309"/>
      <c r="J6148" s="1476">
        <f>I6148-H6148</f>
        <v>0</v>
      </c>
      <c r="K6148" s="388"/>
      <c r="L6148" s="291"/>
      <c r="M6148" s="291"/>
      <c r="N6148" s="291"/>
      <c r="O6148" s="291"/>
      <c r="S6148" s="364"/>
      <c r="Z6148" s="609" t="s">
        <v>2047</v>
      </c>
      <c r="AA6148" s="609"/>
    </row>
    <row r="6149" spans="1:27" ht="18">
      <c r="A6149" s="2714"/>
      <c r="B6149" s="371">
        <v>102</v>
      </c>
      <c r="C6149" s="371" t="s">
        <v>2791</v>
      </c>
      <c r="D6149" s="2716">
        <f>IF(OR(G6149="*",G6149="",G6149=0),0,COUNTIF($G$6148:$G$6151,G6149))</f>
        <v>0</v>
      </c>
      <c r="E6149" s="2721">
        <v>1</v>
      </c>
      <c r="F6149" s="294"/>
      <c r="G6149" s="1563" t="s">
        <v>2792</v>
      </c>
      <c r="H6149" s="309"/>
      <c r="I6149" s="309"/>
      <c r="J6149" s="309"/>
      <c r="K6149" s="388"/>
      <c r="L6149" s="291"/>
      <c r="M6149" s="291"/>
      <c r="N6149" s="291"/>
      <c r="O6149" s="291"/>
      <c r="S6149" s="364"/>
      <c r="Z6149" s="609" t="s">
        <v>2047</v>
      </c>
      <c r="AA6149" s="609"/>
    </row>
    <row r="6150" spans="1:27" ht="18">
      <c r="A6150" s="2714"/>
      <c r="B6150" s="371">
        <v>103</v>
      </c>
      <c r="C6150" s="371" t="s">
        <v>2791</v>
      </c>
      <c r="D6150" s="2716">
        <f>IF(OR(G6150="*",G6150="",G6150=0),0,COUNTIF($G$6148:$G$6151,G6150))</f>
        <v>0</v>
      </c>
      <c r="E6150" s="2721">
        <v>1</v>
      </c>
      <c r="F6150" s="294"/>
      <c r="G6150" s="1563" t="s">
        <v>2792</v>
      </c>
      <c r="H6150" s="309"/>
      <c r="I6150" s="309"/>
      <c r="J6150" s="309"/>
      <c r="K6150" s="388"/>
      <c r="L6150" s="291"/>
      <c r="M6150" s="291"/>
      <c r="N6150" s="291"/>
      <c r="O6150" s="291"/>
      <c r="S6150" s="364"/>
      <c r="Z6150" s="609" t="s">
        <v>2047</v>
      </c>
      <c r="AA6150" s="609"/>
    </row>
    <row r="6151" spans="1:27" ht="18.75" thickBot="1">
      <c r="A6151" s="2714"/>
      <c r="B6151" s="371"/>
      <c r="C6151" s="371"/>
      <c r="D6151" s="2716">
        <f>IF(OR(G6151="*",G6151="",G6151=0),0,COUNTIF($G$6148:$G$6151,G6151))</f>
        <v>1</v>
      </c>
      <c r="E6151" s="2721" t="s">
        <v>2751</v>
      </c>
      <c r="F6151" s="294"/>
      <c r="G6151" s="1529" t="s">
        <v>2752</v>
      </c>
      <c r="H6151" s="1527">
        <f>SUMPRODUCT($E6147:$E6150,H6147:H6150)</f>
        <v>0</v>
      </c>
      <c r="I6151" s="1527">
        <f>SUMPRODUCT($E6147:$E6150,I6147:I6150)</f>
        <v>0</v>
      </c>
      <c r="J6151" s="1527">
        <f>SUMPRODUCT($E6147:$E6150,J6147:J6150)</f>
        <v>0</v>
      </c>
      <c r="K6151" s="1571"/>
      <c r="L6151" s="291"/>
      <c r="M6151" s="291"/>
      <c r="N6151" s="291"/>
      <c r="O6151" s="291"/>
      <c r="S6151" s="364"/>
      <c r="Z6151" s="609" t="s">
        <v>2047</v>
      </c>
      <c r="AA6151" s="609"/>
    </row>
    <row r="6152" spans="1:27" ht="18">
      <c r="A6152" s="2714"/>
      <c r="B6152" s="371"/>
      <c r="C6152" s="371" t="s">
        <v>2755</v>
      </c>
      <c r="D6152" s="371"/>
      <c r="F6152" s="294"/>
      <c r="G6152" s="301"/>
      <c r="H6152" s="315"/>
      <c r="I6152" s="315"/>
      <c r="J6152" s="315"/>
      <c r="K6152" s="393"/>
      <c r="L6152" s="291"/>
      <c r="M6152" s="291"/>
      <c r="N6152" s="291"/>
      <c r="O6152" s="291"/>
      <c r="S6152" s="364"/>
      <c r="Z6152" s="609" t="s">
        <v>2047</v>
      </c>
      <c r="AA6152" s="609"/>
    </row>
    <row r="6153" spans="1:27" ht="18">
      <c r="A6153" s="2714">
        <v>7516</v>
      </c>
      <c r="B6153" s="371">
        <v>79.11</v>
      </c>
      <c r="C6153" s="2716" t="str">
        <f>VLOOKUP($A6153,Sheet_Items,2,0)</f>
        <v>递延所得税负债增加</v>
      </c>
      <c r="D6153" s="371"/>
      <c r="E6153" s="2716" t="s">
        <v>2739</v>
      </c>
      <c r="F6153" s="294"/>
      <c r="G6153" s="536" t="str">
        <f>B6153&amp;" "&amp;C6153</f>
        <v>79.11 递延所得税负债增加</v>
      </c>
      <c r="H6153" s="322"/>
      <c r="I6153" s="322"/>
      <c r="J6153" s="306" t="s">
        <v>4206</v>
      </c>
      <c r="K6153" s="341">
        <f>VLOOKUP($A6153,Sheet_Trialbal,6,0)</f>
        <v>0</v>
      </c>
      <c r="L6153" s="342"/>
      <c r="M6153" s="306"/>
      <c r="N6153" s="341"/>
      <c r="O6153" s="306"/>
      <c r="P6153" s="301"/>
      <c r="S6153" s="364"/>
      <c r="Z6153" s="609" t="s">
        <v>2050</v>
      </c>
      <c r="AA6153" s="609"/>
    </row>
    <row r="6154" spans="1:27" ht="36">
      <c r="A6154" s="2714" t="s">
        <v>2048</v>
      </c>
      <c r="B6154" s="371">
        <v>1</v>
      </c>
      <c r="C6154" s="371"/>
      <c r="D6154" s="2716" t="str">
        <f>VLOOKUP($A6154,Sheet_NoteList,2,0)</f>
        <v>将净利润调节为经营活动现金流量：递延所得税负债增加</v>
      </c>
      <c r="E6154" s="2716" t="s">
        <v>2742</v>
      </c>
      <c r="F6154" s="294"/>
      <c r="G6154" s="372" t="str">
        <f>"("&amp;B6154&amp;")"&amp;D6154</f>
        <v>(1)将净利润调节为经营活动现金流量：递延所得税负债增加</v>
      </c>
      <c r="H6154" s="1517" t="str">
        <f>$A6154</f>
        <v>7516a</v>
      </c>
      <c r="I6154" s="343" t="s">
        <v>2743</v>
      </c>
      <c r="J6154" s="301" t="s">
        <v>4712</v>
      </c>
      <c r="K6154" s="2210">
        <f>J6160</f>
        <v>0</v>
      </c>
      <c r="L6154" s="345" t="str">
        <f>IF(ROUND(K6153-K6154,2)=0,"F/S",ROUND(K6153-K6154,2))</f>
        <v>F/S</v>
      </c>
      <c r="M6154" s="532" t="s">
        <v>4713</v>
      </c>
      <c r="N6154" s="3071"/>
      <c r="O6154" s="315"/>
      <c r="P6154" s="301"/>
      <c r="S6154" s="364"/>
      <c r="Z6154" s="609" t="s">
        <v>2050</v>
      </c>
      <c r="AA6154" s="609"/>
    </row>
    <row r="6155" spans="1:27" ht="0.75" customHeight="1" thickBot="1">
      <c r="A6155" s="2714"/>
      <c r="B6155" s="371"/>
      <c r="C6155" s="371"/>
      <c r="D6155" s="371"/>
      <c r="F6155" s="294"/>
      <c r="G6155" s="294" t="s">
        <v>4817</v>
      </c>
      <c r="H6155" s="294" t="s">
        <v>2747</v>
      </c>
      <c r="I6155" s="294" t="s">
        <v>2748</v>
      </c>
      <c r="J6155" s="294" t="s">
        <v>3250</v>
      </c>
      <c r="K6155" s="294" t="s">
        <v>2898</v>
      </c>
      <c r="L6155" s="291"/>
      <c r="M6155" s="291"/>
      <c r="N6155" s="291"/>
      <c r="O6155" s="291"/>
      <c r="S6155" s="364"/>
      <c r="Z6155" s="609" t="s">
        <v>2050</v>
      </c>
      <c r="AA6155" s="609"/>
    </row>
    <row r="6156" spans="1:27" ht="18">
      <c r="A6156" s="2714"/>
      <c r="B6156" s="371"/>
      <c r="C6156" s="371"/>
      <c r="D6156" s="371"/>
      <c r="E6156" s="2716" t="s">
        <v>2749</v>
      </c>
      <c r="F6156" s="294"/>
      <c r="G6156" s="1564" t="s">
        <v>47</v>
      </c>
      <c r="H6156" s="1565" t="s">
        <v>3276</v>
      </c>
      <c r="I6156" s="1565" t="s">
        <v>3273</v>
      </c>
      <c r="J6156" s="1565" t="s">
        <v>3274</v>
      </c>
      <c r="K6156" s="1566" t="s">
        <v>2508</v>
      </c>
      <c r="L6156" s="291"/>
      <c r="M6156" s="291"/>
      <c r="N6156" s="291"/>
      <c r="O6156" s="291"/>
      <c r="S6156" s="364"/>
      <c r="Z6156" s="609" t="s">
        <v>2050</v>
      </c>
      <c r="AA6156" s="609"/>
    </row>
    <row r="6157" spans="1:27" ht="18">
      <c r="A6157" s="2714"/>
      <c r="B6157" s="371">
        <v>101</v>
      </c>
      <c r="C6157" s="371"/>
      <c r="D6157" s="2716">
        <f>IF(OR(G6157="*",G6157="",G6157=0),0,COUNTIF($G$6157:$G$6160,G6157))</f>
        <v>1</v>
      </c>
      <c r="E6157" s="2721">
        <v>1</v>
      </c>
      <c r="F6157" s="294"/>
      <c r="G6157" s="308" t="s">
        <v>576</v>
      </c>
      <c r="H6157" s="309"/>
      <c r="I6157" s="309"/>
      <c r="J6157" s="1476">
        <f>H6157-I6157</f>
        <v>0</v>
      </c>
      <c r="K6157" s="388"/>
      <c r="L6157" s="291"/>
      <c r="M6157" s="291"/>
      <c r="N6157" s="291"/>
      <c r="O6157" s="291"/>
      <c r="S6157" s="364"/>
      <c r="Z6157" s="609" t="s">
        <v>2050</v>
      </c>
      <c r="AA6157" s="609"/>
    </row>
    <row r="6158" spans="1:27" ht="18">
      <c r="A6158" s="2714"/>
      <c r="B6158" s="371">
        <v>102</v>
      </c>
      <c r="C6158" s="371" t="s">
        <v>2791</v>
      </c>
      <c r="D6158" s="2716">
        <f>IF(OR(G6158="*",G6158="",G6158=0),0,COUNTIF($G$6157:$G$6160,G6158))</f>
        <v>0</v>
      </c>
      <c r="E6158" s="2721">
        <v>1</v>
      </c>
      <c r="F6158" s="294"/>
      <c r="G6158" s="1563" t="s">
        <v>2792</v>
      </c>
      <c r="H6158" s="309"/>
      <c r="I6158" s="309"/>
      <c r="J6158" s="309"/>
      <c r="K6158" s="388"/>
      <c r="L6158" s="291"/>
      <c r="M6158" s="291"/>
      <c r="N6158" s="291"/>
      <c r="O6158" s="291"/>
      <c r="S6158" s="364"/>
      <c r="Z6158" s="609" t="s">
        <v>2050</v>
      </c>
      <c r="AA6158" s="609"/>
    </row>
    <row r="6159" spans="1:27" ht="18">
      <c r="A6159" s="2714"/>
      <c r="B6159" s="371">
        <v>103</v>
      </c>
      <c r="C6159" s="371" t="s">
        <v>2791</v>
      </c>
      <c r="D6159" s="2716">
        <f>IF(OR(G6159="*",G6159="",G6159=0),0,COUNTIF($G$6157:$G$6160,G6159))</f>
        <v>0</v>
      </c>
      <c r="E6159" s="2721">
        <v>1</v>
      </c>
      <c r="F6159" s="294"/>
      <c r="G6159" s="1563" t="s">
        <v>2792</v>
      </c>
      <c r="H6159" s="309"/>
      <c r="I6159" s="309"/>
      <c r="J6159" s="309"/>
      <c r="K6159" s="388"/>
      <c r="L6159" s="291"/>
      <c r="M6159" s="291"/>
      <c r="N6159" s="291"/>
      <c r="O6159" s="291"/>
      <c r="S6159" s="364"/>
      <c r="Z6159" s="609" t="s">
        <v>2050</v>
      </c>
      <c r="AA6159" s="609"/>
    </row>
    <row r="6160" spans="1:27" ht="18.75" thickBot="1">
      <c r="A6160" s="2714"/>
      <c r="B6160" s="371"/>
      <c r="C6160" s="371"/>
      <c r="D6160" s="2716">
        <f>IF(OR(G6160="*",G6160="",G6160=0),0,COUNTIF($G$6157:$G$6160,G6160))</f>
        <v>1</v>
      </c>
      <c r="E6160" s="2721" t="s">
        <v>2751</v>
      </c>
      <c r="F6160" s="294"/>
      <c r="G6160" s="1529" t="s">
        <v>2752</v>
      </c>
      <c r="H6160" s="1527">
        <f>SUMPRODUCT($E6156:$E6159,H6156:H6159)</f>
        <v>0</v>
      </c>
      <c r="I6160" s="1527">
        <f>SUMPRODUCT($E6156:$E6159,I6156:I6159)</f>
        <v>0</v>
      </c>
      <c r="J6160" s="1527">
        <f>SUMPRODUCT($E6156:$E6159,J6156:J6159)</f>
        <v>0</v>
      </c>
      <c r="K6160" s="1571"/>
      <c r="L6160" s="291"/>
      <c r="M6160" s="291"/>
      <c r="N6160" s="291"/>
      <c r="O6160" s="291"/>
      <c r="S6160" s="364"/>
      <c r="Z6160" s="609" t="s">
        <v>2050</v>
      </c>
      <c r="AA6160" s="609"/>
    </row>
    <row r="6161" spans="1:27" ht="18">
      <c r="A6161" s="2714"/>
      <c r="B6161" s="371"/>
      <c r="C6161" s="371" t="s">
        <v>2755</v>
      </c>
      <c r="D6161" s="371"/>
      <c r="F6161" s="294"/>
      <c r="G6161" s="301"/>
      <c r="H6161" s="315"/>
      <c r="I6161" s="315"/>
      <c r="J6161" s="315"/>
      <c r="K6161" s="393"/>
      <c r="L6161" s="291"/>
      <c r="M6161" s="291"/>
      <c r="N6161" s="291"/>
      <c r="O6161" s="291"/>
      <c r="S6161" s="364"/>
      <c r="Z6161" s="609" t="s">
        <v>2050</v>
      </c>
      <c r="AA6161" s="609"/>
    </row>
    <row r="6162" spans="1:27" ht="18">
      <c r="A6162" s="2714">
        <v>7517</v>
      </c>
      <c r="B6162" s="371">
        <v>79.12</v>
      </c>
      <c r="C6162" s="2716" t="str">
        <f>VLOOKUP($A6162,Sheet_Items,2,0)</f>
        <v>存货的减少</v>
      </c>
      <c r="D6162" s="371"/>
      <c r="E6162" s="2716" t="s">
        <v>2739</v>
      </c>
      <c r="F6162" s="294"/>
      <c r="G6162" s="536" t="str">
        <f>B6162&amp;" "&amp;C6162</f>
        <v>79.12 存货的减少</v>
      </c>
      <c r="H6162" s="322"/>
      <c r="I6162" s="322"/>
      <c r="J6162" s="306" t="s">
        <v>4206</v>
      </c>
      <c r="K6162" s="341">
        <f>VLOOKUP($A6162,Sheet_Trialbal,6,0)</f>
        <v>0</v>
      </c>
      <c r="L6162" s="342"/>
      <c r="M6162" s="306"/>
      <c r="N6162" s="341"/>
      <c r="O6162" s="306"/>
      <c r="P6162" s="301"/>
      <c r="S6162" s="364"/>
      <c r="Z6162" s="609" t="s">
        <v>2053</v>
      </c>
      <c r="AA6162" s="609"/>
    </row>
    <row r="6163" spans="1:27" ht="24">
      <c r="A6163" s="2714" t="s">
        <v>2051</v>
      </c>
      <c r="B6163" s="371">
        <v>1</v>
      </c>
      <c r="C6163" s="371"/>
      <c r="D6163" s="2716" t="str">
        <f>VLOOKUP($A6163,Sheet_NoteList,2,0)</f>
        <v>将净利润调节为经营活动现金流量：存货的减少</v>
      </c>
      <c r="E6163" s="2716" t="s">
        <v>2742</v>
      </c>
      <c r="F6163" s="294"/>
      <c r="G6163" s="372" t="str">
        <f>"("&amp;B6163&amp;")"&amp;D6163</f>
        <v>(1)将净利润调节为经营活动现金流量：存货的减少</v>
      </c>
      <c r="H6163" s="1517" t="str">
        <f>$A6163</f>
        <v>7517a</v>
      </c>
      <c r="I6163" s="343" t="s">
        <v>2743</v>
      </c>
      <c r="J6163" s="301" t="s">
        <v>4712</v>
      </c>
      <c r="K6163" s="2210">
        <f>H6182</f>
        <v>0</v>
      </c>
      <c r="L6163" s="345" t="str">
        <f>IF(ROUND(K6162-K6163,2)=0,"F/S",ROUND(K6162-K6163,2))</f>
        <v>F/S</v>
      </c>
      <c r="M6163" s="532" t="s">
        <v>4713</v>
      </c>
      <c r="N6163" s="3071"/>
      <c r="O6163" s="315"/>
      <c r="P6163" s="301"/>
      <c r="S6163" s="364"/>
      <c r="Z6163" s="609" t="s">
        <v>2053</v>
      </c>
      <c r="AA6163" s="609"/>
    </row>
    <row r="6164" spans="1:27" ht="0.75" customHeight="1" thickBot="1">
      <c r="A6164" s="2714"/>
      <c r="B6164" s="371"/>
      <c r="C6164" s="371"/>
      <c r="D6164" s="371"/>
      <c r="E6164" s="586"/>
      <c r="F6164" s="586"/>
      <c r="G6164" s="586" t="s">
        <v>4818</v>
      </c>
      <c r="H6164" s="371" t="s">
        <v>6314</v>
      </c>
      <c r="I6164" s="371" t="s">
        <v>6315</v>
      </c>
      <c r="J6164" s="371" t="s">
        <v>6316</v>
      </c>
      <c r="K6164" s="371" t="s">
        <v>6317</v>
      </c>
      <c r="L6164" s="291"/>
      <c r="M6164" s="291"/>
      <c r="N6164" s="291"/>
      <c r="O6164" s="291"/>
      <c r="S6164" s="364"/>
      <c r="Z6164" s="609" t="s">
        <v>2053</v>
      </c>
      <c r="AA6164" s="609"/>
    </row>
    <row r="6165" spans="1:27" ht="18">
      <c r="A6165" s="2714"/>
      <c r="B6165" s="371"/>
      <c r="C6165" s="371"/>
      <c r="D6165" s="371"/>
      <c r="E6165" s="586" t="s">
        <v>2749</v>
      </c>
      <c r="F6165" s="363"/>
      <c r="G6165" s="2531" t="s">
        <v>47</v>
      </c>
      <c r="H6165" s="2528" t="s">
        <v>3275</v>
      </c>
      <c r="I6165" s="2528" t="s">
        <v>6113</v>
      </c>
      <c r="J6165" s="2528" t="s">
        <v>6042</v>
      </c>
      <c r="K6165" s="2527" t="s">
        <v>6114</v>
      </c>
      <c r="L6165" s="291"/>
      <c r="M6165" s="291"/>
      <c r="N6165" s="291"/>
      <c r="O6165" s="291"/>
      <c r="S6165" s="364"/>
      <c r="Z6165" s="609" t="s">
        <v>2053</v>
      </c>
      <c r="AA6165" s="609"/>
    </row>
    <row r="6166" spans="1:27" ht="18">
      <c r="A6166" s="2714"/>
      <c r="B6166" s="371">
        <v>101</v>
      </c>
      <c r="C6166" s="371"/>
      <c r="D6166" s="2716">
        <f t="shared" ref="D6166:D6182" si="643">IF(OR(G6166="*",G6166="",G6166=0),0,COUNTIF($G$6166:$G$6182,G6166))</f>
        <v>1</v>
      </c>
      <c r="E6166" s="2721">
        <v>0</v>
      </c>
      <c r="F6166" s="294"/>
      <c r="G6166" s="1474" t="s">
        <v>4819</v>
      </c>
      <c r="H6166" s="2275"/>
      <c r="I6166" s="2298"/>
      <c r="J6166" s="2298"/>
      <c r="K6166" s="2276"/>
      <c r="L6166" s="291"/>
      <c r="M6166" s="291"/>
      <c r="N6166" s="291"/>
      <c r="O6166" s="291"/>
      <c r="S6166" s="364"/>
      <c r="Z6166" s="609" t="s">
        <v>2053</v>
      </c>
      <c r="AA6166" s="609"/>
    </row>
    <row r="6167" spans="1:27" ht="18">
      <c r="A6167" s="2714"/>
      <c r="B6167" s="371">
        <v>102</v>
      </c>
      <c r="C6167" s="371"/>
      <c r="D6167" s="2716">
        <f t="shared" si="643"/>
        <v>1</v>
      </c>
      <c r="E6167" s="2721">
        <v>0</v>
      </c>
      <c r="F6167" s="294"/>
      <c r="G6167" s="1474" t="s">
        <v>4820</v>
      </c>
      <c r="H6167" s="2275"/>
      <c r="I6167" s="2298"/>
      <c r="J6167" s="2298"/>
      <c r="K6167" s="2276"/>
      <c r="L6167" s="291"/>
      <c r="M6167" s="291"/>
      <c r="N6167" s="291"/>
      <c r="O6167" s="291"/>
      <c r="S6167" s="364"/>
      <c r="Z6167" s="609" t="s">
        <v>2053</v>
      </c>
      <c r="AA6167" s="609"/>
    </row>
    <row r="6168" spans="1:27" ht="18">
      <c r="A6168" s="2714"/>
      <c r="B6168" s="371">
        <v>103</v>
      </c>
      <c r="C6168" s="371"/>
      <c r="D6168" s="2716">
        <f t="shared" si="643"/>
        <v>1</v>
      </c>
      <c r="E6168" s="2721">
        <v>1</v>
      </c>
      <c r="F6168" s="294"/>
      <c r="G6168" s="1474" t="s">
        <v>4821</v>
      </c>
      <c r="H6168" s="1476">
        <f>H6166-H6167</f>
        <v>0</v>
      </c>
      <c r="I6168" s="2298"/>
      <c r="J6168" s="2298"/>
      <c r="K6168" s="2276"/>
      <c r="L6168" s="291"/>
      <c r="M6168" s="291"/>
      <c r="N6168" s="291"/>
      <c r="O6168" s="291"/>
      <c r="S6168" s="364"/>
      <c r="Z6168" s="609" t="s">
        <v>2053</v>
      </c>
      <c r="AA6168" s="609"/>
    </row>
    <row r="6169" spans="1:27" ht="18">
      <c r="A6169" s="2714"/>
      <c r="B6169" s="371">
        <v>104</v>
      </c>
      <c r="C6169" s="371" t="s">
        <v>2791</v>
      </c>
      <c r="D6169" s="2716">
        <f t="shared" si="643"/>
        <v>0</v>
      </c>
      <c r="E6169" s="2721">
        <v>1</v>
      </c>
      <c r="F6169" s="294"/>
      <c r="G6169" s="2530" t="s">
        <v>2792</v>
      </c>
      <c r="H6169" s="2275"/>
      <c r="I6169" s="2298"/>
      <c r="J6169" s="2298"/>
      <c r="K6169" s="2276"/>
      <c r="L6169" s="291"/>
      <c r="M6169" s="291"/>
      <c r="N6169" s="291"/>
      <c r="O6169" s="291"/>
      <c r="S6169" s="364"/>
      <c r="Z6169" s="609" t="s">
        <v>2053</v>
      </c>
      <c r="AA6169" s="609"/>
    </row>
    <row r="6170" spans="1:27" ht="18">
      <c r="A6170" s="2714"/>
      <c r="B6170" s="371">
        <v>105</v>
      </c>
      <c r="C6170" s="371"/>
      <c r="D6170" s="2716">
        <f t="shared" si="643"/>
        <v>1</v>
      </c>
      <c r="E6170" s="2721" t="s">
        <v>41</v>
      </c>
      <c r="F6170" s="294"/>
      <c r="G6170" s="1474" t="s">
        <v>4822</v>
      </c>
      <c r="H6170" s="2275"/>
      <c r="I6170" s="2298"/>
      <c r="J6170" s="2298"/>
      <c r="K6170" s="2276"/>
      <c r="L6170" s="532"/>
      <c r="M6170" s="291"/>
      <c r="N6170" s="291"/>
      <c r="O6170" s="291"/>
      <c r="S6170" s="364"/>
      <c r="Z6170" s="609" t="s">
        <v>2053</v>
      </c>
      <c r="AA6170" s="609"/>
    </row>
    <row r="6171" spans="1:27" ht="18">
      <c r="A6171" s="2714"/>
      <c r="B6171" s="371">
        <v>105.001</v>
      </c>
      <c r="C6171" s="371"/>
      <c r="D6171" s="2716">
        <f t="shared" si="643"/>
        <v>1</v>
      </c>
      <c r="E6171" s="2721" t="s">
        <v>4823</v>
      </c>
      <c r="F6171" s="294"/>
      <c r="G6171" s="1474" t="s">
        <v>4824</v>
      </c>
      <c r="H6171" s="2275"/>
      <c r="I6171" s="2298"/>
      <c r="J6171" s="2298"/>
      <c r="K6171" s="2276"/>
      <c r="L6171" s="291"/>
      <c r="M6171" s="291"/>
      <c r="N6171" s="291"/>
      <c r="O6171" s="291"/>
      <c r="S6171" s="364"/>
      <c r="Z6171" s="609" t="s">
        <v>2053</v>
      </c>
      <c r="AA6171" s="609"/>
    </row>
    <row r="6172" spans="1:27" ht="18">
      <c r="A6172" s="2714"/>
      <c r="B6172" s="371">
        <v>105.002</v>
      </c>
      <c r="C6172" s="371"/>
      <c r="D6172" s="2716">
        <f t="shared" si="643"/>
        <v>1</v>
      </c>
      <c r="E6172" s="2721" t="s">
        <v>4825</v>
      </c>
      <c r="F6172" s="294"/>
      <c r="G6172" s="1474" t="s">
        <v>4826</v>
      </c>
      <c r="H6172" s="2275"/>
      <c r="I6172" s="2298"/>
      <c r="J6172" s="2298"/>
      <c r="K6172" s="2276"/>
      <c r="L6172" s="291"/>
      <c r="M6172" s="291"/>
      <c r="N6172" s="291"/>
      <c r="O6172" s="291"/>
      <c r="S6172" s="364"/>
      <c r="Z6172" s="609" t="s">
        <v>2053</v>
      </c>
      <c r="AA6172" s="609"/>
    </row>
    <row r="6173" spans="1:27" ht="18">
      <c r="A6173" s="2714"/>
      <c r="B6173" s="371">
        <v>105.003</v>
      </c>
      <c r="C6173" s="371"/>
      <c r="D6173" s="2716">
        <f t="shared" si="643"/>
        <v>1</v>
      </c>
      <c r="E6173" s="2721" t="s">
        <v>4825</v>
      </c>
      <c r="F6173" s="294"/>
      <c r="G6173" s="1474" t="s">
        <v>4827</v>
      </c>
      <c r="H6173" s="2275"/>
      <c r="I6173" s="2298"/>
      <c r="J6173" s="2298"/>
      <c r="K6173" s="2276"/>
      <c r="L6173" s="291"/>
      <c r="M6173" s="291"/>
      <c r="N6173" s="291"/>
      <c r="O6173" s="291"/>
      <c r="S6173" s="364"/>
      <c r="Z6173" s="609" t="s">
        <v>2053</v>
      </c>
      <c r="AA6173" s="609"/>
    </row>
    <row r="6174" spans="1:27" ht="18">
      <c r="A6174" s="2714"/>
      <c r="B6174" s="371">
        <v>105.004</v>
      </c>
      <c r="C6174" s="371"/>
      <c r="D6174" s="2716">
        <f t="shared" si="643"/>
        <v>1</v>
      </c>
      <c r="E6174" s="2721" t="s">
        <v>4825</v>
      </c>
      <c r="F6174" s="294"/>
      <c r="G6174" s="1474" t="s">
        <v>4828</v>
      </c>
      <c r="H6174" s="2275"/>
      <c r="I6174" s="2298"/>
      <c r="J6174" s="2298"/>
      <c r="K6174" s="2276"/>
      <c r="L6174" s="291"/>
      <c r="M6174" s="291"/>
      <c r="N6174" s="291"/>
      <c r="O6174" s="291"/>
      <c r="S6174" s="364"/>
      <c r="Z6174" s="609" t="s">
        <v>2053</v>
      </c>
      <c r="AA6174" s="609"/>
    </row>
    <row r="6175" spans="1:27" ht="18">
      <c r="A6175" s="2714"/>
      <c r="B6175" s="371">
        <v>105.005</v>
      </c>
      <c r="C6175" s="371" t="s">
        <v>2791</v>
      </c>
      <c r="D6175" s="2716">
        <f t="shared" si="643"/>
        <v>0</v>
      </c>
      <c r="E6175" s="2721" t="s">
        <v>4825</v>
      </c>
      <c r="F6175" s="294"/>
      <c r="G6175" s="2530" t="s">
        <v>2792</v>
      </c>
      <c r="H6175" s="2275"/>
      <c r="I6175" s="2298"/>
      <c r="J6175" s="2298"/>
      <c r="K6175" s="2276"/>
      <c r="L6175" s="291"/>
      <c r="M6175" s="291"/>
      <c r="N6175" s="291"/>
      <c r="O6175" s="291"/>
      <c r="S6175" s="364"/>
      <c r="Z6175" s="609" t="s">
        <v>2053</v>
      </c>
      <c r="AA6175" s="609"/>
    </row>
    <row r="6176" spans="1:27" ht="18">
      <c r="A6176" s="2714"/>
      <c r="B6176" s="371">
        <v>105.006</v>
      </c>
      <c r="C6176" s="371"/>
      <c r="D6176" s="2716">
        <f t="shared" si="643"/>
        <v>1</v>
      </c>
      <c r="E6176" s="2721" t="s">
        <v>4823</v>
      </c>
      <c r="F6176" s="294"/>
      <c r="G6176" s="1474" t="s">
        <v>4829</v>
      </c>
      <c r="H6176" s="2275"/>
      <c r="I6176" s="2298"/>
      <c r="J6176" s="2298"/>
      <c r="K6176" s="2276"/>
      <c r="L6176" s="291"/>
      <c r="M6176" s="291"/>
      <c r="N6176" s="291"/>
      <c r="O6176" s="291"/>
      <c r="S6176" s="364"/>
      <c r="Z6176" s="609" t="s">
        <v>2053</v>
      </c>
      <c r="AA6176" s="609"/>
    </row>
    <row r="6177" spans="1:27" ht="18">
      <c r="A6177" s="2714"/>
      <c r="B6177" s="371">
        <v>105.00700000000001</v>
      </c>
      <c r="C6177" s="371"/>
      <c r="D6177" s="2716">
        <f t="shared" si="643"/>
        <v>1</v>
      </c>
      <c r="E6177" s="2721" t="s">
        <v>4825</v>
      </c>
      <c r="F6177" s="294"/>
      <c r="G6177" s="1474" t="s">
        <v>4830</v>
      </c>
      <c r="H6177" s="2275"/>
      <c r="I6177" s="2298"/>
      <c r="J6177" s="2298" t="s">
        <v>4831</v>
      </c>
      <c r="K6177" s="2276"/>
      <c r="L6177" s="291"/>
      <c r="M6177" s="291"/>
      <c r="N6177" s="291"/>
      <c r="O6177" s="291"/>
      <c r="S6177" s="364"/>
      <c r="Z6177" s="609" t="s">
        <v>2053</v>
      </c>
      <c r="AA6177" s="609"/>
    </row>
    <row r="6178" spans="1:27" ht="18">
      <c r="A6178" s="2714"/>
      <c r="B6178" s="371">
        <v>105.008</v>
      </c>
      <c r="C6178" s="371"/>
      <c r="D6178" s="2716">
        <f t="shared" si="643"/>
        <v>1</v>
      </c>
      <c r="E6178" s="2721" t="s">
        <v>4825</v>
      </c>
      <c r="F6178" s="294"/>
      <c r="G6178" s="1474" t="s">
        <v>4832</v>
      </c>
      <c r="H6178" s="2275"/>
      <c r="I6178" s="2298"/>
      <c r="J6178" s="2298" t="s">
        <v>4831</v>
      </c>
      <c r="K6178" s="2276"/>
      <c r="L6178" s="291"/>
      <c r="M6178" s="291"/>
      <c r="N6178" s="291"/>
      <c r="O6178" s="291"/>
      <c r="S6178" s="364"/>
      <c r="Z6178" s="609" t="s">
        <v>2053</v>
      </c>
      <c r="AA6178" s="609"/>
    </row>
    <row r="6179" spans="1:27" ht="18">
      <c r="A6179" s="2714"/>
      <c r="B6179" s="371">
        <v>105.009</v>
      </c>
      <c r="C6179" s="371" t="s">
        <v>2791</v>
      </c>
      <c r="D6179" s="2716">
        <f t="shared" si="643"/>
        <v>0</v>
      </c>
      <c r="E6179" s="2721" t="s">
        <v>4825</v>
      </c>
      <c r="F6179" s="294"/>
      <c r="G6179" s="2530" t="s">
        <v>2792</v>
      </c>
      <c r="H6179" s="2275"/>
      <c r="I6179" s="2298"/>
      <c r="J6179" s="2298"/>
      <c r="K6179" s="2276"/>
      <c r="L6179" s="291"/>
      <c r="M6179" s="291"/>
      <c r="N6179" s="291"/>
      <c r="O6179" s="291"/>
      <c r="S6179" s="364"/>
      <c r="Z6179" s="609" t="s">
        <v>2053</v>
      </c>
      <c r="AA6179" s="609"/>
    </row>
    <row r="6180" spans="1:27" ht="18">
      <c r="A6180" s="2714"/>
      <c r="B6180" s="371">
        <v>105.999</v>
      </c>
      <c r="C6180" s="371"/>
      <c r="D6180" s="2716">
        <f t="shared" si="643"/>
        <v>1</v>
      </c>
      <c r="E6180" s="2721">
        <v>-1</v>
      </c>
      <c r="F6180" s="294"/>
      <c r="G6180" s="1474" t="s">
        <v>4825</v>
      </c>
      <c r="H6180" s="1476">
        <f>SUMIF($E$6165:$E$6181,$G6180,H$6165:H$6181)</f>
        <v>0</v>
      </c>
      <c r="I6180" s="2298"/>
      <c r="J6180" s="2298"/>
      <c r="K6180" s="2276"/>
      <c r="L6180" s="291"/>
      <c r="M6180" s="291"/>
      <c r="N6180" s="291"/>
      <c r="O6180" s="291"/>
      <c r="S6180" s="364"/>
      <c r="Z6180" s="609" t="s">
        <v>2053</v>
      </c>
      <c r="AA6180" s="609"/>
    </row>
    <row r="6181" spans="1:27" ht="18">
      <c r="A6181" s="2714"/>
      <c r="B6181" s="371">
        <v>106</v>
      </c>
      <c r="C6181" s="371" t="s">
        <v>2791</v>
      </c>
      <c r="D6181" s="2716">
        <f t="shared" si="643"/>
        <v>0</v>
      </c>
      <c r="E6181" s="2721">
        <v>-1</v>
      </c>
      <c r="F6181" s="294"/>
      <c r="G6181" s="2530" t="s">
        <v>2792</v>
      </c>
      <c r="H6181" s="2275"/>
      <c r="I6181" s="2298"/>
      <c r="J6181" s="2298"/>
      <c r="K6181" s="2276"/>
      <c r="L6181" s="291"/>
      <c r="M6181" s="291"/>
      <c r="N6181" s="291"/>
      <c r="O6181" s="291"/>
      <c r="S6181" s="364"/>
      <c r="Z6181" s="609" t="s">
        <v>2053</v>
      </c>
      <c r="AA6181" s="609"/>
    </row>
    <row r="6182" spans="1:27" ht="18.75" thickBot="1">
      <c r="A6182" s="2714"/>
      <c r="B6182" s="371"/>
      <c r="C6182" s="371"/>
      <c r="D6182" s="2716">
        <f t="shared" si="643"/>
        <v>1</v>
      </c>
      <c r="E6182" s="2721" t="s">
        <v>2751</v>
      </c>
      <c r="F6182" s="294"/>
      <c r="G6182" s="1529" t="s">
        <v>2752</v>
      </c>
      <c r="H6182" s="1527">
        <f>SUMPRODUCT($E6165:$E6181,H6165:H6181)</f>
        <v>0</v>
      </c>
      <c r="I6182" s="2316"/>
      <c r="J6182" s="2316"/>
      <c r="K6182" s="2266"/>
      <c r="L6182" s="291"/>
      <c r="M6182" s="291"/>
      <c r="N6182" s="291"/>
      <c r="O6182" s="291"/>
      <c r="S6182" s="364"/>
      <c r="Z6182" s="609" t="s">
        <v>2053</v>
      </c>
      <c r="AA6182" s="609"/>
    </row>
    <row r="6183" spans="1:27" ht="18">
      <c r="A6183" s="2714"/>
      <c r="B6183" s="371"/>
      <c r="C6183" s="371" t="s">
        <v>2755</v>
      </c>
      <c r="D6183" s="371"/>
      <c r="F6183" s="294"/>
      <c r="G6183" s="301"/>
      <c r="H6183" s="315"/>
      <c r="I6183" s="393"/>
      <c r="J6183" s="393"/>
      <c r="K6183" s="393"/>
      <c r="L6183" s="291"/>
      <c r="M6183" s="291"/>
      <c r="N6183" s="291"/>
      <c r="O6183" s="291"/>
      <c r="S6183" s="364"/>
      <c r="Z6183" s="609" t="s">
        <v>2053</v>
      </c>
      <c r="AA6183" s="609"/>
    </row>
    <row r="6184" spans="1:27" ht="18">
      <c r="A6184" s="2714">
        <v>7518</v>
      </c>
      <c r="B6184" s="371">
        <v>79.13</v>
      </c>
      <c r="C6184" s="2716" t="str">
        <f>VLOOKUP($A6184,Sheet_Items,2,0)</f>
        <v>经营性应收项目的减少</v>
      </c>
      <c r="D6184" s="371"/>
      <c r="E6184" s="2716" t="s">
        <v>2739</v>
      </c>
      <c r="F6184" s="294"/>
      <c r="G6184" s="536" t="str">
        <f>B6184&amp;" "&amp;C6184</f>
        <v>79.13 经营性应收项目的减少</v>
      </c>
      <c r="H6184" s="322"/>
      <c r="I6184" s="322"/>
      <c r="J6184" s="306" t="s">
        <v>4206</v>
      </c>
      <c r="K6184" s="341">
        <f>VLOOKUP($A6184,Sheet_Trialbal,6,0)</f>
        <v>-111864.86</v>
      </c>
      <c r="L6184" s="342"/>
      <c r="M6184" s="306"/>
      <c r="N6184" s="341"/>
      <c r="O6184" s="306"/>
      <c r="P6184" s="301"/>
      <c r="S6184" s="364"/>
      <c r="Z6184" s="609" t="s">
        <v>2057</v>
      </c>
      <c r="AA6184" s="609"/>
    </row>
    <row r="6185" spans="1:27" ht="36">
      <c r="A6185" s="2714" t="s">
        <v>2055</v>
      </c>
      <c r="B6185" s="371">
        <v>1</v>
      </c>
      <c r="C6185" s="371"/>
      <c r="D6185" s="2716" t="str">
        <f>VLOOKUP($A6185,Sheet_NoteList,2,0)</f>
        <v>将净利润调节为经营活动现金流量：经营性应收项目的减少</v>
      </c>
      <c r="E6185" s="2716" t="s">
        <v>2742</v>
      </c>
      <c r="F6185" s="294"/>
      <c r="G6185" s="372" t="str">
        <f>"("&amp;B6185&amp;")"&amp;D6185</f>
        <v>(1)将净利润调节为经营活动现金流量：经营性应收项目的减少</v>
      </c>
      <c r="H6185" s="1517" t="str">
        <f>$A6185</f>
        <v>7518a</v>
      </c>
      <c r="I6185" s="343" t="s">
        <v>2743</v>
      </c>
      <c r="J6185" s="301" t="s">
        <v>4712</v>
      </c>
      <c r="K6185" s="2210">
        <f>J6209</f>
        <v>0</v>
      </c>
      <c r="L6185" s="345">
        <f>IF(ROUND(K6184-K6185,2)=0,"F/S",ROUND(K6184-K6185,2))</f>
        <v>-111864.86</v>
      </c>
      <c r="M6185" s="532" t="s">
        <v>4713</v>
      </c>
      <c r="N6185" s="3071"/>
      <c r="O6185" s="315"/>
      <c r="P6185" s="301"/>
      <c r="S6185" s="364"/>
      <c r="Z6185" s="609" t="s">
        <v>2057</v>
      </c>
      <c r="AA6185" s="609"/>
    </row>
    <row r="6186" spans="1:27" ht="0.75" customHeight="1" thickBot="1">
      <c r="A6186" s="2714"/>
      <c r="B6186" s="371"/>
      <c r="C6186" s="371"/>
      <c r="D6186" s="371"/>
      <c r="F6186" s="294"/>
      <c r="G6186" s="294" t="s">
        <v>4833</v>
      </c>
      <c r="H6186" s="294" t="s">
        <v>2747</v>
      </c>
      <c r="I6186" s="294" t="s">
        <v>2748</v>
      </c>
      <c r="J6186" s="294" t="s">
        <v>3256</v>
      </c>
      <c r="K6186" s="294" t="s">
        <v>2898</v>
      </c>
      <c r="L6186" s="291"/>
      <c r="M6186" s="291"/>
      <c r="N6186" s="291"/>
      <c r="O6186" s="291"/>
      <c r="S6186" s="364"/>
      <c r="Z6186" s="609" t="s">
        <v>2057</v>
      </c>
      <c r="AA6186" s="609"/>
    </row>
    <row r="6187" spans="1:27" ht="18">
      <c r="A6187" s="2714"/>
      <c r="B6187" s="371"/>
      <c r="C6187" s="371"/>
      <c r="D6187" s="371"/>
      <c r="E6187" s="2716" t="s">
        <v>2749</v>
      </c>
      <c r="F6187" s="294"/>
      <c r="G6187" s="1564" t="s">
        <v>47</v>
      </c>
      <c r="H6187" s="1565" t="s">
        <v>3276</v>
      </c>
      <c r="I6187" s="1565" t="s">
        <v>3273</v>
      </c>
      <c r="J6187" s="1565" t="s">
        <v>3275</v>
      </c>
      <c r="K6187" s="1566" t="s">
        <v>2508</v>
      </c>
      <c r="L6187" s="291"/>
      <c r="M6187" s="291"/>
      <c r="N6187" s="291"/>
      <c r="O6187" s="291"/>
      <c r="S6187" s="364"/>
      <c r="Z6187" s="609" t="s">
        <v>2057</v>
      </c>
      <c r="AA6187" s="609"/>
    </row>
    <row r="6188" spans="1:27" ht="18">
      <c r="A6188" s="2714"/>
      <c r="B6188" s="371">
        <v>101</v>
      </c>
      <c r="C6188" s="371"/>
      <c r="D6188" s="2716">
        <f t="shared" ref="D6188:D6209" si="644">IF(OR(G6188="*",G6188="",G6188=0),0,COUNTIF($G$6188:$G$6209,G6188))</f>
        <v>1</v>
      </c>
      <c r="E6188" s="2721" t="s">
        <v>41</v>
      </c>
      <c r="F6188" s="294"/>
      <c r="G6188" s="308" t="s">
        <v>4834</v>
      </c>
      <c r="H6188" s="309"/>
      <c r="I6188" s="309"/>
      <c r="J6188" s="309"/>
      <c r="K6188" s="388"/>
      <c r="L6188" s="291"/>
      <c r="M6188" s="291"/>
      <c r="N6188" s="291"/>
      <c r="O6188" s="291"/>
      <c r="S6188" s="364"/>
      <c r="Z6188" s="609" t="s">
        <v>2057</v>
      </c>
      <c r="AA6188" s="609"/>
    </row>
    <row r="6189" spans="1:27" ht="18">
      <c r="A6189" s="2714"/>
      <c r="B6189" s="371">
        <v>101.001</v>
      </c>
      <c r="C6189" s="371"/>
      <c r="D6189" s="2716">
        <f t="shared" si="644"/>
        <v>1</v>
      </c>
      <c r="E6189" s="2721" t="s">
        <v>4835</v>
      </c>
      <c r="F6189" s="294"/>
      <c r="G6189" s="308" t="s">
        <v>109</v>
      </c>
      <c r="H6189" s="309"/>
      <c r="I6189" s="309"/>
      <c r="J6189" s="1476">
        <f t="shared" ref="J6189:J6194" si="645">I6189-H6189</f>
        <v>0</v>
      </c>
      <c r="K6189" s="388"/>
      <c r="L6189" s="291"/>
      <c r="M6189" s="291"/>
      <c r="N6189" s="291"/>
      <c r="O6189" s="291"/>
      <c r="S6189" s="364"/>
      <c r="Z6189" s="609" t="s">
        <v>2057</v>
      </c>
      <c r="AA6189" s="609"/>
    </row>
    <row r="6190" spans="1:27" ht="18">
      <c r="A6190" s="2714"/>
      <c r="B6190" s="371">
        <v>101.002</v>
      </c>
      <c r="C6190" s="371"/>
      <c r="D6190" s="2716">
        <f t="shared" si="644"/>
        <v>1</v>
      </c>
      <c r="E6190" s="2721" t="s">
        <v>4835</v>
      </c>
      <c r="F6190" s="294"/>
      <c r="G6190" s="308" t="s">
        <v>124</v>
      </c>
      <c r="H6190" s="309"/>
      <c r="I6190" s="309"/>
      <c r="J6190" s="1476">
        <f t="shared" si="645"/>
        <v>0</v>
      </c>
      <c r="K6190" s="388"/>
      <c r="L6190" s="291"/>
      <c r="M6190" s="291"/>
      <c r="N6190" s="291"/>
      <c r="O6190" s="291"/>
      <c r="S6190" s="364"/>
      <c r="Z6190" s="609" t="s">
        <v>2057</v>
      </c>
      <c r="AA6190" s="609"/>
    </row>
    <row r="6191" spans="1:27" ht="18">
      <c r="A6191" s="2714"/>
      <c r="B6191" s="371">
        <v>101.003</v>
      </c>
      <c r="C6191" s="371"/>
      <c r="D6191" s="2716">
        <f t="shared" si="644"/>
        <v>1</v>
      </c>
      <c r="E6191" s="2721" t="s">
        <v>4835</v>
      </c>
      <c r="F6191" s="294"/>
      <c r="G6191" s="308" t="s">
        <v>162</v>
      </c>
      <c r="H6191" s="309"/>
      <c r="I6191" s="309"/>
      <c r="J6191" s="1476">
        <f t="shared" si="645"/>
        <v>0</v>
      </c>
      <c r="K6191" s="388"/>
      <c r="L6191" s="291"/>
      <c r="M6191" s="291"/>
      <c r="N6191" s="291"/>
      <c r="O6191" s="291"/>
      <c r="S6191" s="364"/>
      <c r="Z6191" s="609" t="s">
        <v>2057</v>
      </c>
      <c r="AA6191" s="609"/>
    </row>
    <row r="6192" spans="1:27" ht="18">
      <c r="A6192" s="2714"/>
      <c r="B6192" s="371">
        <v>101.004</v>
      </c>
      <c r="C6192" s="371"/>
      <c r="D6192" s="2716">
        <f t="shared" si="644"/>
        <v>1</v>
      </c>
      <c r="E6192" s="2721" t="s">
        <v>4835</v>
      </c>
      <c r="F6192" s="294"/>
      <c r="G6192" s="308" t="s">
        <v>201</v>
      </c>
      <c r="H6192" s="309"/>
      <c r="I6192" s="309"/>
      <c r="J6192" s="1476">
        <f t="shared" si="645"/>
        <v>0</v>
      </c>
      <c r="K6192" s="388"/>
      <c r="L6192" s="291"/>
      <c r="M6192" s="291"/>
      <c r="N6192" s="291"/>
      <c r="O6192" s="291"/>
      <c r="S6192" s="364"/>
      <c r="Z6192" s="609" t="s">
        <v>2057</v>
      </c>
      <c r="AA6192" s="609"/>
    </row>
    <row r="6193" spans="1:27" ht="18">
      <c r="A6193" s="2714"/>
      <c r="B6193" s="371">
        <v>101.005</v>
      </c>
      <c r="C6193" s="371"/>
      <c r="D6193" s="2716">
        <f t="shared" si="644"/>
        <v>1</v>
      </c>
      <c r="E6193" s="2721" t="s">
        <v>4835</v>
      </c>
      <c r="F6193" s="294"/>
      <c r="G6193" s="308" t="s">
        <v>247</v>
      </c>
      <c r="H6193" s="309"/>
      <c r="I6193" s="309"/>
      <c r="J6193" s="1476">
        <f t="shared" si="645"/>
        <v>0</v>
      </c>
      <c r="K6193" s="388"/>
      <c r="L6193" s="291"/>
      <c r="M6193" s="291"/>
      <c r="N6193" s="291"/>
      <c r="O6193" s="291"/>
      <c r="S6193" s="364"/>
      <c r="Z6193" s="609" t="s">
        <v>2057</v>
      </c>
      <c r="AA6193" s="609"/>
    </row>
    <row r="6194" spans="1:27" ht="18">
      <c r="A6194" s="2714"/>
      <c r="B6194" s="371">
        <v>101.006</v>
      </c>
      <c r="C6194" s="371" t="s">
        <v>2791</v>
      </c>
      <c r="D6194" s="2716">
        <f t="shared" si="644"/>
        <v>0</v>
      </c>
      <c r="E6194" s="2721" t="s">
        <v>4835</v>
      </c>
      <c r="F6194" s="294"/>
      <c r="G6194" s="1563" t="s">
        <v>2792</v>
      </c>
      <c r="H6194" s="309"/>
      <c r="I6194" s="309"/>
      <c r="J6194" s="1476">
        <f t="shared" si="645"/>
        <v>0</v>
      </c>
      <c r="K6194" s="388"/>
      <c r="L6194" s="291"/>
      <c r="M6194" s="291"/>
      <c r="N6194" s="291"/>
      <c r="O6194" s="291"/>
      <c r="S6194" s="364"/>
      <c r="Z6194" s="609" t="s">
        <v>2057</v>
      </c>
      <c r="AA6194" s="609"/>
    </row>
    <row r="6195" spans="1:27" ht="18">
      <c r="A6195" s="2714"/>
      <c r="B6195" s="371">
        <v>101.999</v>
      </c>
      <c r="C6195" s="371"/>
      <c r="D6195" s="2716">
        <f t="shared" si="644"/>
        <v>1</v>
      </c>
      <c r="E6195" s="2721">
        <v>1</v>
      </c>
      <c r="F6195" s="294"/>
      <c r="G6195" s="308" t="s">
        <v>4835</v>
      </c>
      <c r="H6195" s="1476">
        <f>SUMIF($E$6187:$E$6208,$G6195,H$6187:H$6208)</f>
        <v>0</v>
      </c>
      <c r="I6195" s="1476">
        <f>SUMIF($E$6187:$E$6208,$G6195,I$6187:I$6208)</f>
        <v>0</v>
      </c>
      <c r="J6195" s="1476">
        <f>SUMIF($E$6187:$E$6208,$G6195,J$6187:J$6208)</f>
        <v>0</v>
      </c>
      <c r="K6195" s="388"/>
      <c r="L6195" s="291"/>
      <c r="M6195" s="291"/>
      <c r="N6195" s="291"/>
      <c r="O6195" s="291"/>
      <c r="S6195" s="364"/>
      <c r="Z6195" s="609" t="s">
        <v>2057</v>
      </c>
      <c r="AA6195" s="609"/>
    </row>
    <row r="6196" spans="1:27" ht="18">
      <c r="A6196" s="2714"/>
      <c r="B6196" s="371">
        <v>102</v>
      </c>
      <c r="C6196" s="371"/>
      <c r="D6196" s="2716">
        <f t="shared" si="644"/>
        <v>1</v>
      </c>
      <c r="E6196" s="2721" t="s">
        <v>41</v>
      </c>
      <c r="F6196" s="294"/>
      <c r="G6196" s="308" t="s">
        <v>4836</v>
      </c>
      <c r="H6196" s="309"/>
      <c r="I6196" s="309"/>
      <c r="J6196" s="309"/>
      <c r="K6196" s="388"/>
      <c r="L6196" s="532"/>
      <c r="M6196" s="291"/>
      <c r="N6196" s="291"/>
      <c r="O6196" s="291"/>
      <c r="S6196" s="364"/>
      <c r="Z6196" s="609" t="s">
        <v>2057</v>
      </c>
      <c r="AA6196" s="609"/>
    </row>
    <row r="6197" spans="1:27" ht="18">
      <c r="A6197" s="2714"/>
      <c r="B6197" s="371">
        <v>102.001</v>
      </c>
      <c r="C6197" s="371"/>
      <c r="D6197" s="2716">
        <f t="shared" si="644"/>
        <v>1</v>
      </c>
      <c r="E6197" s="2721" t="s">
        <v>4823</v>
      </c>
      <c r="F6197" s="294"/>
      <c r="G6197" s="308" t="s">
        <v>4837</v>
      </c>
      <c r="H6197" s="309"/>
      <c r="I6197" s="309"/>
      <c r="J6197" s="309"/>
      <c r="K6197" s="388"/>
      <c r="L6197" s="291"/>
      <c r="M6197" s="291"/>
      <c r="N6197" s="291"/>
      <c r="O6197" s="291"/>
      <c r="S6197" s="364"/>
      <c r="Z6197" s="609" t="s">
        <v>2057</v>
      </c>
      <c r="AA6197" s="609"/>
    </row>
    <row r="6198" spans="1:27" ht="18">
      <c r="A6198" s="2714"/>
      <c r="B6198" s="371">
        <v>102.002</v>
      </c>
      <c r="C6198" s="371"/>
      <c r="D6198" s="2716">
        <f t="shared" si="644"/>
        <v>1</v>
      </c>
      <c r="E6198" s="2721" t="s">
        <v>4838</v>
      </c>
      <c r="F6198" s="294"/>
      <c r="G6198" s="308" t="s">
        <v>4839</v>
      </c>
      <c r="H6198" s="309"/>
      <c r="I6198" s="309"/>
      <c r="J6198" s="1476">
        <f t="shared" ref="J6198:J6208" si="646">I6198-H6198</f>
        <v>0</v>
      </c>
      <c r="K6198" s="388"/>
      <c r="L6198" s="291"/>
      <c r="M6198" s="291"/>
      <c r="N6198" s="291"/>
      <c r="O6198" s="291"/>
      <c r="S6198" s="364"/>
      <c r="Z6198" s="609" t="s">
        <v>2057</v>
      </c>
      <c r="AA6198" s="609"/>
    </row>
    <row r="6199" spans="1:27" ht="24">
      <c r="A6199" s="2714"/>
      <c r="B6199" s="371">
        <v>102.003</v>
      </c>
      <c r="C6199" s="371"/>
      <c r="D6199" s="2716">
        <f t="shared" si="644"/>
        <v>1</v>
      </c>
      <c r="E6199" s="2721" t="s">
        <v>4838</v>
      </c>
      <c r="F6199" s="294"/>
      <c r="G6199" s="308" t="s">
        <v>4840</v>
      </c>
      <c r="H6199" s="309"/>
      <c r="I6199" s="309"/>
      <c r="J6199" s="1476">
        <f t="shared" si="646"/>
        <v>0</v>
      </c>
      <c r="K6199" s="388"/>
      <c r="L6199" s="291"/>
      <c r="M6199" s="291"/>
      <c r="N6199" s="291"/>
      <c r="O6199" s="291"/>
      <c r="S6199" s="364"/>
      <c r="Z6199" s="609" t="s">
        <v>2057</v>
      </c>
      <c r="AA6199" s="609"/>
    </row>
    <row r="6200" spans="1:27" ht="24">
      <c r="A6200" s="2714"/>
      <c r="B6200" s="371">
        <v>102.004</v>
      </c>
      <c r="C6200" s="371"/>
      <c r="D6200" s="2716">
        <f t="shared" si="644"/>
        <v>1</v>
      </c>
      <c r="E6200" s="2721" t="s">
        <v>4838</v>
      </c>
      <c r="F6200" s="294"/>
      <c r="G6200" s="308" t="s">
        <v>4841</v>
      </c>
      <c r="H6200" s="309"/>
      <c r="I6200" s="309"/>
      <c r="J6200" s="1476">
        <f t="shared" si="646"/>
        <v>0</v>
      </c>
      <c r="K6200" s="388"/>
      <c r="L6200" s="291"/>
      <c r="M6200" s="291"/>
      <c r="N6200" s="291"/>
      <c r="O6200" s="291"/>
      <c r="S6200" s="364"/>
      <c r="Z6200" s="609" t="s">
        <v>2057</v>
      </c>
      <c r="AA6200" s="609"/>
    </row>
    <row r="6201" spans="1:27" ht="18">
      <c r="A6201" s="2714"/>
      <c r="B6201" s="371">
        <v>102.005</v>
      </c>
      <c r="C6201" s="371"/>
      <c r="D6201" s="2716">
        <f t="shared" si="644"/>
        <v>1</v>
      </c>
      <c r="E6201" s="2721" t="s">
        <v>4838</v>
      </c>
      <c r="F6201" s="294"/>
      <c r="G6201" s="308" t="s">
        <v>4842</v>
      </c>
      <c r="H6201" s="309"/>
      <c r="I6201" s="309"/>
      <c r="J6201" s="1476">
        <f t="shared" si="646"/>
        <v>0</v>
      </c>
      <c r="K6201" s="388"/>
      <c r="L6201" s="291"/>
      <c r="M6201" s="291"/>
      <c r="N6201" s="291"/>
      <c r="O6201" s="291"/>
      <c r="S6201" s="364"/>
      <c r="Z6201" s="609" t="s">
        <v>2057</v>
      </c>
      <c r="AA6201" s="609"/>
    </row>
    <row r="6202" spans="1:27" ht="18">
      <c r="A6202" s="2714"/>
      <c r="B6202" s="371">
        <v>102.006</v>
      </c>
      <c r="C6202" s="371"/>
      <c r="D6202" s="2716">
        <f t="shared" si="644"/>
        <v>1</v>
      </c>
      <c r="E6202" s="2721" t="s">
        <v>4838</v>
      </c>
      <c r="F6202" s="294"/>
      <c r="G6202" s="308" t="s">
        <v>4843</v>
      </c>
      <c r="H6202" s="309"/>
      <c r="I6202" s="309"/>
      <c r="J6202" s="1476">
        <f t="shared" si="646"/>
        <v>0</v>
      </c>
      <c r="K6202" s="388"/>
      <c r="L6202" s="291"/>
      <c r="M6202" s="291"/>
      <c r="N6202" s="291"/>
      <c r="O6202" s="291"/>
      <c r="S6202" s="364"/>
      <c r="Z6202" s="609" t="s">
        <v>2057</v>
      </c>
      <c r="AA6202" s="609"/>
    </row>
    <row r="6203" spans="1:27" ht="18">
      <c r="A6203" s="2714"/>
      <c r="B6203" s="371">
        <v>102.00700000000001</v>
      </c>
      <c r="C6203" s="371" t="s">
        <v>2791</v>
      </c>
      <c r="D6203" s="2716">
        <f t="shared" si="644"/>
        <v>0</v>
      </c>
      <c r="E6203" s="2721" t="s">
        <v>4838</v>
      </c>
      <c r="F6203" s="294"/>
      <c r="G6203" s="1563" t="s">
        <v>2792</v>
      </c>
      <c r="H6203" s="309"/>
      <c r="I6203" s="309"/>
      <c r="J6203" s="1476">
        <f t="shared" si="646"/>
        <v>0</v>
      </c>
      <c r="K6203" s="388"/>
      <c r="L6203" s="291"/>
      <c r="M6203" s="291"/>
      <c r="N6203" s="291"/>
      <c r="O6203" s="291"/>
      <c r="S6203" s="364"/>
      <c r="Z6203" s="609" t="s">
        <v>2057</v>
      </c>
      <c r="AA6203" s="609"/>
    </row>
    <row r="6204" spans="1:27" ht="18">
      <c r="A6204" s="2714"/>
      <c r="B6204" s="371">
        <v>102.008</v>
      </c>
      <c r="C6204" s="371"/>
      <c r="D6204" s="2716">
        <f t="shared" si="644"/>
        <v>1</v>
      </c>
      <c r="E6204" s="2721" t="s">
        <v>4823</v>
      </c>
      <c r="F6204" s="294"/>
      <c r="G6204" s="308" t="s">
        <v>4844</v>
      </c>
      <c r="H6204" s="309"/>
      <c r="I6204" s="309"/>
      <c r="J6204" s="1476">
        <f t="shared" si="646"/>
        <v>0</v>
      </c>
      <c r="K6204" s="388"/>
      <c r="L6204" s="291"/>
      <c r="M6204" s="291"/>
      <c r="N6204" s="291"/>
      <c r="O6204" s="291"/>
      <c r="S6204" s="364"/>
      <c r="Z6204" s="609" t="s">
        <v>2057</v>
      </c>
      <c r="AA6204" s="609"/>
    </row>
    <row r="6205" spans="1:27" ht="18">
      <c r="A6205" s="2714"/>
      <c r="B6205" s="371">
        <v>102.009</v>
      </c>
      <c r="C6205" s="371"/>
      <c r="D6205" s="2716">
        <f t="shared" si="644"/>
        <v>1</v>
      </c>
      <c r="E6205" s="2721" t="s">
        <v>4838</v>
      </c>
      <c r="F6205" s="294"/>
      <c r="G6205" s="308" t="s">
        <v>4845</v>
      </c>
      <c r="H6205" s="309"/>
      <c r="I6205" s="309"/>
      <c r="J6205" s="1476">
        <f t="shared" si="646"/>
        <v>0</v>
      </c>
      <c r="K6205" s="388"/>
      <c r="L6205" s="291"/>
      <c r="M6205" s="291"/>
      <c r="N6205" s="291"/>
      <c r="O6205" s="291"/>
      <c r="S6205" s="364"/>
      <c r="Z6205" s="609" t="s">
        <v>2057</v>
      </c>
      <c r="AA6205" s="609"/>
    </row>
    <row r="6206" spans="1:27" ht="18">
      <c r="A6206" s="2714"/>
      <c r="B6206" s="371">
        <v>102.01</v>
      </c>
      <c r="C6206" s="371" t="s">
        <v>2791</v>
      </c>
      <c r="D6206" s="2716">
        <f t="shared" si="644"/>
        <v>0</v>
      </c>
      <c r="E6206" s="2721" t="s">
        <v>4838</v>
      </c>
      <c r="F6206" s="294"/>
      <c r="G6206" s="1563" t="s">
        <v>2792</v>
      </c>
      <c r="H6206" s="309"/>
      <c r="I6206" s="309"/>
      <c r="J6206" s="1476">
        <f t="shared" si="646"/>
        <v>0</v>
      </c>
      <c r="K6206" s="388"/>
      <c r="L6206" s="291"/>
      <c r="M6206" s="291"/>
      <c r="N6206" s="291"/>
      <c r="O6206" s="291"/>
      <c r="S6206" s="364"/>
      <c r="Z6206" s="609" t="s">
        <v>2057</v>
      </c>
      <c r="AA6206" s="609"/>
    </row>
    <row r="6207" spans="1:27" ht="18">
      <c r="A6207" s="2714"/>
      <c r="B6207" s="371">
        <v>102.999</v>
      </c>
      <c r="C6207" s="371"/>
      <c r="D6207" s="2716">
        <f t="shared" si="644"/>
        <v>1</v>
      </c>
      <c r="E6207" s="2721">
        <v>-1</v>
      </c>
      <c r="F6207" s="294"/>
      <c r="G6207" s="308" t="s">
        <v>4838</v>
      </c>
      <c r="H6207" s="1476">
        <f>SUMIF($E$6187:$E$6208,$G6207,H$6187:H$6208)</f>
        <v>0</v>
      </c>
      <c r="I6207" s="1476">
        <f>SUMIF($E$6187:$E$6208,$G6207,I$6187:I$6208)</f>
        <v>0</v>
      </c>
      <c r="J6207" s="1476">
        <f>SUMIF($E$6187:$E$6208,$G6207,J$6187:J$6208)</f>
        <v>0</v>
      </c>
      <c r="K6207" s="388"/>
      <c r="L6207" s="291"/>
      <c r="M6207" s="291"/>
      <c r="N6207" s="291"/>
      <c r="O6207" s="291"/>
      <c r="S6207" s="364"/>
      <c r="Z6207" s="609" t="s">
        <v>2057</v>
      </c>
      <c r="AA6207" s="609"/>
    </row>
    <row r="6208" spans="1:27" ht="18">
      <c r="A6208" s="2714"/>
      <c r="B6208" s="371">
        <v>103</v>
      </c>
      <c r="C6208" s="371" t="s">
        <v>2791</v>
      </c>
      <c r="D6208" s="2716">
        <f t="shared" si="644"/>
        <v>0</v>
      </c>
      <c r="E6208" s="2721">
        <v>-1</v>
      </c>
      <c r="F6208" s="294"/>
      <c r="G6208" s="1563" t="s">
        <v>2792</v>
      </c>
      <c r="H6208" s="309"/>
      <c r="I6208" s="309"/>
      <c r="J6208" s="1476">
        <f t="shared" si="646"/>
        <v>0</v>
      </c>
      <c r="K6208" s="388"/>
      <c r="L6208" s="291"/>
      <c r="M6208" s="291"/>
      <c r="N6208" s="291"/>
      <c r="O6208" s="291"/>
      <c r="S6208" s="364"/>
      <c r="Z6208" s="609" t="s">
        <v>2057</v>
      </c>
      <c r="AA6208" s="609"/>
    </row>
    <row r="6209" spans="1:27" ht="18.75" thickBot="1">
      <c r="A6209" s="2714"/>
      <c r="B6209" s="371"/>
      <c r="C6209" s="371"/>
      <c r="D6209" s="2716">
        <f t="shared" si="644"/>
        <v>1</v>
      </c>
      <c r="E6209" s="2721" t="s">
        <v>2751</v>
      </c>
      <c r="F6209" s="294"/>
      <c r="G6209" s="1529" t="s">
        <v>2752</v>
      </c>
      <c r="H6209" s="1527">
        <f>SUMPRODUCT($E6187:$E6208,H6187:H6208)</f>
        <v>0</v>
      </c>
      <c r="I6209" s="1527">
        <f>SUMPRODUCT($E6187:$E6208,I6187:I6208)</f>
        <v>0</v>
      </c>
      <c r="J6209" s="1527">
        <f>SUMPRODUCT($E6187:$E6208,J6187:J6208)</f>
        <v>0</v>
      </c>
      <c r="K6209" s="1571"/>
      <c r="L6209" s="291"/>
      <c r="M6209" s="291"/>
      <c r="N6209" s="291"/>
      <c r="O6209" s="291"/>
      <c r="S6209" s="364"/>
      <c r="Z6209" s="609" t="s">
        <v>2057</v>
      </c>
      <c r="AA6209" s="609"/>
    </row>
    <row r="6210" spans="1:27" ht="18">
      <c r="A6210" s="2714"/>
      <c r="B6210" s="371"/>
      <c r="C6210" s="371" t="s">
        <v>2755</v>
      </c>
      <c r="D6210" s="371"/>
      <c r="F6210" s="294"/>
      <c r="G6210" s="301"/>
      <c r="H6210" s="315"/>
      <c r="I6210" s="315"/>
      <c r="J6210" s="315"/>
      <c r="K6210" s="393"/>
      <c r="L6210" s="291"/>
      <c r="M6210" s="291"/>
      <c r="N6210" s="291"/>
      <c r="O6210" s="291"/>
      <c r="S6210" s="364"/>
      <c r="Z6210" s="609" t="s">
        <v>2057</v>
      </c>
      <c r="AA6210" s="609"/>
    </row>
    <row r="6211" spans="1:27" ht="18">
      <c r="A6211" s="2714">
        <v>7519</v>
      </c>
      <c r="B6211" s="371">
        <v>79.14</v>
      </c>
      <c r="C6211" s="2716" t="str">
        <f>VLOOKUP($A6211,Sheet_Items,2,0)</f>
        <v>经营性应付项目的增加</v>
      </c>
      <c r="D6211" s="371"/>
      <c r="E6211" s="2716" t="s">
        <v>2739</v>
      </c>
      <c r="F6211" s="294"/>
      <c r="G6211" s="536" t="str">
        <f>B6211&amp;" "&amp;C6211</f>
        <v>79.14 经营性应付项目的增加</v>
      </c>
      <c r="H6211" s="322"/>
      <c r="I6211" s="322"/>
      <c r="J6211" s="306" t="s">
        <v>4206</v>
      </c>
      <c r="K6211" s="341">
        <f>VLOOKUP($A6211,Sheet_Trialbal,6,0)</f>
        <v>481891.08</v>
      </c>
      <c r="L6211" s="342"/>
      <c r="M6211" s="306"/>
      <c r="N6211" s="341"/>
      <c r="O6211" s="306"/>
      <c r="P6211" s="301"/>
      <c r="S6211" s="364"/>
      <c r="Z6211" s="609" t="s">
        <v>2060</v>
      </c>
      <c r="AA6211" s="609"/>
    </row>
    <row r="6212" spans="1:27" ht="36">
      <c r="A6212" s="2714" t="s">
        <v>2058</v>
      </c>
      <c r="B6212" s="371">
        <v>1</v>
      </c>
      <c r="C6212" s="371"/>
      <c r="D6212" s="2716" t="str">
        <f>VLOOKUP($A6212,Sheet_NoteList,2,0)</f>
        <v>将净利润调节为经营活动现金流量：经营性应付项目的增加</v>
      </c>
      <c r="E6212" s="2716" t="s">
        <v>2742</v>
      </c>
      <c r="F6212" s="294"/>
      <c r="G6212" s="372" t="str">
        <f>"("&amp;B6212&amp;")"&amp;D6212</f>
        <v>(1)将净利润调节为经营活动现金流量：经营性应付项目的增加</v>
      </c>
      <c r="H6212" s="1517" t="str">
        <f>$A6212</f>
        <v>7519a</v>
      </c>
      <c r="I6212" s="343" t="s">
        <v>2743</v>
      </c>
      <c r="J6212" s="301" t="s">
        <v>4712</v>
      </c>
      <c r="K6212" s="2210">
        <f>J6238</f>
        <v>0</v>
      </c>
      <c r="L6212" s="345">
        <f>IF(ROUND(K6211-K6212,2)=0,"F/S",ROUND(K6211-K6212,2))</f>
        <v>481891.08</v>
      </c>
      <c r="M6212" s="532" t="s">
        <v>4713</v>
      </c>
      <c r="N6212" s="3071"/>
      <c r="O6212" s="315"/>
      <c r="P6212" s="301"/>
      <c r="S6212" s="364"/>
      <c r="Z6212" s="609" t="s">
        <v>2060</v>
      </c>
      <c r="AA6212" s="609"/>
    </row>
    <row r="6213" spans="1:27" ht="0.75" customHeight="1" thickBot="1">
      <c r="A6213" s="2714"/>
      <c r="B6213" s="371"/>
      <c r="C6213" s="371"/>
      <c r="D6213" s="371"/>
      <c r="F6213" s="294"/>
      <c r="G6213" s="294" t="s">
        <v>4846</v>
      </c>
      <c r="H6213" s="294" t="s">
        <v>2747</v>
      </c>
      <c r="I6213" s="294" t="s">
        <v>2748</v>
      </c>
      <c r="J6213" s="294" t="s">
        <v>3250</v>
      </c>
      <c r="K6213" s="294" t="s">
        <v>2898</v>
      </c>
      <c r="L6213" s="291"/>
      <c r="M6213" s="291"/>
      <c r="N6213" s="291"/>
      <c r="O6213" s="291"/>
      <c r="S6213" s="364"/>
      <c r="Z6213" s="609" t="s">
        <v>2060</v>
      </c>
      <c r="AA6213" s="609"/>
    </row>
    <row r="6214" spans="1:27" ht="18">
      <c r="A6214" s="2714"/>
      <c r="B6214" s="371"/>
      <c r="C6214" s="371"/>
      <c r="D6214" s="371"/>
      <c r="E6214" s="2716" t="s">
        <v>2749</v>
      </c>
      <c r="F6214" s="294"/>
      <c r="G6214" s="1564" t="s">
        <v>47</v>
      </c>
      <c r="H6214" s="1565" t="s">
        <v>3276</v>
      </c>
      <c r="I6214" s="1565" t="s">
        <v>3273</v>
      </c>
      <c r="J6214" s="1565" t="s">
        <v>3274</v>
      </c>
      <c r="K6214" s="1566" t="s">
        <v>2508</v>
      </c>
      <c r="L6214" s="291"/>
      <c r="M6214" s="291"/>
      <c r="N6214" s="291"/>
      <c r="O6214" s="291"/>
      <c r="S6214" s="364"/>
      <c r="Z6214" s="609" t="s">
        <v>2060</v>
      </c>
      <c r="AA6214" s="609"/>
    </row>
    <row r="6215" spans="1:27" ht="18">
      <c r="A6215" s="2714"/>
      <c r="B6215" s="371">
        <v>101</v>
      </c>
      <c r="C6215" s="371"/>
      <c r="D6215" s="2716">
        <f t="shared" ref="D6215:D6238" si="647">IF(OR(G6215="*",G6215="",G6215=0),0,COUNTIF($G$6215:$G$6238,G6215))</f>
        <v>1</v>
      </c>
      <c r="E6215" s="2721" t="s">
        <v>41</v>
      </c>
      <c r="F6215" s="294"/>
      <c r="G6215" s="308" t="s">
        <v>4847</v>
      </c>
      <c r="H6215" s="309"/>
      <c r="I6215" s="309"/>
      <c r="J6215" s="309"/>
      <c r="K6215" s="388"/>
      <c r="L6215" s="291"/>
      <c r="M6215" s="291"/>
      <c r="N6215" s="291"/>
      <c r="O6215" s="291"/>
      <c r="S6215" s="364"/>
      <c r="Z6215" s="609" t="s">
        <v>2060</v>
      </c>
      <c r="AA6215" s="609"/>
    </row>
    <row r="6216" spans="1:27" ht="18">
      <c r="A6216" s="2714"/>
      <c r="B6216" s="371">
        <v>101.001</v>
      </c>
      <c r="C6216" s="371"/>
      <c r="D6216" s="2716">
        <f t="shared" si="647"/>
        <v>1</v>
      </c>
      <c r="E6216" s="2721" t="s">
        <v>4848</v>
      </c>
      <c r="F6216" s="294"/>
      <c r="G6216" s="308" t="s">
        <v>471</v>
      </c>
      <c r="H6216" s="309"/>
      <c r="I6216" s="309"/>
      <c r="J6216" s="1476">
        <f t="shared" ref="J6216:J6223" si="648">H6216-I6216</f>
        <v>0</v>
      </c>
      <c r="K6216" s="388"/>
      <c r="L6216" s="291"/>
      <c r="M6216" s="291"/>
      <c r="N6216" s="291"/>
      <c r="O6216" s="291"/>
      <c r="S6216" s="364"/>
      <c r="Z6216" s="609" t="s">
        <v>2060</v>
      </c>
      <c r="AA6216" s="609"/>
    </row>
    <row r="6217" spans="1:27" ht="18">
      <c r="A6217" s="2714"/>
      <c r="B6217" s="371">
        <v>101.002</v>
      </c>
      <c r="C6217" s="371"/>
      <c r="D6217" s="2716">
        <f t="shared" si="647"/>
        <v>1</v>
      </c>
      <c r="E6217" s="2721" t="s">
        <v>4848</v>
      </c>
      <c r="F6217" s="294"/>
      <c r="G6217" s="308" t="s">
        <v>476</v>
      </c>
      <c r="H6217" s="309"/>
      <c r="I6217" s="309"/>
      <c r="J6217" s="1476">
        <f t="shared" si="648"/>
        <v>0</v>
      </c>
      <c r="K6217" s="388"/>
      <c r="L6217" s="291"/>
      <c r="M6217" s="291"/>
      <c r="N6217" s="291"/>
      <c r="O6217" s="291"/>
      <c r="S6217" s="364"/>
      <c r="Z6217" s="609" t="s">
        <v>2060</v>
      </c>
      <c r="AA6217" s="609"/>
    </row>
    <row r="6218" spans="1:27" ht="18">
      <c r="A6218" s="2714"/>
      <c r="B6218" s="371">
        <v>101.003</v>
      </c>
      <c r="C6218" s="371"/>
      <c r="D6218" s="2716">
        <f t="shared" si="647"/>
        <v>1</v>
      </c>
      <c r="E6218" s="2721" t="s">
        <v>4848</v>
      </c>
      <c r="F6218" s="294"/>
      <c r="G6218" s="308" t="s">
        <v>484</v>
      </c>
      <c r="H6218" s="309"/>
      <c r="I6218" s="309"/>
      <c r="J6218" s="1476">
        <f t="shared" si="648"/>
        <v>0</v>
      </c>
      <c r="K6218" s="388"/>
      <c r="L6218" s="291"/>
      <c r="M6218" s="291"/>
      <c r="N6218" s="291"/>
      <c r="O6218" s="291"/>
      <c r="S6218" s="364"/>
      <c r="Z6218" s="609" t="s">
        <v>2060</v>
      </c>
      <c r="AA6218" s="609"/>
    </row>
    <row r="6219" spans="1:27" ht="18">
      <c r="A6219" s="2714"/>
      <c r="B6219" s="371">
        <v>101.004</v>
      </c>
      <c r="C6219" s="371"/>
      <c r="D6219" s="2716">
        <f t="shared" si="647"/>
        <v>1</v>
      </c>
      <c r="E6219" s="2721" t="s">
        <v>4848</v>
      </c>
      <c r="F6219" s="294"/>
      <c r="G6219" s="308" t="s">
        <v>489</v>
      </c>
      <c r="H6219" s="309"/>
      <c r="I6219" s="309"/>
      <c r="J6219" s="1476">
        <f t="shared" si="648"/>
        <v>0</v>
      </c>
      <c r="K6219" s="388"/>
      <c r="L6219" s="291"/>
      <c r="M6219" s="291"/>
      <c r="N6219" s="291"/>
      <c r="O6219" s="291"/>
      <c r="S6219" s="364"/>
      <c r="Z6219" s="609" t="s">
        <v>2060</v>
      </c>
      <c r="AA6219" s="609"/>
    </row>
    <row r="6220" spans="1:27" ht="18">
      <c r="A6220" s="2714"/>
      <c r="B6220" s="371">
        <v>101.005</v>
      </c>
      <c r="C6220" s="371"/>
      <c r="D6220" s="2716">
        <f t="shared" si="647"/>
        <v>1</v>
      </c>
      <c r="E6220" s="2721" t="s">
        <v>4848</v>
      </c>
      <c r="F6220" s="294"/>
      <c r="G6220" s="308" t="s">
        <v>494</v>
      </c>
      <c r="H6220" s="309"/>
      <c r="I6220" s="309"/>
      <c r="J6220" s="1476">
        <f t="shared" si="648"/>
        <v>0</v>
      </c>
      <c r="K6220" s="388"/>
      <c r="L6220" s="291"/>
      <c r="M6220" s="291"/>
      <c r="N6220" s="291"/>
      <c r="O6220" s="291"/>
      <c r="S6220" s="364"/>
      <c r="Z6220" s="609" t="s">
        <v>2060</v>
      </c>
      <c r="AA6220" s="609"/>
    </row>
    <row r="6221" spans="1:27" ht="18">
      <c r="A6221" s="2714"/>
      <c r="B6221" s="371">
        <v>101.006</v>
      </c>
      <c r="C6221" s="371"/>
      <c r="D6221" s="2716">
        <f t="shared" si="647"/>
        <v>1</v>
      </c>
      <c r="E6221" s="2721" t="s">
        <v>4848</v>
      </c>
      <c r="F6221" s="294"/>
      <c r="G6221" s="308" t="s">
        <v>513</v>
      </c>
      <c r="H6221" s="309"/>
      <c r="I6221" s="309"/>
      <c r="J6221" s="1476">
        <f t="shared" si="648"/>
        <v>0</v>
      </c>
      <c r="K6221" s="388"/>
      <c r="L6221" s="291"/>
      <c r="M6221" s="291"/>
      <c r="N6221" s="291"/>
      <c r="O6221" s="291"/>
      <c r="S6221" s="364"/>
      <c r="Z6221" s="609" t="s">
        <v>2060</v>
      </c>
      <c r="AA6221" s="609"/>
    </row>
    <row r="6222" spans="1:27" ht="18">
      <c r="A6222" s="2714"/>
      <c r="B6222" s="371">
        <v>101.00700000000001</v>
      </c>
      <c r="C6222" s="371"/>
      <c r="D6222" s="2716">
        <f t="shared" si="647"/>
        <v>1</v>
      </c>
      <c r="E6222" s="2721" t="s">
        <v>4848</v>
      </c>
      <c r="F6222" s="294"/>
      <c r="G6222" s="308" t="s">
        <v>534</v>
      </c>
      <c r="H6222" s="309"/>
      <c r="I6222" s="309"/>
      <c r="J6222" s="1476">
        <f t="shared" si="648"/>
        <v>0</v>
      </c>
      <c r="K6222" s="388"/>
      <c r="L6222" s="291"/>
      <c r="M6222" s="291"/>
      <c r="N6222" s="291"/>
      <c r="O6222" s="291"/>
      <c r="S6222" s="364"/>
      <c r="Z6222" s="609" t="s">
        <v>2060</v>
      </c>
      <c r="AA6222" s="609"/>
    </row>
    <row r="6223" spans="1:27" ht="18">
      <c r="A6223" s="2714"/>
      <c r="B6223" s="371">
        <v>101.008</v>
      </c>
      <c r="C6223" s="371" t="s">
        <v>2791</v>
      </c>
      <c r="D6223" s="2716">
        <f t="shared" si="647"/>
        <v>0</v>
      </c>
      <c r="E6223" s="2721" t="s">
        <v>4848</v>
      </c>
      <c r="F6223" s="294"/>
      <c r="G6223" s="1563" t="s">
        <v>2792</v>
      </c>
      <c r="H6223" s="309"/>
      <c r="I6223" s="309"/>
      <c r="J6223" s="1476">
        <f t="shared" si="648"/>
        <v>0</v>
      </c>
      <c r="K6223" s="388"/>
      <c r="L6223" s="291"/>
      <c r="M6223" s="291"/>
      <c r="N6223" s="291"/>
      <c r="O6223" s="291"/>
      <c r="S6223" s="364"/>
      <c r="Z6223" s="609" t="s">
        <v>2060</v>
      </c>
      <c r="AA6223" s="609"/>
    </row>
    <row r="6224" spans="1:27" ht="18">
      <c r="A6224" s="2714"/>
      <c r="B6224" s="371">
        <v>101.999</v>
      </c>
      <c r="C6224" s="371"/>
      <c r="D6224" s="2716">
        <f t="shared" si="647"/>
        <v>1</v>
      </c>
      <c r="E6224" s="2721">
        <v>1</v>
      </c>
      <c r="F6224" s="294"/>
      <c r="G6224" s="308" t="s">
        <v>4848</v>
      </c>
      <c r="H6224" s="1476">
        <f>SUMIF($E$6214:$E$6237,$G6224,H$6214:H$6237)</f>
        <v>0</v>
      </c>
      <c r="I6224" s="1476">
        <f>SUMIF($E$6214:$E$6237,$G6224,I$6214:I$6237)</f>
        <v>0</v>
      </c>
      <c r="J6224" s="1476">
        <f>SUMIF($E$6214:$E$6237,$G6224,J$6214:J$6237)</f>
        <v>0</v>
      </c>
      <c r="K6224" s="388"/>
      <c r="L6224" s="291"/>
      <c r="M6224" s="291"/>
      <c r="N6224" s="291"/>
      <c r="O6224" s="291"/>
      <c r="S6224" s="364"/>
      <c r="Z6224" s="609" t="s">
        <v>2060</v>
      </c>
      <c r="AA6224" s="609"/>
    </row>
    <row r="6225" spans="1:27" ht="18">
      <c r="A6225" s="2714"/>
      <c r="B6225" s="371">
        <v>102</v>
      </c>
      <c r="C6225" s="371"/>
      <c r="D6225" s="2716">
        <f t="shared" si="647"/>
        <v>1</v>
      </c>
      <c r="E6225" s="2721" t="s">
        <v>41</v>
      </c>
      <c r="F6225" s="294"/>
      <c r="G6225" s="308" t="s">
        <v>4849</v>
      </c>
      <c r="H6225" s="309"/>
      <c r="I6225" s="309"/>
      <c r="J6225" s="309"/>
      <c r="K6225" s="388"/>
      <c r="L6225" s="532"/>
      <c r="M6225" s="291"/>
      <c r="N6225" s="291"/>
      <c r="O6225" s="291"/>
      <c r="S6225" s="364"/>
      <c r="Z6225" s="609" t="s">
        <v>2060</v>
      </c>
      <c r="AA6225" s="609"/>
    </row>
    <row r="6226" spans="1:27" ht="18">
      <c r="A6226" s="2714"/>
      <c r="B6226" s="371">
        <v>102.001</v>
      </c>
      <c r="C6226" s="371"/>
      <c r="D6226" s="2716">
        <f t="shared" si="647"/>
        <v>1</v>
      </c>
      <c r="E6226" s="2721" t="s">
        <v>4823</v>
      </c>
      <c r="F6226" s="294"/>
      <c r="G6226" s="308" t="s">
        <v>4850</v>
      </c>
      <c r="H6226" s="309"/>
      <c r="I6226" s="309"/>
      <c r="J6226" s="309"/>
      <c r="K6226" s="388"/>
      <c r="L6226" s="291"/>
      <c r="M6226" s="291"/>
      <c r="N6226" s="291"/>
      <c r="O6226" s="291"/>
      <c r="S6226" s="364"/>
      <c r="Z6226" s="609" t="s">
        <v>2060</v>
      </c>
      <c r="AA6226" s="609"/>
    </row>
    <row r="6227" spans="1:27" ht="24">
      <c r="A6227" s="2714"/>
      <c r="B6227" s="371">
        <v>102.002</v>
      </c>
      <c r="C6227" s="371"/>
      <c r="D6227" s="2716">
        <f t="shared" si="647"/>
        <v>1</v>
      </c>
      <c r="E6227" s="2721" t="s">
        <v>4851</v>
      </c>
      <c r="F6227" s="294"/>
      <c r="G6227" s="308" t="s">
        <v>4852</v>
      </c>
      <c r="H6227" s="309"/>
      <c r="I6227" s="309"/>
      <c r="J6227" s="1476">
        <f t="shared" ref="J6227:J6235" si="649">H6227-I6227</f>
        <v>0</v>
      </c>
      <c r="K6227" s="388"/>
      <c r="L6227" s="291"/>
      <c r="M6227" s="291"/>
      <c r="N6227" s="291"/>
      <c r="O6227" s="291"/>
      <c r="S6227" s="364"/>
      <c r="Z6227" s="609" t="s">
        <v>2060</v>
      </c>
      <c r="AA6227" s="609"/>
    </row>
    <row r="6228" spans="1:27" ht="24">
      <c r="A6228" s="2714"/>
      <c r="B6228" s="371">
        <v>102.003</v>
      </c>
      <c r="C6228" s="371"/>
      <c r="D6228" s="2716">
        <f t="shared" si="647"/>
        <v>1</v>
      </c>
      <c r="E6228" s="2721" t="s">
        <v>4851</v>
      </c>
      <c r="F6228" s="294"/>
      <c r="G6228" s="308" t="s">
        <v>4853</v>
      </c>
      <c r="H6228" s="309"/>
      <c r="I6228" s="309"/>
      <c r="J6228" s="1476">
        <f t="shared" si="649"/>
        <v>0</v>
      </c>
      <c r="K6228" s="388"/>
      <c r="L6228" s="291"/>
      <c r="M6228" s="291"/>
      <c r="N6228" s="291"/>
      <c r="O6228" s="291"/>
      <c r="S6228" s="364"/>
      <c r="Z6228" s="609" t="s">
        <v>2060</v>
      </c>
      <c r="AA6228" s="609"/>
    </row>
    <row r="6229" spans="1:27" ht="24">
      <c r="A6229" s="2714"/>
      <c r="B6229" s="371">
        <v>102.004</v>
      </c>
      <c r="C6229" s="371"/>
      <c r="D6229" s="2716">
        <f t="shared" si="647"/>
        <v>1</v>
      </c>
      <c r="E6229" s="2721" t="s">
        <v>4851</v>
      </c>
      <c r="F6229" s="294"/>
      <c r="G6229" s="308" t="s">
        <v>4854</v>
      </c>
      <c r="H6229" s="309"/>
      <c r="I6229" s="309"/>
      <c r="J6229" s="1476">
        <f t="shared" si="649"/>
        <v>0</v>
      </c>
      <c r="K6229" s="388"/>
      <c r="L6229" s="291"/>
      <c r="M6229" s="291"/>
      <c r="N6229" s="291"/>
      <c r="O6229" s="291"/>
      <c r="S6229" s="364"/>
      <c r="Z6229" s="609" t="s">
        <v>2060</v>
      </c>
      <c r="AA6229" s="609"/>
    </row>
    <row r="6230" spans="1:27" ht="18">
      <c r="A6230" s="2714"/>
      <c r="B6230" s="371">
        <v>102.005</v>
      </c>
      <c r="C6230" s="371"/>
      <c r="D6230" s="2716">
        <f t="shared" si="647"/>
        <v>1</v>
      </c>
      <c r="E6230" s="2721" t="s">
        <v>4851</v>
      </c>
      <c r="F6230" s="294"/>
      <c r="G6230" s="308" t="s">
        <v>4855</v>
      </c>
      <c r="H6230" s="309"/>
      <c r="I6230" s="309"/>
      <c r="J6230" s="1476">
        <f t="shared" si="649"/>
        <v>0</v>
      </c>
      <c r="K6230" s="388"/>
      <c r="L6230" s="291"/>
      <c r="M6230" s="291"/>
      <c r="N6230" s="291"/>
      <c r="O6230" s="291"/>
      <c r="S6230" s="364"/>
      <c r="Z6230" s="609" t="s">
        <v>2060</v>
      </c>
      <c r="AA6230" s="609"/>
    </row>
    <row r="6231" spans="1:27" ht="18">
      <c r="A6231" s="2714"/>
      <c r="B6231" s="371">
        <v>102.006</v>
      </c>
      <c r="C6231" s="371"/>
      <c r="D6231" s="2716">
        <f t="shared" si="647"/>
        <v>1</v>
      </c>
      <c r="E6231" s="2721" t="s">
        <v>4851</v>
      </c>
      <c r="F6231" s="294"/>
      <c r="G6231" s="308" t="s">
        <v>4856</v>
      </c>
      <c r="H6231" s="309"/>
      <c r="I6231" s="309"/>
      <c r="J6231" s="1476">
        <f t="shared" si="649"/>
        <v>0</v>
      </c>
      <c r="K6231" s="388"/>
      <c r="L6231" s="291"/>
      <c r="M6231" s="291"/>
      <c r="N6231" s="291"/>
      <c r="O6231" s="291"/>
      <c r="S6231" s="364"/>
      <c r="Z6231" s="609" t="s">
        <v>2060</v>
      </c>
      <c r="AA6231" s="609"/>
    </row>
    <row r="6232" spans="1:27" ht="18">
      <c r="A6232" s="2714"/>
      <c r="B6232" s="371">
        <v>102.00700000000001</v>
      </c>
      <c r="C6232" s="371" t="s">
        <v>2791</v>
      </c>
      <c r="D6232" s="2716">
        <f t="shared" si="647"/>
        <v>0</v>
      </c>
      <c r="E6232" s="2721" t="s">
        <v>4851</v>
      </c>
      <c r="F6232" s="294"/>
      <c r="G6232" s="1563" t="s">
        <v>2792</v>
      </c>
      <c r="H6232" s="309"/>
      <c r="I6232" s="309"/>
      <c r="J6232" s="1476">
        <f t="shared" si="649"/>
        <v>0</v>
      </c>
      <c r="K6232" s="388"/>
      <c r="L6232" s="291"/>
      <c r="M6232" s="291"/>
      <c r="N6232" s="291"/>
      <c r="O6232" s="291"/>
      <c r="S6232" s="364"/>
      <c r="Z6232" s="609" t="s">
        <v>2060</v>
      </c>
      <c r="AA6232" s="609"/>
    </row>
    <row r="6233" spans="1:27" ht="18">
      <c r="A6233" s="2714"/>
      <c r="B6233" s="371">
        <v>102.008</v>
      </c>
      <c r="C6233" s="371"/>
      <c r="D6233" s="2716">
        <f t="shared" si="647"/>
        <v>1</v>
      </c>
      <c r="E6233" s="2721" t="s">
        <v>4823</v>
      </c>
      <c r="F6233" s="294"/>
      <c r="G6233" s="308" t="s">
        <v>4857</v>
      </c>
      <c r="H6233" s="309"/>
      <c r="I6233" s="309"/>
      <c r="J6233" s="1476">
        <f t="shared" si="649"/>
        <v>0</v>
      </c>
      <c r="K6233" s="388"/>
      <c r="L6233" s="291"/>
      <c r="M6233" s="291"/>
      <c r="N6233" s="291"/>
      <c r="O6233" s="291"/>
      <c r="S6233" s="364"/>
      <c r="Z6233" s="609" t="s">
        <v>2060</v>
      </c>
      <c r="AA6233" s="609"/>
    </row>
    <row r="6234" spans="1:27" ht="18">
      <c r="A6234" s="2714"/>
      <c r="B6234" s="371">
        <v>102.009</v>
      </c>
      <c r="C6234" s="371"/>
      <c r="D6234" s="2716">
        <f t="shared" si="647"/>
        <v>1</v>
      </c>
      <c r="E6234" s="2721" t="s">
        <v>4851</v>
      </c>
      <c r="F6234" s="294"/>
      <c r="G6234" s="308" t="s">
        <v>4858</v>
      </c>
      <c r="H6234" s="309"/>
      <c r="I6234" s="309"/>
      <c r="J6234" s="1476">
        <f t="shared" si="649"/>
        <v>0</v>
      </c>
      <c r="K6234" s="388"/>
      <c r="L6234" s="291"/>
      <c r="M6234" s="291"/>
      <c r="N6234" s="291"/>
      <c r="O6234" s="291"/>
      <c r="S6234" s="364"/>
      <c r="Z6234" s="609" t="s">
        <v>2060</v>
      </c>
      <c r="AA6234" s="609"/>
    </row>
    <row r="6235" spans="1:27" ht="18">
      <c r="A6235" s="2714"/>
      <c r="B6235" s="371">
        <v>102.01</v>
      </c>
      <c r="C6235" s="371" t="s">
        <v>2791</v>
      </c>
      <c r="D6235" s="2716">
        <f t="shared" si="647"/>
        <v>0</v>
      </c>
      <c r="E6235" s="2721" t="s">
        <v>4851</v>
      </c>
      <c r="F6235" s="294"/>
      <c r="G6235" s="1563" t="s">
        <v>2792</v>
      </c>
      <c r="H6235" s="309"/>
      <c r="I6235" s="309"/>
      <c r="J6235" s="1476">
        <f t="shared" si="649"/>
        <v>0</v>
      </c>
      <c r="K6235" s="388"/>
      <c r="L6235" s="291"/>
      <c r="M6235" s="291"/>
      <c r="N6235" s="291"/>
      <c r="O6235" s="291"/>
      <c r="S6235" s="364"/>
      <c r="Z6235" s="609" t="s">
        <v>2060</v>
      </c>
      <c r="AA6235" s="609"/>
    </row>
    <row r="6236" spans="1:27" ht="18">
      <c r="A6236" s="2714"/>
      <c r="B6236" s="371">
        <v>102.999</v>
      </c>
      <c r="C6236" s="371"/>
      <c r="D6236" s="2716">
        <f t="shared" si="647"/>
        <v>1</v>
      </c>
      <c r="E6236" s="2721">
        <v>-1</v>
      </c>
      <c r="F6236" s="294"/>
      <c r="G6236" s="308" t="s">
        <v>4851</v>
      </c>
      <c r="H6236" s="1476">
        <f>SUMIF($E$6214:$E$6237,$G6236,H$6214:H$6237)</f>
        <v>0</v>
      </c>
      <c r="I6236" s="1476">
        <f>SUMIF($E$6214:$E$6237,$G6236,I$6214:I$6237)</f>
        <v>0</v>
      </c>
      <c r="J6236" s="1476">
        <f>SUMIF($E$6214:$E$6237,$G6236,J$6214:J$6237)</f>
        <v>0</v>
      </c>
      <c r="K6236" s="388"/>
      <c r="L6236" s="291"/>
      <c r="M6236" s="291"/>
      <c r="N6236" s="291"/>
      <c r="O6236" s="291"/>
      <c r="S6236" s="364"/>
      <c r="Z6236" s="609" t="s">
        <v>2060</v>
      </c>
      <c r="AA6236" s="609"/>
    </row>
    <row r="6237" spans="1:27" ht="18">
      <c r="A6237" s="2714"/>
      <c r="B6237" s="371">
        <v>103</v>
      </c>
      <c r="C6237" s="371" t="s">
        <v>2791</v>
      </c>
      <c r="D6237" s="2716">
        <f t="shared" si="647"/>
        <v>0</v>
      </c>
      <c r="E6237" s="2721">
        <v>-1</v>
      </c>
      <c r="F6237" s="294"/>
      <c r="G6237" s="1563" t="s">
        <v>2792</v>
      </c>
      <c r="H6237" s="309"/>
      <c r="I6237" s="309"/>
      <c r="J6237" s="309"/>
      <c r="K6237" s="388"/>
      <c r="L6237" s="291"/>
      <c r="M6237" s="291"/>
      <c r="N6237" s="291"/>
      <c r="O6237" s="291"/>
      <c r="S6237" s="364"/>
      <c r="Z6237" s="609" t="s">
        <v>2060</v>
      </c>
      <c r="AA6237" s="609"/>
    </row>
    <row r="6238" spans="1:27" ht="18.75" thickBot="1">
      <c r="A6238" s="2714"/>
      <c r="B6238" s="371"/>
      <c r="C6238" s="371"/>
      <c r="D6238" s="2716">
        <f t="shared" si="647"/>
        <v>1</v>
      </c>
      <c r="E6238" s="2721" t="s">
        <v>2751</v>
      </c>
      <c r="F6238" s="294"/>
      <c r="G6238" s="1529" t="s">
        <v>2752</v>
      </c>
      <c r="H6238" s="1527">
        <f>SUMPRODUCT($E6214:$E6237,H6214:H6237)</f>
        <v>0</v>
      </c>
      <c r="I6238" s="1527">
        <f>SUMPRODUCT($E6214:$E6237,I6214:I6237)</f>
        <v>0</v>
      </c>
      <c r="J6238" s="1527">
        <f>SUMPRODUCT($E6214:$E6237,J6214:J6237)</f>
        <v>0</v>
      </c>
      <c r="K6238" s="1571"/>
      <c r="L6238" s="291"/>
      <c r="M6238" s="291"/>
      <c r="N6238" s="291"/>
      <c r="O6238" s="291"/>
      <c r="S6238" s="364"/>
      <c r="Z6238" s="609" t="s">
        <v>2060</v>
      </c>
      <c r="AA6238" s="609"/>
    </row>
    <row r="6239" spans="1:27" ht="18">
      <c r="A6239" s="2714"/>
      <c r="B6239" s="371"/>
      <c r="C6239" s="371" t="s">
        <v>2755</v>
      </c>
      <c r="D6239" s="371"/>
      <c r="F6239" s="294"/>
      <c r="G6239" s="301"/>
      <c r="H6239" s="315"/>
      <c r="I6239" s="315"/>
      <c r="J6239" s="315"/>
      <c r="K6239" s="393"/>
      <c r="L6239" s="291"/>
      <c r="M6239" s="291"/>
      <c r="N6239" s="291"/>
      <c r="O6239" s="291"/>
      <c r="S6239" s="364"/>
      <c r="Z6239" s="609" t="s">
        <v>2060</v>
      </c>
      <c r="AA6239" s="609"/>
    </row>
    <row r="6240" spans="1:27" ht="18">
      <c r="A6240" s="2714">
        <v>7523</v>
      </c>
      <c r="B6240" s="371">
        <v>79.150000000000006</v>
      </c>
      <c r="C6240" s="2716" t="str">
        <f>VLOOKUP($A6240,Sheet_Items,2,0)</f>
        <v>其他将净利润调节为经营活动现金流量项目</v>
      </c>
      <c r="D6240" s="371"/>
      <c r="E6240" s="2716" t="s">
        <v>2739</v>
      </c>
      <c r="F6240" s="294"/>
      <c r="G6240" s="536" t="str">
        <f>B6240&amp;" "&amp;C6240</f>
        <v>79.15 其他将净利润调节为经营活动现金流量项目</v>
      </c>
      <c r="H6240" s="322"/>
      <c r="I6240" s="322"/>
      <c r="J6240" s="306" t="s">
        <v>4206</v>
      </c>
      <c r="K6240" s="341">
        <f>VLOOKUP($A6240,Sheet_Trialbal,6,0)</f>
        <v>0</v>
      </c>
      <c r="L6240" s="342"/>
      <c r="M6240" s="306"/>
      <c r="N6240" s="341"/>
      <c r="O6240" s="306"/>
      <c r="P6240" s="301"/>
      <c r="S6240" s="364"/>
      <c r="Z6240" s="609" t="s">
        <v>2063</v>
      </c>
      <c r="AA6240" s="609"/>
    </row>
    <row r="6241" spans="1:27" ht="24">
      <c r="A6241" s="2714" t="s">
        <v>2061</v>
      </c>
      <c r="B6241" s="371">
        <v>1</v>
      </c>
      <c r="C6241" s="371"/>
      <c r="D6241" s="2716" t="str">
        <f>VLOOKUP($A6241,Sheet_NoteList,2,0)</f>
        <v>将净利润调节为经营活动现金流量：其他项目</v>
      </c>
      <c r="E6241" s="2716" t="s">
        <v>2742</v>
      </c>
      <c r="F6241" s="294"/>
      <c r="G6241" s="372" t="str">
        <f>"("&amp;B6241&amp;")"&amp;D6241</f>
        <v>(1)将净利润调节为经营活动现金流量：其他项目</v>
      </c>
      <c r="H6241" s="1517" t="str">
        <f>$A6241</f>
        <v>7523a</v>
      </c>
      <c r="I6241" s="343" t="s">
        <v>2743</v>
      </c>
      <c r="J6241" s="301" t="s">
        <v>4712</v>
      </c>
      <c r="K6241" s="2210">
        <f>H6247</f>
        <v>0</v>
      </c>
      <c r="L6241" s="345" t="str">
        <f>IF(ROUND(K6240-K6241,2)=0,"F/S",ROUND(K6240-K6241,2))</f>
        <v>F/S</v>
      </c>
      <c r="M6241" s="532" t="s">
        <v>4713</v>
      </c>
      <c r="N6241" s="3071"/>
      <c r="O6241" s="315"/>
      <c r="P6241" s="301"/>
      <c r="S6241" s="364"/>
      <c r="Z6241" s="609" t="s">
        <v>2063</v>
      </c>
      <c r="AA6241" s="609"/>
    </row>
    <row r="6242" spans="1:27" ht="0.75" customHeight="1" thickBot="1">
      <c r="A6242" s="2714"/>
      <c r="B6242" s="371"/>
      <c r="C6242" s="371"/>
      <c r="D6242" s="371"/>
      <c r="F6242" s="294"/>
      <c r="G6242" s="294" t="s">
        <v>4859</v>
      </c>
      <c r="H6242" s="294" t="s">
        <v>3472</v>
      </c>
      <c r="I6242" s="294" t="s">
        <v>2821</v>
      </c>
      <c r="J6242" s="291"/>
      <c r="K6242" s="291"/>
      <c r="L6242" s="291"/>
      <c r="M6242" s="291"/>
      <c r="S6242" s="364"/>
      <c r="Z6242" s="609" t="s">
        <v>2063</v>
      </c>
      <c r="AA6242" s="609"/>
    </row>
    <row r="6243" spans="1:27" ht="18">
      <c r="A6243" s="2714"/>
      <c r="B6243" s="371"/>
      <c r="C6243" s="371"/>
      <c r="D6243" s="371"/>
      <c r="E6243" s="2716" t="s">
        <v>2749</v>
      </c>
      <c r="F6243" s="294"/>
      <c r="G6243" s="1564" t="s">
        <v>47</v>
      </c>
      <c r="H6243" s="1565" t="s">
        <v>2587</v>
      </c>
      <c r="I6243" s="1566" t="s">
        <v>2508</v>
      </c>
      <c r="J6243" s="291"/>
      <c r="K6243" s="291"/>
      <c r="L6243" s="291"/>
      <c r="M6243" s="291"/>
      <c r="S6243" s="364"/>
      <c r="Z6243" s="609" t="s">
        <v>2063</v>
      </c>
      <c r="AA6243" s="609"/>
    </row>
    <row r="6244" spans="1:27" ht="18">
      <c r="A6244" s="2714"/>
      <c r="B6244" s="371">
        <v>101</v>
      </c>
      <c r="C6244" s="371" t="s">
        <v>2791</v>
      </c>
      <c r="D6244" s="2716">
        <f>IF(OR(G6244="*",G6244="",G6244=0),0,COUNTIF($G$6244:$G$6247,G6244))</f>
        <v>0</v>
      </c>
      <c r="E6244" s="2721">
        <v>1</v>
      </c>
      <c r="F6244" s="294"/>
      <c r="G6244" s="1563" t="s">
        <v>2792</v>
      </c>
      <c r="H6244" s="309"/>
      <c r="I6244" s="388"/>
      <c r="J6244" s="291"/>
      <c r="K6244" s="291"/>
      <c r="L6244" s="291"/>
      <c r="M6244" s="291"/>
      <c r="S6244" s="364"/>
      <c r="Z6244" s="609" t="s">
        <v>2063</v>
      </c>
      <c r="AA6244" s="609"/>
    </row>
    <row r="6245" spans="1:27" ht="18">
      <c r="A6245" s="2714"/>
      <c r="B6245" s="371">
        <v>102</v>
      </c>
      <c r="C6245" s="371" t="s">
        <v>2791</v>
      </c>
      <c r="D6245" s="2716">
        <f>IF(OR(G6245="*",G6245="",G6245=0),0,COUNTIF($G$6244:$G$6247,G6245))</f>
        <v>0</v>
      </c>
      <c r="E6245" s="2721">
        <v>1</v>
      </c>
      <c r="F6245" s="294"/>
      <c r="G6245" s="1563" t="s">
        <v>2792</v>
      </c>
      <c r="H6245" s="309"/>
      <c r="I6245" s="388"/>
      <c r="J6245" s="291"/>
      <c r="K6245" s="291"/>
      <c r="L6245" s="291"/>
      <c r="M6245" s="291"/>
      <c r="S6245" s="364"/>
      <c r="Z6245" s="609" t="s">
        <v>2063</v>
      </c>
      <c r="AA6245" s="609"/>
    </row>
    <row r="6246" spans="1:27" ht="18">
      <c r="A6246" s="2714"/>
      <c r="B6246" s="371">
        <v>103</v>
      </c>
      <c r="C6246" s="371" t="s">
        <v>2791</v>
      </c>
      <c r="D6246" s="2716">
        <f>IF(OR(G6246="*",G6246="",G6246=0),0,COUNTIF($G$6244:$G$6247,G6246))</f>
        <v>0</v>
      </c>
      <c r="E6246" s="2721">
        <v>1</v>
      </c>
      <c r="F6246" s="294"/>
      <c r="G6246" s="1563" t="s">
        <v>2792</v>
      </c>
      <c r="H6246" s="309"/>
      <c r="I6246" s="388"/>
      <c r="J6246" s="291"/>
      <c r="K6246" s="291"/>
      <c r="L6246" s="291"/>
      <c r="M6246" s="291"/>
      <c r="S6246" s="364"/>
      <c r="Z6246" s="609" t="s">
        <v>2063</v>
      </c>
      <c r="AA6246" s="609"/>
    </row>
    <row r="6247" spans="1:27" ht="18.75" thickBot="1">
      <c r="A6247" s="2714"/>
      <c r="B6247" s="371"/>
      <c r="C6247" s="371"/>
      <c r="D6247" s="2716">
        <f>IF(OR(G6247="*",G6247="",G6247=0),0,COUNTIF($G$6244:$G$6247,G6247))</f>
        <v>1</v>
      </c>
      <c r="E6247" s="2721" t="s">
        <v>2751</v>
      </c>
      <c r="F6247" s="294"/>
      <c r="G6247" s="1529" t="s">
        <v>2752</v>
      </c>
      <c r="H6247" s="1527">
        <f>SUMPRODUCT($E6243:$E6246,H6243:H6246)</f>
        <v>0</v>
      </c>
      <c r="I6247" s="1571"/>
      <c r="J6247" s="291"/>
      <c r="K6247" s="291"/>
      <c r="L6247" s="291"/>
      <c r="M6247" s="291"/>
      <c r="S6247" s="364"/>
      <c r="Z6247" s="609" t="s">
        <v>2063</v>
      </c>
      <c r="AA6247" s="609"/>
    </row>
    <row r="6248" spans="1:27" ht="18">
      <c r="A6248" s="2714"/>
      <c r="B6248" s="371"/>
      <c r="C6248" s="371" t="s">
        <v>2755</v>
      </c>
      <c r="D6248" s="371"/>
      <c r="F6248" s="294"/>
      <c r="G6248" s="301"/>
      <c r="H6248" s="315"/>
      <c r="I6248" s="393"/>
      <c r="J6248" s="291"/>
      <c r="K6248" s="291"/>
      <c r="L6248" s="291"/>
      <c r="M6248" s="291"/>
      <c r="S6248" s="364"/>
      <c r="Z6248" s="609" t="s">
        <v>2063</v>
      </c>
      <c r="AA6248" s="609"/>
    </row>
    <row r="6249" spans="1:27" ht="12.75" thickBot="1">
      <c r="S6249" s="364"/>
    </row>
    <row r="6250" spans="1:27">
      <c r="A6250" s="2718"/>
      <c r="B6250" s="2718"/>
      <c r="C6250" s="2718"/>
      <c r="D6250" s="2718"/>
      <c r="E6250" s="2722"/>
      <c r="F6250" s="633"/>
      <c r="G6250" s="634"/>
      <c r="H6250" s="634"/>
      <c r="I6250" s="634"/>
      <c r="J6250" s="634"/>
      <c r="K6250" s="634"/>
      <c r="L6250" s="634"/>
      <c r="M6250" s="634"/>
      <c r="N6250" s="634"/>
      <c r="O6250" s="634"/>
      <c r="P6250" s="634"/>
      <c r="Q6250" s="634"/>
      <c r="R6250" s="634"/>
    </row>
    <row r="6251" spans="1:27" ht="18">
      <c r="A6251" s="2719"/>
      <c r="F6251" s="635" t="s">
        <v>3002</v>
      </c>
      <c r="G6251" s="2507" t="s">
        <v>2661</v>
      </c>
      <c r="H6251" s="2508"/>
      <c r="I6251" s="2509"/>
      <c r="J6251" s="2509"/>
      <c r="K6251" s="2509"/>
      <c r="L6251" s="2509"/>
      <c r="M6251" s="2509"/>
      <c r="N6251" s="2509"/>
      <c r="O6251" s="2509"/>
      <c r="P6251" s="532" t="s">
        <v>4860</v>
      </c>
    </row>
    <row r="6252" spans="1:27" ht="18">
      <c r="A6252" s="2719"/>
      <c r="G6252" s="2510" t="s">
        <v>4861</v>
      </c>
      <c r="H6252" s="2508"/>
      <c r="I6252" s="2508"/>
      <c r="J6252" s="2508"/>
      <c r="K6252" s="2508"/>
      <c r="L6252" s="2510" t="s">
        <v>2533</v>
      </c>
      <c r="M6252" s="2509"/>
      <c r="N6252" s="2509"/>
      <c r="O6252" s="2510" t="s">
        <v>4862</v>
      </c>
    </row>
    <row r="6253" spans="1:27" ht="18">
      <c r="A6253" s="2719"/>
      <c r="E6253" s="2723"/>
      <c r="L6253" s="636"/>
      <c r="O6253" s="636"/>
    </row>
    <row r="6254" spans="1:27" ht="18">
      <c r="A6254" s="2719"/>
      <c r="E6254" s="2723"/>
      <c r="L6254" s="636"/>
      <c r="O6254" s="636"/>
    </row>
    <row r="6255" spans="1:27" ht="18">
      <c r="A6255" s="2719"/>
      <c r="E6255" s="2723"/>
      <c r="L6255" s="636"/>
      <c r="O6255" s="636"/>
    </row>
  </sheetData>
  <sheetProtection algorithmName="SHA-512" hashValue="Y2ySSlQX1E15aUmRNWlZU+jdh+oH0VlNuO30XKOat1Uj/ktIqTnLSLqC0fFdSJf577e5B2OuJtZNLzvmKsjzdQ==" saltValue="P/ZIuGZxc7U6xD8O2T6Izw==" spinCount="100000" sheet="1" scenarios="1" formatCells="0" autoFilter="0"/>
  <mergeCells count="355">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 ref="G5503:G550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H337:L337"/>
    <mergeCell ref="H359:K359"/>
    <mergeCell ref="H381:J381"/>
    <mergeCell ref="H403:J403"/>
    <mergeCell ref="H488:L488"/>
    <mergeCell ref="H503:L503"/>
    <mergeCell ref="H518:K518"/>
    <mergeCell ref="H418:J418"/>
    <mergeCell ref="H433:L433"/>
    <mergeCell ref="H23:J23"/>
    <mergeCell ref="K23:M23"/>
    <mergeCell ref="H123:J123"/>
    <mergeCell ref="K123:M123"/>
    <mergeCell ref="H195:K195"/>
    <mergeCell ref="H217:J217"/>
    <mergeCell ref="K254:M254"/>
    <mergeCell ref="J254:J255"/>
    <mergeCell ref="H173:L173"/>
    <mergeCell ref="H254:H255"/>
    <mergeCell ref="I254:I255"/>
    <mergeCell ref="H239:J239"/>
    <mergeCell ref="K5748:L5748"/>
    <mergeCell ref="H5322:L5322"/>
    <mergeCell ref="H5339:L5339"/>
    <mergeCell ref="H5356:M5356"/>
    <mergeCell ref="H5372:M5372"/>
    <mergeCell ref="H5748:H5749"/>
    <mergeCell ref="I5748:J5748"/>
    <mergeCell ref="H5388:J5388"/>
    <mergeCell ref="H5422:J5422"/>
    <mergeCell ref="H5457:K5457"/>
    <mergeCell ref="K5578:L5578"/>
    <mergeCell ref="M5578:P5578"/>
    <mergeCell ref="I5578:I5579"/>
    <mergeCell ref="H5503:K5503"/>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G5578:G5579"/>
    <mergeCell ref="I3046:M3046"/>
    <mergeCell ref="I3178:J3178"/>
    <mergeCell ref="M3203:M3204"/>
    <mergeCell ref="G2140:G2141"/>
    <mergeCell ref="G2160:G2161"/>
    <mergeCell ref="G2205:G2206"/>
    <mergeCell ref="G2466:G2467"/>
    <mergeCell ref="G2923:G2924"/>
    <mergeCell ref="G2985:G2986"/>
    <mergeCell ref="G2651:G2652"/>
    <mergeCell ref="G2833:G2834"/>
    <mergeCell ref="G2911:G2912"/>
    <mergeCell ref="J5578:J5579"/>
    <mergeCell ref="J4519:K4519"/>
    <mergeCell ref="H4491:I4491"/>
    <mergeCell ref="J4491:K4491"/>
    <mergeCell ref="J4370:J4371"/>
    <mergeCell ref="H4343:I4343"/>
    <mergeCell ref="G3046:G3047"/>
    <mergeCell ref="G3178:G3179"/>
    <mergeCell ref="G3191:G3192"/>
    <mergeCell ref="H5578:H5579"/>
    <mergeCell ref="H5278:H5279"/>
    <mergeCell ref="G5322:G5323"/>
    <mergeCell ref="G3216:G3217"/>
    <mergeCell ref="G3243:G3244"/>
    <mergeCell ref="G3259:G3260"/>
    <mergeCell ref="G4087:G4088"/>
    <mergeCell ref="G4236:G4237"/>
    <mergeCell ref="H3216:H3217"/>
    <mergeCell ref="G4311:G4312"/>
    <mergeCell ref="G4320:G4321"/>
    <mergeCell ref="H3243:I3243"/>
    <mergeCell ref="H3259:I3259"/>
    <mergeCell ref="H4087:I4087"/>
    <mergeCell ref="G5278:G5279"/>
    <mergeCell ref="H5293:H5294"/>
    <mergeCell ref="G5293:G5294"/>
    <mergeCell ref="I4395:M4395"/>
    <mergeCell ref="H4236:H4237"/>
    <mergeCell ref="H4311:H4312"/>
    <mergeCell ref="H4370:H4371"/>
    <mergeCell ref="H4320:I4320"/>
    <mergeCell ref="K2160:M2160"/>
    <mergeCell ref="K2205:M2205"/>
    <mergeCell ref="H2333:H2334"/>
    <mergeCell ref="H2466:H2467"/>
    <mergeCell ref="J2276:K2276"/>
    <mergeCell ref="I3216:I3217"/>
    <mergeCell ref="I4370:I4371"/>
    <mergeCell ref="I5278:I5279"/>
    <mergeCell ref="I5293:I5294"/>
    <mergeCell ref="H4395:H4396"/>
    <mergeCell ref="J4343:K4343"/>
    <mergeCell ref="L4343:M4343"/>
    <mergeCell ref="L4320:L4321"/>
    <mergeCell ref="K2333:M2333"/>
    <mergeCell ref="H4543:I4543"/>
    <mergeCell ref="J4543:K4543"/>
    <mergeCell ref="H4566:I4566"/>
    <mergeCell ref="J4566:K4566"/>
    <mergeCell ref="M4320:M4321"/>
    <mergeCell ref="I4236:J4236"/>
    <mergeCell ref="I4311:M4311"/>
    <mergeCell ref="J4320:K4320"/>
    <mergeCell ref="L5293:L5294"/>
    <mergeCell ref="M3191:M3192"/>
    <mergeCell ref="H1950:J1950"/>
    <mergeCell ref="K1950:M1950"/>
    <mergeCell ref="H1974:K1974"/>
    <mergeCell ref="M1989:M1990"/>
    <mergeCell ref="L1989:L1990"/>
    <mergeCell ref="H1911:H1912"/>
    <mergeCell ref="I1911:I1912"/>
    <mergeCell ref="J1911:J1912"/>
    <mergeCell ref="N1911:N1912"/>
    <mergeCell ref="K1911:M1911"/>
    <mergeCell ref="K1930:K1931"/>
    <mergeCell ref="K1639:L1639"/>
    <mergeCell ref="J1777:K1777"/>
    <mergeCell ref="H1802:K1802"/>
    <mergeCell ref="L1802:O1802"/>
    <mergeCell ref="H1826:J1826"/>
    <mergeCell ref="K1826:M1826"/>
    <mergeCell ref="H1841:K1841"/>
    <mergeCell ref="L1841:O1841"/>
    <mergeCell ref="H1639:H1640"/>
    <mergeCell ref="H1777:H1778"/>
    <mergeCell ref="M1639:M1640"/>
    <mergeCell ref="G5748:G5749"/>
    <mergeCell ref="K3178:L3178"/>
    <mergeCell ref="K3191:L3191"/>
    <mergeCell ref="K3203:L3203"/>
    <mergeCell ref="J3216:K3216"/>
    <mergeCell ref="H3178:H3179"/>
    <mergeCell ref="G5570:G5571"/>
    <mergeCell ref="G5356:G5357"/>
    <mergeCell ref="G5372:G5373"/>
    <mergeCell ref="G5388:G5389"/>
    <mergeCell ref="G5422:G5423"/>
    <mergeCell ref="G5457:G5458"/>
    <mergeCell ref="G4343:G4344"/>
    <mergeCell ref="G4370:G4371"/>
    <mergeCell ref="G4395:G4396"/>
    <mergeCell ref="G4491:G4492"/>
    <mergeCell ref="G4519:G4520"/>
    <mergeCell ref="G4543:G4544"/>
    <mergeCell ref="G4566:G4567"/>
    <mergeCell ref="G3203:G3204"/>
    <mergeCell ref="I3191:J3191"/>
    <mergeCell ref="I3203:J3203"/>
    <mergeCell ref="L5278:L5279"/>
    <mergeCell ref="G5339:G5340"/>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Q5578:Q5579"/>
    <mergeCell ref="R2466:R2467"/>
    <mergeCell ref="R5578:R5579"/>
    <mergeCell ref="O2923:O2924"/>
    <mergeCell ref="N3178:N3179"/>
    <mergeCell ref="N4311:N4312"/>
    <mergeCell ref="N4395:N4396"/>
    <mergeCell ref="O2985:O2986"/>
    <mergeCell ref="P3046:P3047"/>
    <mergeCell ref="O3178:O3179"/>
    <mergeCell ref="O4395:O4396"/>
    <mergeCell ref="M2985:N2985"/>
    <mergeCell ref="P4370:P4371"/>
    <mergeCell ref="N4343:O4343"/>
    <mergeCell ref="P2651:P2652"/>
    <mergeCell ref="K4370:O4370"/>
    <mergeCell ref="L3216:L3217"/>
    <mergeCell ref="J3243:K3243"/>
    <mergeCell ref="J3259:K3259"/>
    <mergeCell ref="J4087:K4087"/>
    <mergeCell ref="I2985:L2985"/>
    <mergeCell ref="J5278:K5278"/>
    <mergeCell ref="J5293:K5293"/>
    <mergeCell ref="H4519:I4519"/>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H3203:H3204"/>
    <mergeCell ref="L2276:L2277"/>
    <mergeCell ref="H3191:H3192"/>
    <mergeCell ref="L4087:M4087"/>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87:O4087"/>
  </mergeCells>
  <phoneticPr fontId="163" type="noConversion"/>
  <conditionalFormatting sqref="I7">
    <cfRule type="cellIs" dxfId="3840" priority="2816" stopIfTrue="1" operator="equal">
      <formula>0</formula>
    </cfRule>
    <cfRule type="cellIs" dxfId="3839" priority="2817" stopIfTrue="1" operator="notEqual">
      <formula>0</formula>
    </cfRule>
  </conditionalFormatting>
  <conditionalFormatting sqref="P7">
    <cfRule type="cellIs" dxfId="3838" priority="2810" stopIfTrue="1" operator="equal">
      <formula>0</formula>
    </cfRule>
    <cfRule type="cellIs" dxfId="3837" priority="2811" stopIfTrue="1" operator="notEqual">
      <formula>0</formula>
    </cfRule>
  </conditionalFormatting>
  <conditionalFormatting sqref="Q90 Q1520:Q1526 Q2001:Q2012 Q5621:Q5646 Q5745:Q5772 Q1799:Q1810 Q698:Q705 Q2648:Q2650 Q71:Q88 Q1869:Q1945 Q5385 Q5419:Q5452 Q2191:Q2200 Q4096:Q4105 Q910 Q2412:Q2462 Q1027:Q1218 Q890 Q1853 Q2063 Q2218:Q2233 Q2315 Q2330:Q2348 Q792:Q850 Q688 Q170:Q315 Q500 Q430:Q485 Q1469:Q1509 Q1307:Q1365 Q1387 Q1409 Q1428 Q1449 Q1459 Q1607 Q1655 Q1665 Q1736 Q2652:Q2705 Q2719 Q2733 Q2748:Q2760 Q1764 Q2368 Q3359 Q4040 Q5774:Q5802 Q5500 Q5548:Q5556 Q5275 Q5290:Q5317 Q721:Q777 Q2079 Q2092 Q2105 Q2118:Q2136">
    <cfRule type="expression" dxfId="3836" priority="4235" stopIfTrue="1">
      <formula>$Q71="请输入"</formula>
    </cfRule>
  </conditionalFormatting>
  <conditionalFormatting sqref="I109 I5601 I5275 I5290 I5305 I5621 I5634 I5647 I5657 I5667 I5677 I5687 I5697 I5707 I5717 I5727 I5737 I5745 I5760 I3588 I2191 I910 I1491 I1057 I1079 I1101 I1116 I1307 I1326 I1348 I1469 I1908 I1869 I1895 I2079 I2092 I2105 I2118 I2330 I2315 I1882 I468 I688 I668 I485 I500 I430 I890 I1365 I1387 I1409 I1428 I1449 I1459 I1607 I1655 I1665 I1736 I2368 I2705 I2719 I2733 I2748 I1587 I1764 I2771 I3359 I4040 I4222">
    <cfRule type="expression" dxfId="3835" priority="2472" stopIfTrue="1">
      <formula>$I109="适用"</formula>
    </cfRule>
    <cfRule type="expression" dxfId="3834" priority="2473" stopIfTrue="1">
      <formula>$I109="不适用"</formula>
    </cfRule>
  </conditionalFormatting>
  <conditionalFormatting sqref="I317">
    <cfRule type="expression" dxfId="3833" priority="942" stopIfTrue="1">
      <formula>$I317="适用"</formula>
    </cfRule>
    <cfRule type="expression" dxfId="3832" priority="943" stopIfTrue="1">
      <formula>$I317="不适用"</formula>
    </cfRule>
  </conditionalFormatting>
  <conditionalFormatting sqref="I334">
    <cfRule type="expression" dxfId="3831" priority="936" stopIfTrue="1">
      <formula>$I334="适用"</formula>
    </cfRule>
    <cfRule type="expression" dxfId="3830" priority="937" stopIfTrue="1">
      <formula>$I334="不适用"</formula>
    </cfRule>
  </conditionalFormatting>
  <conditionalFormatting sqref="I356">
    <cfRule type="expression" dxfId="3829" priority="930" stopIfTrue="1">
      <formula>$I356="适用"</formula>
    </cfRule>
    <cfRule type="expression" dxfId="3828" priority="931" stopIfTrue="1">
      <formula>$I356="不适用"</formula>
    </cfRule>
  </conditionalFormatting>
  <conditionalFormatting sqref="I378">
    <cfRule type="expression" dxfId="3827" priority="924" stopIfTrue="1">
      <formula>$I378="适用"</formula>
    </cfRule>
    <cfRule type="expression" dxfId="3826" priority="925" stopIfTrue="1">
      <formula>$I378="不适用"</formula>
    </cfRule>
  </conditionalFormatting>
  <conditionalFormatting sqref="I400">
    <cfRule type="expression" dxfId="3825" priority="914" stopIfTrue="1">
      <formula>$I400="适用"</formula>
    </cfRule>
    <cfRule type="expression" dxfId="3824" priority="915" stopIfTrue="1">
      <formula>$I400="不适用"</formula>
    </cfRule>
  </conditionalFormatting>
  <conditionalFormatting sqref="Q515">
    <cfRule type="expression" dxfId="3823" priority="4244" stopIfTrue="1">
      <formula>$Q515="请输入"</formula>
    </cfRule>
  </conditionalFormatting>
  <conditionalFormatting sqref="G525 G93:G106 G1414:G1419 G893:G898 G2602:G2616 G4043:G4048 G1815:G1820 G1804:G1809 G1496:G1508 G2653:G2696 G490:G498 G4865:G4873 G4636:G4639 G5308:G5316 G5211:G5272 G5280:G5288 G4901:G4910 G5350:G5351 G5122:G5125 G4642:G4650">
    <cfRule type="expression" dxfId="3822" priority="921">
      <formula>$D93&gt;1</formula>
    </cfRule>
    <cfRule type="expression" dxfId="3821" priority="922">
      <formula>$C93="%IN"</formula>
    </cfRule>
    <cfRule type="expression" dxfId="3820" priority="923" stopIfTrue="1">
      <formula>$E93=0</formula>
    </cfRule>
  </conditionalFormatting>
  <conditionalFormatting sqref="Q535">
    <cfRule type="expression" dxfId="3819" priority="4245" stopIfTrue="1">
      <formula>$Q535="请输入"</formula>
    </cfRule>
  </conditionalFormatting>
  <conditionalFormatting sqref="I579">
    <cfRule type="expression" dxfId="3818" priority="908" stopIfTrue="1">
      <formula>$I579="适用"</formula>
    </cfRule>
    <cfRule type="expression" dxfId="3817" priority="909" stopIfTrue="1">
      <formula>$I579="不适用"</formula>
    </cfRule>
  </conditionalFormatting>
  <conditionalFormatting sqref="Q601">
    <cfRule type="expression" dxfId="3816" priority="4249" stopIfTrue="1">
      <formula>$Q601="请输入"</formula>
    </cfRule>
  </conditionalFormatting>
  <conditionalFormatting sqref="I611">
    <cfRule type="expression" dxfId="3815" priority="905" stopIfTrue="1">
      <formula>$I611="适用"</formula>
    </cfRule>
    <cfRule type="expression" dxfId="3814" priority="906" stopIfTrue="1">
      <formula>$I611="不适用"</formula>
    </cfRule>
  </conditionalFormatting>
  <conditionalFormatting sqref="Q618">
    <cfRule type="expression" dxfId="3813" priority="4250" stopIfTrue="1">
      <formula>$Q618="请输入"</formula>
    </cfRule>
  </conditionalFormatting>
  <conditionalFormatting sqref="G3362:G3367 G1767:G1772 G505:G513 G1370:G1378 G1392:G1400 G5604:G5618 G5690:G5695 G5710:G5715 G5730:G5735 G5740:G5742 G4753:G4763 G5130:G5134 G4879:G4895 G5149:G5154 G5139:G5144 G4960:G4963 G4666:G4681">
    <cfRule type="expression" dxfId="3812" priority="898" stopIfTrue="1">
      <formula>$D505&gt;1</formula>
    </cfRule>
    <cfRule type="expression" dxfId="3811" priority="899" stopIfTrue="1">
      <formula>$C505="%IN"</formula>
    </cfRule>
  </conditionalFormatting>
  <conditionalFormatting sqref="Q629">
    <cfRule type="expression" dxfId="3810" priority="4251" stopIfTrue="1">
      <formula>$Q629="请输入"</formula>
    </cfRule>
  </conditionalFormatting>
  <conditionalFormatting sqref="Q648">
    <cfRule type="expression" dxfId="3809" priority="4252" stopIfTrue="1">
      <formula>$Q648="请输入"</formula>
    </cfRule>
  </conditionalFormatting>
  <conditionalFormatting sqref="Q658">
    <cfRule type="expression" dxfId="3808" priority="4253" stopIfTrue="1">
      <formula>$Q658="请输入"</formula>
    </cfRule>
  </conditionalFormatting>
  <conditionalFormatting sqref="Q668">
    <cfRule type="expression" dxfId="3807" priority="4255" stopIfTrue="1">
      <formula>$Q668="请输入"</formula>
    </cfRule>
  </conditionalFormatting>
  <conditionalFormatting sqref="Q678">
    <cfRule type="expression" dxfId="3806" priority="4256" stopIfTrue="1">
      <formula>$Q678="请输入"</formula>
    </cfRule>
  </conditionalFormatting>
  <conditionalFormatting sqref="I698">
    <cfRule type="expression" dxfId="3805" priority="1012" stopIfTrue="1">
      <formula>$I698="适用"</formula>
    </cfRule>
    <cfRule type="expression" dxfId="3804" priority="1013" stopIfTrue="1">
      <formula>$I698="不适用"</formula>
    </cfRule>
  </conditionalFormatting>
  <conditionalFormatting sqref="I706">
    <cfRule type="expression" dxfId="3803" priority="1009" stopIfTrue="1">
      <formula>$I706="适用"</formula>
    </cfRule>
    <cfRule type="expression" dxfId="3802" priority="1010" stopIfTrue="1">
      <formula>$I706="不适用"</formula>
    </cfRule>
  </conditionalFormatting>
  <conditionalFormatting sqref="I721">
    <cfRule type="expression" dxfId="3801" priority="1006" stopIfTrue="1">
      <formula>$I721="适用"</formula>
    </cfRule>
    <cfRule type="expression" dxfId="3800" priority="1007" stopIfTrue="1">
      <formula>$I721="不适用"</formula>
    </cfRule>
  </conditionalFormatting>
  <conditionalFormatting sqref="I740">
    <cfRule type="expression" dxfId="3799" priority="1003" stopIfTrue="1">
      <formula>$I740="适用"</formula>
    </cfRule>
    <cfRule type="expression" dxfId="3798" priority="1004" stopIfTrue="1">
      <formula>$I740="不适用"</formula>
    </cfRule>
  </conditionalFormatting>
  <conditionalFormatting sqref="I848">
    <cfRule type="expression" dxfId="3797" priority="1000" stopIfTrue="1">
      <formula>$I848="适用"</formula>
    </cfRule>
    <cfRule type="expression" dxfId="3796" priority="1001" stopIfTrue="1">
      <formula>$I848="不适用"</formula>
    </cfRule>
  </conditionalFormatting>
  <conditionalFormatting sqref="Q859">
    <cfRule type="expression" dxfId="3795" priority="4257" stopIfTrue="1">
      <formula>$Q859="请输入"</formula>
    </cfRule>
  </conditionalFormatting>
  <conditionalFormatting sqref="Q871">
    <cfRule type="expression" dxfId="3794" priority="4259" stopIfTrue="1">
      <formula>$Q871="请输入"</formula>
    </cfRule>
  </conditionalFormatting>
  <conditionalFormatting sqref="I900">
    <cfRule type="expression" dxfId="3793" priority="1432" stopIfTrue="1">
      <formula>$I900="适用"</formula>
    </cfRule>
    <cfRule type="expression" dxfId="3792" priority="1433" stopIfTrue="1">
      <formula>$I900="不适用"</formula>
    </cfRule>
  </conditionalFormatting>
  <conditionalFormatting sqref="I934">
    <cfRule type="expression" dxfId="3791" priority="1115" stopIfTrue="1">
      <formula>$I934="适用"</formula>
    </cfRule>
    <cfRule type="expression" dxfId="3790" priority="1116" stopIfTrue="1">
      <formula>$I934="不适用"</formula>
    </cfRule>
  </conditionalFormatting>
  <conditionalFormatting sqref="Q944">
    <cfRule type="expression" dxfId="3789" priority="4264" stopIfTrue="1">
      <formula>$Q944="请输入"</formula>
    </cfRule>
  </conditionalFormatting>
  <conditionalFormatting sqref="Q956">
    <cfRule type="expression" dxfId="3788" priority="4265" stopIfTrue="1">
      <formula>$Q956="请输入"</formula>
    </cfRule>
  </conditionalFormatting>
  <conditionalFormatting sqref="Q967">
    <cfRule type="expression" dxfId="3787" priority="4266" stopIfTrue="1">
      <formula>$Q967="请输入"</formula>
    </cfRule>
  </conditionalFormatting>
  <conditionalFormatting sqref="I977">
    <cfRule type="expression" dxfId="3786" priority="2458" stopIfTrue="1">
      <formula>$I977="适用"</formula>
    </cfRule>
    <cfRule type="expression" dxfId="3785" priority="2459" stopIfTrue="1">
      <formula>$I977="不适用"</formula>
    </cfRule>
  </conditionalFormatting>
  <conditionalFormatting sqref="Q977">
    <cfRule type="expression" dxfId="3784" priority="4267" stopIfTrue="1">
      <formula>$Q977="请输入"</formula>
    </cfRule>
  </conditionalFormatting>
  <conditionalFormatting sqref="I1043">
    <cfRule type="expression" dxfId="3783" priority="977" stopIfTrue="1">
      <formula>$I1043="适用"</formula>
    </cfRule>
    <cfRule type="expression" dxfId="3782" priority="978" stopIfTrue="1">
      <formula>$I1043="不适用"</formula>
    </cfRule>
  </conditionalFormatting>
  <conditionalFormatting sqref="I1219">
    <cfRule type="expression" dxfId="3781" priority="971" stopIfTrue="1">
      <formula>$I1219="适用"</formula>
    </cfRule>
    <cfRule type="expression" dxfId="3780" priority="972" stopIfTrue="1">
      <formula>$I1219="不适用"</formula>
    </cfRule>
  </conditionalFormatting>
  <conditionalFormatting sqref="Q1510">
    <cfRule type="expression" dxfId="3779" priority="4275" stopIfTrue="1">
      <formula>$Q1510="请输入"</formula>
    </cfRule>
  </conditionalFormatting>
  <conditionalFormatting sqref="I1520">
    <cfRule type="expression" dxfId="3778" priority="947" stopIfTrue="1">
      <formula>$I1520="适用"</formula>
    </cfRule>
    <cfRule type="expression" dxfId="3777" priority="948" stopIfTrue="1">
      <formula>$I1520="不适用"</formula>
    </cfRule>
  </conditionalFormatting>
  <conditionalFormatting sqref="Q1527">
    <cfRule type="expression" dxfId="3776" priority="4276" stopIfTrue="1">
      <formula>$Q1527="请输入"</formula>
    </cfRule>
  </conditionalFormatting>
  <conditionalFormatting sqref="Q1538">
    <cfRule type="expression" dxfId="3775" priority="4278" stopIfTrue="1">
      <formula>$Q1538="请输入"</formula>
    </cfRule>
  </conditionalFormatting>
  <conditionalFormatting sqref="Q1557">
    <cfRule type="expression" dxfId="3774" priority="4279" stopIfTrue="1">
      <formula>$Q1557="请输入"</formula>
    </cfRule>
  </conditionalFormatting>
  <conditionalFormatting sqref="Q1567">
    <cfRule type="expression" dxfId="3773" priority="4280" stopIfTrue="1">
      <formula>$Q1567="请输入"</formula>
    </cfRule>
  </conditionalFormatting>
  <conditionalFormatting sqref="Q1577">
    <cfRule type="expression" dxfId="3772" priority="4281" stopIfTrue="1">
      <formula>$Q1577="请输入"</formula>
    </cfRule>
  </conditionalFormatting>
  <conditionalFormatting sqref="Q1587">
    <cfRule type="expression" dxfId="3771" priority="4283" stopIfTrue="1">
      <formula>$Q1587="请输入"</formula>
    </cfRule>
  </conditionalFormatting>
  <conditionalFormatting sqref="Q1597">
    <cfRule type="expression" dxfId="3770" priority="4284" stopIfTrue="1">
      <formula>$Q1597="请输入"</formula>
    </cfRule>
  </conditionalFormatting>
  <conditionalFormatting sqref="Q1617">
    <cfRule type="expression" dxfId="3769" priority="4285" stopIfTrue="1">
      <formula>$Q1617="请输入"</formula>
    </cfRule>
  </conditionalFormatting>
  <conditionalFormatting sqref="Q1636">
    <cfRule type="expression" dxfId="3768" priority="4286" stopIfTrue="1">
      <formula>$Q1636="请输入"</formula>
    </cfRule>
  </conditionalFormatting>
  <conditionalFormatting sqref="Q1682">
    <cfRule type="expression" dxfId="3767" priority="4289" stopIfTrue="1">
      <formula>$Q1682="请输入"</formula>
    </cfRule>
  </conditionalFormatting>
  <conditionalFormatting sqref="Q1699">
    <cfRule type="expression" dxfId="3766" priority="4290" stopIfTrue="1">
      <formula>$Q1699="请输入"</formula>
    </cfRule>
  </conditionalFormatting>
  <conditionalFormatting sqref="Q1716">
    <cfRule type="expression" dxfId="3765" priority="4291" stopIfTrue="1">
      <formula>$Q1716="请输入"</formula>
    </cfRule>
  </conditionalFormatting>
  <conditionalFormatting sqref="I1753">
    <cfRule type="expression" dxfId="3764" priority="1426" stopIfTrue="1">
      <formula>$I1753="适用"</formula>
    </cfRule>
    <cfRule type="expression" dxfId="3763" priority="1427" stopIfTrue="1">
      <formula>$I1753="不适用"</formula>
    </cfRule>
  </conditionalFormatting>
  <conditionalFormatting sqref="Q1753">
    <cfRule type="expression" dxfId="3762" priority="4294" stopIfTrue="1">
      <formula>$Q1753="请输入"</formula>
    </cfRule>
  </conditionalFormatting>
  <conditionalFormatting sqref="I1790">
    <cfRule type="expression" dxfId="3761" priority="2394" stopIfTrue="1">
      <formula>$I1790="适用"</formula>
    </cfRule>
    <cfRule type="expression" dxfId="3760" priority="2395" stopIfTrue="1">
      <formula>$I1790="不适用"</formula>
    </cfRule>
  </conditionalFormatting>
  <conditionalFormatting sqref="Q1790">
    <cfRule type="expression" dxfId="3759" priority="4300" stopIfTrue="1">
      <formula>$Q1790="请输入"</formula>
    </cfRule>
  </conditionalFormatting>
  <conditionalFormatting sqref="I1799">
    <cfRule type="expression" dxfId="3758" priority="884" stopIfTrue="1">
      <formula>$I1799="适用"</formula>
    </cfRule>
    <cfRule type="expression" dxfId="3757" priority="885" stopIfTrue="1">
      <formula>$I1799="不适用"</formula>
    </cfRule>
  </conditionalFormatting>
  <conditionalFormatting sqref="Q1812">
    <cfRule type="expression" dxfId="3756" priority="4301" stopIfTrue="1">
      <formula>$Q1812="请输入"</formula>
    </cfRule>
  </conditionalFormatting>
  <conditionalFormatting sqref="I1823">
    <cfRule type="expression" dxfId="3755" priority="881" stopIfTrue="1">
      <formula>$I1823="适用"</formula>
    </cfRule>
    <cfRule type="expression" dxfId="3754" priority="882" stopIfTrue="1">
      <formula>$I1823="不适用"</formula>
    </cfRule>
  </conditionalFormatting>
  <conditionalFormatting sqref="I1838">
    <cfRule type="expression" dxfId="3753" priority="878" stopIfTrue="1">
      <formula>$I1838="适用"</formula>
    </cfRule>
    <cfRule type="expression" dxfId="3752" priority="879" stopIfTrue="1">
      <formula>$I1838="不适用"</formula>
    </cfRule>
  </conditionalFormatting>
  <conditionalFormatting sqref="I1853">
    <cfRule type="expression" dxfId="3751" priority="875" stopIfTrue="1">
      <formula>$I1853="适用"</formula>
    </cfRule>
    <cfRule type="expression" dxfId="3750" priority="876" stopIfTrue="1">
      <formula>$I1853="不适用"</formula>
    </cfRule>
  </conditionalFormatting>
  <conditionalFormatting sqref="I1927">
    <cfRule type="expression" dxfId="3749" priority="860" stopIfTrue="1">
      <formula>$I1927="适用"</formula>
    </cfRule>
    <cfRule type="expression" dxfId="3748" priority="861" stopIfTrue="1">
      <formula>$I1927="不适用"</formula>
    </cfRule>
  </conditionalFormatting>
  <conditionalFormatting sqref="Q1947">
    <cfRule type="expression" dxfId="3747" priority="4302" stopIfTrue="1">
      <formula>$Q1947="请输入"</formula>
    </cfRule>
  </conditionalFormatting>
  <conditionalFormatting sqref="I1961">
    <cfRule type="expression" dxfId="3746" priority="2386" stopIfTrue="1">
      <formula>$I1961="适用"</formula>
    </cfRule>
    <cfRule type="expression" dxfId="3745" priority="2387" stopIfTrue="1">
      <formula>$I1961="不适用"</formula>
    </cfRule>
  </conditionalFormatting>
  <conditionalFormatting sqref="Q1961">
    <cfRule type="expression" dxfId="3744" priority="4303" stopIfTrue="1">
      <formula>$Q1961="请输入"</formula>
    </cfRule>
  </conditionalFormatting>
  <conditionalFormatting sqref="I1971">
    <cfRule type="expression" dxfId="3743" priority="827" stopIfTrue="1">
      <formula>$I1971="适用"</formula>
    </cfRule>
    <cfRule type="expression" dxfId="3742" priority="828" stopIfTrue="1">
      <formula>$I1971="不适用"</formula>
    </cfRule>
  </conditionalFormatting>
  <conditionalFormatting sqref="I1986">
    <cfRule type="expression" dxfId="3741" priority="824" stopIfTrue="1">
      <formula>$I1986="适用"</formula>
    </cfRule>
    <cfRule type="expression" dxfId="3740" priority="825" stopIfTrue="1">
      <formula>$I1986="不适用"</formula>
    </cfRule>
  </conditionalFormatting>
  <conditionalFormatting sqref="I2001">
    <cfRule type="expression" dxfId="3739" priority="821" stopIfTrue="1">
      <formula>$I2001="适用"</formula>
    </cfRule>
    <cfRule type="expression" dxfId="3738" priority="822" stopIfTrue="1">
      <formula>$I2001="不适用"</formula>
    </cfRule>
  </conditionalFormatting>
  <conditionalFormatting sqref="Q2013">
    <cfRule type="expression" dxfId="3737" priority="4305" stopIfTrue="1">
      <formula>$Q2013="请输入"</formula>
    </cfRule>
  </conditionalFormatting>
  <conditionalFormatting sqref="I2021">
    <cfRule type="expression" dxfId="3736" priority="2370" stopIfTrue="1">
      <formula>$I2021="适用"</formula>
    </cfRule>
    <cfRule type="expression" dxfId="3735" priority="2371" stopIfTrue="1">
      <formula>$I2021="不适用"</formula>
    </cfRule>
  </conditionalFormatting>
  <conditionalFormatting sqref="Q2021">
    <cfRule type="expression" dxfId="3734" priority="4309" stopIfTrue="1">
      <formula>$Q2021="请输入"</formula>
    </cfRule>
  </conditionalFormatting>
  <conditionalFormatting sqref="I2032">
    <cfRule type="expression" dxfId="3733" priority="818" stopIfTrue="1">
      <formula>$I2032="适用"</formula>
    </cfRule>
    <cfRule type="expression" dxfId="3732" priority="819" stopIfTrue="1">
      <formula>$I2032="不适用"</formula>
    </cfRule>
  </conditionalFormatting>
  <conditionalFormatting sqref="I2048">
    <cfRule type="expression" dxfId="3731" priority="811" stopIfTrue="1">
      <formula>$I2048="适用"</formula>
    </cfRule>
    <cfRule type="expression" dxfId="3730" priority="812" stopIfTrue="1">
      <formula>$I2048="不适用"</formula>
    </cfRule>
  </conditionalFormatting>
  <conditionalFormatting sqref="I2063">
    <cfRule type="expression" dxfId="3729" priority="808" stopIfTrue="1">
      <formula>$I2063="适用"</formula>
    </cfRule>
    <cfRule type="expression" dxfId="3728" priority="809" stopIfTrue="1">
      <formula>$I2063="不适用"</formula>
    </cfRule>
  </conditionalFormatting>
  <conditionalFormatting sqref="I2137">
    <cfRule type="expression" dxfId="3727" priority="796" stopIfTrue="1">
      <formula>$I2137="适用"</formula>
    </cfRule>
    <cfRule type="expression" dxfId="3726" priority="797" stopIfTrue="1">
      <formula>$I2137="不适用"</formula>
    </cfRule>
  </conditionalFormatting>
  <conditionalFormatting sqref="Q2157">
    <cfRule type="expression" dxfId="3725" priority="4310" stopIfTrue="1">
      <formula>$Q2157="请输入"</formula>
    </cfRule>
  </conditionalFormatting>
  <conditionalFormatting sqref="I2171">
    <cfRule type="expression" dxfId="3724" priority="2360" stopIfTrue="1">
      <formula>$I2171="适用"</formula>
    </cfRule>
    <cfRule type="expression" dxfId="3723" priority="2361" stopIfTrue="1">
      <formula>$I2171="不适用"</formula>
    </cfRule>
  </conditionalFormatting>
  <conditionalFormatting sqref="Q2171">
    <cfRule type="expression" dxfId="3722" priority="4311" stopIfTrue="1">
      <formula>$Q2171="请输入"</formula>
    </cfRule>
  </conditionalFormatting>
  <conditionalFormatting sqref="I2181">
    <cfRule type="expression" dxfId="3721" priority="2354" stopIfTrue="1">
      <formula>$I2181="适用"</formula>
    </cfRule>
    <cfRule type="expression" dxfId="3720" priority="2355" stopIfTrue="1">
      <formula>$I2181="不适用"</formula>
    </cfRule>
  </conditionalFormatting>
  <conditionalFormatting sqref="Q2181">
    <cfRule type="expression" dxfId="3719" priority="4312" stopIfTrue="1">
      <formula>$Q2181="请输入"</formula>
    </cfRule>
  </conditionalFormatting>
  <conditionalFormatting sqref="Q2202">
    <cfRule type="expression" dxfId="3718" priority="4313" stopIfTrue="1">
      <formula>$Q2202="请输入"</formula>
    </cfRule>
  </conditionalFormatting>
  <conditionalFormatting sqref="I2234">
    <cfRule type="expression" dxfId="3717" priority="772" stopIfTrue="1">
      <formula>$I2234="适用"</formula>
    </cfRule>
    <cfRule type="expression" dxfId="3716" priority="773" stopIfTrue="1">
      <formula>$I2234="不适用"</formula>
    </cfRule>
  </conditionalFormatting>
  <conditionalFormatting sqref="I2247">
    <cfRule type="expression" dxfId="3715" priority="769" stopIfTrue="1">
      <formula>$I2247="适用"</formula>
    </cfRule>
    <cfRule type="expression" dxfId="3714" priority="770" stopIfTrue="1">
      <formula>$I2247="不适用"</formula>
    </cfRule>
  </conditionalFormatting>
  <conditionalFormatting sqref="I2260">
    <cfRule type="expression" dxfId="3713" priority="763" stopIfTrue="1">
      <formula>$I2260="适用"</formula>
    </cfRule>
    <cfRule type="expression" dxfId="3712" priority="764" stopIfTrue="1">
      <formula>$I2260="不适用"</formula>
    </cfRule>
  </conditionalFormatting>
  <conditionalFormatting sqref="I2273">
    <cfRule type="expression" dxfId="3711" priority="745" stopIfTrue="1">
      <formula>$I2273="适用"</formula>
    </cfRule>
    <cfRule type="expression" dxfId="3710" priority="746" stopIfTrue="1">
      <formula>$I2273="不适用"</formula>
    </cfRule>
  </conditionalFormatting>
  <conditionalFormatting sqref="I2293">
    <cfRule type="expression" dxfId="3709" priority="742" stopIfTrue="1">
      <formula>$I2293="适用"</formula>
    </cfRule>
    <cfRule type="expression" dxfId="3708" priority="743" stopIfTrue="1">
      <formula>$I2293="不适用"</formula>
    </cfRule>
  </conditionalFormatting>
  <conditionalFormatting sqref="I2349">
    <cfRule type="expression" dxfId="3707" priority="739" stopIfTrue="1">
      <formula>$I2349="适用"</formula>
    </cfRule>
    <cfRule type="expression" dxfId="3706" priority="740" stopIfTrue="1">
      <formula>$I2349="不适用"</formula>
    </cfRule>
  </conditionalFormatting>
  <conditionalFormatting sqref="I2378">
    <cfRule type="expression" dxfId="3705" priority="727" stopIfTrue="1">
      <formula>$I2378="适用"</formula>
    </cfRule>
    <cfRule type="expression" dxfId="3704" priority="728" stopIfTrue="1">
      <formula>$I2378="不适用"</formula>
    </cfRule>
  </conditionalFormatting>
  <conditionalFormatting sqref="I2391">
    <cfRule type="expression" dxfId="3703" priority="2757" stopIfTrue="1">
      <formula>$I2391="适用"</formula>
    </cfRule>
    <cfRule type="expression" dxfId="3702" priority="2758" stopIfTrue="1">
      <formula>$I2391="不适用"</formula>
    </cfRule>
  </conditionalFormatting>
  <conditionalFormatting sqref="Q2391">
    <cfRule type="expression" dxfId="3701" priority="4314" stopIfTrue="1">
      <formula>$Q2391="请输入"</formula>
    </cfRule>
  </conditionalFormatting>
  <conditionalFormatting sqref="I2401">
    <cfRule type="expression" dxfId="3700" priority="1964" stopIfTrue="1">
      <formula>$I2401="适用"</formula>
    </cfRule>
    <cfRule type="expression" dxfId="3699" priority="1965" stopIfTrue="1">
      <formula>$I2401="不适用"</formula>
    </cfRule>
  </conditionalFormatting>
  <conditionalFormatting sqref="Q2401">
    <cfRule type="expression" dxfId="3698" priority="4318" stopIfTrue="1">
      <formula>$Q2401="请输入"</formula>
    </cfRule>
  </conditionalFormatting>
  <conditionalFormatting sqref="I2497">
    <cfRule type="expression" dxfId="3697" priority="724" stopIfTrue="1">
      <formula>$I2497="适用"</formula>
    </cfRule>
    <cfRule type="expression" dxfId="3696" priority="725" stopIfTrue="1">
      <formula>$I2497="不适用"</formula>
    </cfRule>
  </conditionalFormatting>
  <conditionalFormatting sqref="I2506">
    <cfRule type="expression" dxfId="3695" priority="721" stopIfTrue="1">
      <formula>$I2506="适用"</formula>
    </cfRule>
    <cfRule type="expression" dxfId="3694" priority="722" stopIfTrue="1">
      <formula>$I2506="不适用"</formula>
    </cfRule>
  </conditionalFormatting>
  <conditionalFormatting sqref="I2520">
    <cfRule type="expression" dxfId="3693" priority="718" stopIfTrue="1">
      <formula>$I2520="适用"</formula>
    </cfRule>
    <cfRule type="expression" dxfId="3692" priority="719" stopIfTrue="1">
      <formula>$I2520="不适用"</formula>
    </cfRule>
  </conditionalFormatting>
  <conditionalFormatting sqref="Q2599">
    <cfRule type="expression" dxfId="3691" priority="4333" stopIfTrue="1">
      <formula>$Q2599="请输入"</formula>
    </cfRule>
  </conditionalFormatting>
  <conditionalFormatting sqref="Q2618">
    <cfRule type="expression" dxfId="3690" priority="4334" stopIfTrue="1">
      <formula>$Q2618="请输入"</formula>
    </cfRule>
  </conditionalFormatting>
  <conditionalFormatting sqref="I2639">
    <cfRule type="expression" dxfId="3689" priority="1110" stopIfTrue="1">
      <formula>$I2639="适用"</formula>
    </cfRule>
    <cfRule type="expression" dxfId="3688" priority="1111" stopIfTrue="1">
      <formula>$I2639="不适用"</formula>
    </cfRule>
  </conditionalFormatting>
  <conditionalFormatting sqref="Q2761">
    <cfRule type="expression" dxfId="3687" priority="4343" stopIfTrue="1">
      <formula>$Q2761="请输入"</formula>
    </cfRule>
  </conditionalFormatting>
  <conditionalFormatting sqref="I2781">
    <cfRule type="expression" dxfId="3686" priority="1418" stopIfTrue="1">
      <formula>$I2781="适用"</formula>
    </cfRule>
    <cfRule type="expression" dxfId="3685" priority="1419" stopIfTrue="1">
      <formula>$I2781="不适用"</formula>
    </cfRule>
  </conditionalFormatting>
  <conditionalFormatting sqref="I2797">
    <cfRule type="expression" dxfId="3684" priority="682" stopIfTrue="1">
      <formula>$I2797="适用"</formula>
    </cfRule>
    <cfRule type="expression" dxfId="3683" priority="683" stopIfTrue="1">
      <formula>$I2797="不适用"</formula>
    </cfRule>
  </conditionalFormatting>
  <conditionalFormatting sqref="I2821">
    <cfRule type="expression" dxfId="3682" priority="1105" stopIfTrue="1">
      <formula>$I2821="适用"</formula>
    </cfRule>
    <cfRule type="expression" dxfId="3681" priority="1106" stopIfTrue="1">
      <formula>$I2821="不适用"</formula>
    </cfRule>
  </conditionalFormatting>
  <conditionalFormatting sqref="Q2830">
    <cfRule type="expression" dxfId="3680" priority="4346" stopIfTrue="1">
      <formula>$Q2830="请输入"</formula>
    </cfRule>
  </conditionalFormatting>
  <conditionalFormatting sqref="Q2847">
    <cfRule type="expression" dxfId="3679" priority="4347" stopIfTrue="1">
      <formula>$Q2847="请输入"</formula>
    </cfRule>
  </conditionalFormatting>
  <conditionalFormatting sqref="Q2862">
    <cfRule type="expression" dxfId="3678" priority="4348" stopIfTrue="1">
      <formula>$Q2862="请输入"</formula>
    </cfRule>
  </conditionalFormatting>
  <conditionalFormatting sqref="I2877">
    <cfRule type="expression" dxfId="3677" priority="673" stopIfTrue="1">
      <formula>$I2877="适用"</formula>
    </cfRule>
    <cfRule type="expression" dxfId="3676" priority="674" stopIfTrue="1">
      <formula>$I2877="不适用"</formula>
    </cfRule>
  </conditionalFormatting>
  <conditionalFormatting sqref="Q2897">
    <cfRule type="expression" dxfId="3675" priority="4349" stopIfTrue="1">
      <formula>$Q2897="请输入"</formula>
    </cfRule>
  </conditionalFormatting>
  <conditionalFormatting sqref="I2908">
    <cfRule type="expression" dxfId="3674" priority="1077" stopIfTrue="1">
      <formula>$I2908="适用"</formula>
    </cfRule>
    <cfRule type="expression" dxfId="3673" priority="1078" stopIfTrue="1">
      <formula>$I2908="不适用"</formula>
    </cfRule>
  </conditionalFormatting>
  <conditionalFormatting sqref="I2920">
    <cfRule type="expression" dxfId="3672" priority="2086" stopIfTrue="1">
      <formula>$I2920="适用"</formula>
    </cfRule>
    <cfRule type="expression" dxfId="3671" priority="2087" stopIfTrue="1">
      <formula>$I2920="不适用"</formula>
    </cfRule>
  </conditionalFormatting>
  <conditionalFormatting sqref="Q2920">
    <cfRule type="expression" dxfId="3670" priority="4352" stopIfTrue="1">
      <formula>$Q2920="请输入"</formula>
    </cfRule>
  </conditionalFormatting>
  <conditionalFormatting sqref="Q2982">
    <cfRule type="expression" dxfId="3669" priority="4356" stopIfTrue="1">
      <formula>$Q2982="请输入"</formula>
    </cfRule>
  </conditionalFormatting>
  <conditionalFormatting sqref="I3006">
    <cfRule type="expression" dxfId="3668" priority="670" stopIfTrue="1">
      <formula>$I3006="适用"</formula>
    </cfRule>
    <cfRule type="expression" dxfId="3667" priority="671" stopIfTrue="1">
      <formula>$I3006="不适用"</formula>
    </cfRule>
  </conditionalFormatting>
  <conditionalFormatting sqref="I3043">
    <cfRule type="expression" dxfId="3666" priority="2270" stopIfTrue="1">
      <formula>$I3043="适用"</formula>
    </cfRule>
    <cfRule type="expression" dxfId="3665" priority="2271" stopIfTrue="1">
      <formula>$I3043="不适用"</formula>
    </cfRule>
  </conditionalFormatting>
  <conditionalFormatting sqref="Q3043">
    <cfRule type="expression" dxfId="3664" priority="4358" stopIfTrue="1">
      <formula>$Q3043="请输入"</formula>
    </cfRule>
  </conditionalFormatting>
  <conditionalFormatting sqref="I3113">
    <cfRule type="expression" dxfId="3663" priority="658" stopIfTrue="1">
      <formula>$I3113="适用"</formula>
    </cfRule>
    <cfRule type="expression" dxfId="3662" priority="659" stopIfTrue="1">
      <formula>$I3113="不适用"</formula>
    </cfRule>
  </conditionalFormatting>
  <conditionalFormatting sqref="I3126">
    <cfRule type="expression" dxfId="3661" priority="2254" stopIfTrue="1">
      <formula>$I3126="适用"</formula>
    </cfRule>
    <cfRule type="expression" dxfId="3660" priority="2255" stopIfTrue="1">
      <formula>$I3126="不适用"</formula>
    </cfRule>
  </conditionalFormatting>
  <conditionalFormatting sqref="Q3126">
    <cfRule type="expression" dxfId="3659" priority="4361" stopIfTrue="1">
      <formula>$Q3126="请输入"</formula>
    </cfRule>
  </conditionalFormatting>
  <conditionalFormatting sqref="I3162">
    <cfRule type="expression" dxfId="3658" priority="1410" stopIfTrue="1">
      <formula>$I3162="适用"</formula>
    </cfRule>
    <cfRule type="expression" dxfId="3657" priority="1411" stopIfTrue="1">
      <formula>$I3162="不适用"</formula>
    </cfRule>
  </conditionalFormatting>
  <conditionalFormatting sqref="Q3175">
    <cfRule type="expression" dxfId="3656" priority="4365" stopIfTrue="1">
      <formula>$Q3175="请输入"</formula>
    </cfRule>
  </conditionalFormatting>
  <conditionalFormatting sqref="Q3188">
    <cfRule type="expression" dxfId="3655" priority="4366" stopIfTrue="1">
      <formula>$Q3188="请输入"</formula>
    </cfRule>
  </conditionalFormatting>
  <conditionalFormatting sqref="I3200">
    <cfRule type="expression" dxfId="3654" priority="2220" stopIfTrue="1">
      <formula>$I3200="适用"</formula>
    </cfRule>
    <cfRule type="expression" dxfId="3653" priority="2221" stopIfTrue="1">
      <formula>$I3200="不适用"</formula>
    </cfRule>
  </conditionalFormatting>
  <conditionalFormatting sqref="Q3200">
    <cfRule type="expression" dxfId="3652" priority="4367" stopIfTrue="1">
      <formula>$Q3200="请输入"</formula>
    </cfRule>
  </conditionalFormatting>
  <conditionalFormatting sqref="Q3213">
    <cfRule type="expression" dxfId="3651" priority="4368" stopIfTrue="1">
      <formula>$Q3213="请输入"</formula>
    </cfRule>
  </conditionalFormatting>
  <conditionalFormatting sqref="I3225">
    <cfRule type="expression" dxfId="3650" priority="1404" stopIfTrue="1">
      <formula>$I3225="适用"</formula>
    </cfRule>
    <cfRule type="expression" dxfId="3649" priority="1405" stopIfTrue="1">
      <formula>$I3225="不适用"</formula>
    </cfRule>
  </conditionalFormatting>
  <conditionalFormatting sqref="Q3240">
    <cfRule type="expression" dxfId="3648" priority="4369" stopIfTrue="1">
      <formula>$Q3240="请输入"</formula>
    </cfRule>
  </conditionalFormatting>
  <conditionalFormatting sqref="Q3256">
    <cfRule type="expression" dxfId="3647" priority="4370" stopIfTrue="1">
      <formula>$Q3256="请输入"</formula>
    </cfRule>
  </conditionalFormatting>
  <conditionalFormatting sqref="Q3269">
    <cfRule type="expression" dxfId="3646" priority="4371" stopIfTrue="1">
      <formula>$Q3269="请输入"</formula>
    </cfRule>
  </conditionalFormatting>
  <conditionalFormatting sqref="Q3276">
    <cfRule type="expression" dxfId="3645" priority="4372" stopIfTrue="1">
      <formula>$Q3276="请输入"</formula>
    </cfRule>
  </conditionalFormatting>
  <conditionalFormatting sqref="Q3286">
    <cfRule type="expression" dxfId="3644" priority="4373" stopIfTrue="1">
      <formula>$Q3286="请输入"</formula>
    </cfRule>
  </conditionalFormatting>
  <conditionalFormatting sqref="H3301">
    <cfRule type="expression" dxfId="3643" priority="4226">
      <formula>AND(H$3301&lt;&gt;0,H$3301&lt;&gt;"")</formula>
    </cfRule>
    <cfRule type="expression" dxfId="3642" priority="4227" stopIfTrue="1">
      <formula>H$3302&lt;&gt;"√"</formula>
    </cfRule>
  </conditionalFormatting>
  <conditionalFormatting sqref="I3301">
    <cfRule type="expression" dxfId="3641" priority="4228">
      <formula>AND(I$3301&lt;&gt;0,I$3301&lt;&gt;"")</formula>
    </cfRule>
    <cfRule type="expression" dxfId="3640" priority="4229" stopIfTrue="1">
      <formula>I$3302&lt;&gt;"√"</formula>
    </cfRule>
  </conditionalFormatting>
  <conditionalFormatting sqref="K3303">
    <cfRule type="expression" dxfId="3639" priority="4230">
      <formula>AND($K$3303&lt;&gt;0,$K$3303&lt;&gt;"")</formula>
    </cfRule>
    <cfRule type="expression" dxfId="3638" priority="4231" stopIfTrue="1">
      <formula>$L$3303&lt;&gt;"√"</formula>
    </cfRule>
  </conditionalFormatting>
  <conditionalFormatting sqref="Q3306">
    <cfRule type="expression" dxfId="3637" priority="4374" stopIfTrue="1">
      <formula>$Q3306="请输入"</formula>
    </cfRule>
  </conditionalFormatting>
  <conditionalFormatting sqref="Q3319">
    <cfRule type="expression" dxfId="3636" priority="4375" stopIfTrue="1">
      <formula>$Q3319="请输入"</formula>
    </cfRule>
  </conditionalFormatting>
  <conditionalFormatting sqref="I3329">
    <cfRule type="expression" dxfId="3635" priority="1794" stopIfTrue="1">
      <formula>$I3329="适用"</formula>
    </cfRule>
    <cfRule type="expression" dxfId="3634" priority="1795" stopIfTrue="1">
      <formula>$I3329="不适用"</formula>
    </cfRule>
  </conditionalFormatting>
  <conditionalFormatting sqref="I3339">
    <cfRule type="expression" dxfId="3633" priority="1788" stopIfTrue="1">
      <formula>$I3339="适用"</formula>
    </cfRule>
    <cfRule type="expression" dxfId="3632" priority="1789" stopIfTrue="1">
      <formula>$I3339="不适用"</formula>
    </cfRule>
  </conditionalFormatting>
  <conditionalFormatting sqref="I3349">
    <cfRule type="expression" dxfId="3631" priority="1782" stopIfTrue="1">
      <formula>$I3349="适用"</formula>
    </cfRule>
    <cfRule type="expression" dxfId="3630" priority="1783" stopIfTrue="1">
      <formula>$I3349="不适用"</formula>
    </cfRule>
  </conditionalFormatting>
  <conditionalFormatting sqref="I3370">
    <cfRule type="expression" dxfId="3629" priority="2745" stopIfTrue="1">
      <formula>$I3370="适用"</formula>
    </cfRule>
    <cfRule type="expression" dxfId="3628" priority="2746" stopIfTrue="1">
      <formula>$I3370="不适用"</formula>
    </cfRule>
  </conditionalFormatting>
  <conditionalFormatting sqref="Q3370">
    <cfRule type="expression" dxfId="3627" priority="4380" stopIfTrue="1">
      <formula>$Q3370="请输入"</formula>
    </cfRule>
  </conditionalFormatting>
  <conditionalFormatting sqref="I3381">
    <cfRule type="expression" dxfId="3626" priority="655" stopIfTrue="1">
      <formula>$I3381="适用"</formula>
    </cfRule>
    <cfRule type="expression" dxfId="3625" priority="656" stopIfTrue="1">
      <formula>$I3381="不适用"</formula>
    </cfRule>
  </conditionalFormatting>
  <conditionalFormatting sqref="I3394">
    <cfRule type="expression" dxfId="3624" priority="652" stopIfTrue="1">
      <formula>$I3394="适用"</formula>
    </cfRule>
    <cfRule type="expression" dxfId="3623" priority="653" stopIfTrue="1">
      <formula>$I3394="不适用"</formula>
    </cfRule>
  </conditionalFormatting>
  <conditionalFormatting sqref="Q3409">
    <cfRule type="expression" dxfId="3622" priority="4381" stopIfTrue="1">
      <formula>$Q3409="请输入"</formula>
    </cfRule>
  </conditionalFormatting>
  <conditionalFormatting sqref="I3421">
    <cfRule type="expression" dxfId="3621" priority="2210" stopIfTrue="1">
      <formula>$I3421="适用"</formula>
    </cfRule>
    <cfRule type="expression" dxfId="3620" priority="2211" stopIfTrue="1">
      <formula>$I3421="不适用"</formula>
    </cfRule>
  </conditionalFormatting>
  <conditionalFormatting sqref="Q3421">
    <cfRule type="expression" dxfId="3619" priority="4382" stopIfTrue="1">
      <formula>$Q3421="请输入"</formula>
    </cfRule>
  </conditionalFormatting>
  <conditionalFormatting sqref="Q3432">
    <cfRule type="expression" dxfId="3618" priority="4383" stopIfTrue="1">
      <formula>$Q3432="请输入"</formula>
    </cfRule>
  </conditionalFormatting>
  <conditionalFormatting sqref="I3443">
    <cfRule type="expression" dxfId="3617" priority="2720" stopIfTrue="1">
      <formula>$I3443="适用"</formula>
    </cfRule>
    <cfRule type="expression" dxfId="3616" priority="2721" stopIfTrue="1">
      <formula>$I3443="不适用"</formula>
    </cfRule>
    <cfRule type="expression" dxfId="3615" priority="2727" stopIfTrue="1">
      <formula>$I3443="适用"</formula>
    </cfRule>
    <cfRule type="expression" dxfId="3614" priority="2728" stopIfTrue="1">
      <formula>$I3443="不适用"</formula>
    </cfRule>
  </conditionalFormatting>
  <conditionalFormatting sqref="Q3443">
    <cfRule type="expression" dxfId="3613" priority="4384" stopIfTrue="1">
      <formula>$Q3443="请输入"</formula>
    </cfRule>
  </conditionalFormatting>
  <conditionalFormatting sqref="I3454">
    <cfRule type="expression" dxfId="3612" priority="1506" stopIfTrue="1">
      <formula>$I3454="适用"</formula>
    </cfRule>
    <cfRule type="expression" dxfId="3611" priority="1507" stopIfTrue="1">
      <formula>$I3454="不适用"</formula>
    </cfRule>
    <cfRule type="expression" dxfId="3610" priority="1508" stopIfTrue="1">
      <formula>$I3454="适用"</formula>
    </cfRule>
    <cfRule type="expression" dxfId="3609" priority="1509" stopIfTrue="1">
      <formula>$I3454="不适用"</formula>
    </cfRule>
  </conditionalFormatting>
  <conditionalFormatting sqref="I3471">
    <cfRule type="expression" dxfId="3608" priority="1462" stopIfTrue="1">
      <formula>$I3471="适用"</formula>
    </cfRule>
    <cfRule type="expression" dxfId="3607" priority="1463" stopIfTrue="1">
      <formula>$I3471="不适用"</formula>
    </cfRule>
  </conditionalFormatting>
  <conditionalFormatting sqref="Q3471">
    <cfRule type="expression" dxfId="3606" priority="4386" stopIfTrue="1">
      <formula>$Q3471="请输入"</formula>
    </cfRule>
  </conditionalFormatting>
  <conditionalFormatting sqref="Q3481">
    <cfRule type="expression" dxfId="3605" priority="4387" stopIfTrue="1">
      <formula>$Q3481="请输入"</formula>
    </cfRule>
  </conditionalFormatting>
  <conditionalFormatting sqref="Q3491">
    <cfRule type="expression" dxfId="3604" priority="4388" stopIfTrue="1">
      <formula>$Q3491="请输入"</formula>
    </cfRule>
  </conditionalFormatting>
  <conditionalFormatting sqref="I3531">
    <cfRule type="expression" dxfId="3603" priority="2677" stopIfTrue="1">
      <formula>$I3531="适用"</formula>
    </cfRule>
    <cfRule type="expression" dxfId="3602" priority="2678" stopIfTrue="1">
      <formula>$I3531="不适用"</formula>
    </cfRule>
    <cfRule type="expression" dxfId="3601" priority="2685" stopIfTrue="1">
      <formula>$I3531="适用"</formula>
    </cfRule>
    <cfRule type="expression" dxfId="3600" priority="2686" stopIfTrue="1">
      <formula>$I3531="不适用"</formula>
    </cfRule>
  </conditionalFormatting>
  <conditionalFormatting sqref="Q3531">
    <cfRule type="expression" dxfId="3599" priority="4390" stopIfTrue="1">
      <formula>$Q3531="请输入"</formula>
    </cfRule>
  </conditionalFormatting>
  <conditionalFormatting sqref="I3541">
    <cfRule type="expression" dxfId="3598" priority="1496" stopIfTrue="1">
      <formula>$I3541="适用"</formula>
    </cfRule>
    <cfRule type="expression" dxfId="3597" priority="1497" stopIfTrue="1">
      <formula>$I3541="不适用"</formula>
    </cfRule>
    <cfRule type="expression" dxfId="3596" priority="1498" stopIfTrue="1">
      <formula>$I3541="适用"</formula>
    </cfRule>
    <cfRule type="expression" dxfId="3595" priority="1499" stopIfTrue="1">
      <formula>$I3541="不适用"</formula>
    </cfRule>
  </conditionalFormatting>
  <conditionalFormatting sqref="Q3558">
    <cfRule type="expression" dxfId="3594" priority="4392" stopIfTrue="1">
      <formula>$Q3558="请输入"</formula>
    </cfRule>
  </conditionalFormatting>
  <conditionalFormatting sqref="I3568">
    <cfRule type="expression" dxfId="3593" priority="2192" stopIfTrue="1">
      <formula>$I3568="适用"</formula>
    </cfRule>
    <cfRule type="expression" dxfId="3592" priority="2193" stopIfTrue="1">
      <formula>$I3568="不适用"</formula>
    </cfRule>
  </conditionalFormatting>
  <conditionalFormatting sqref="Q3568">
    <cfRule type="expression" dxfId="3591" priority="4393" stopIfTrue="1">
      <formula>$Q3568="请输入"</formula>
    </cfRule>
  </conditionalFormatting>
  <conditionalFormatting sqref="Q3578">
    <cfRule type="expression" dxfId="3590" priority="4394" stopIfTrue="1">
      <formula>$Q3578="请输入"</formula>
    </cfRule>
  </conditionalFormatting>
  <conditionalFormatting sqref="Q3588">
    <cfRule type="expression" dxfId="3589" priority="4396" stopIfTrue="1">
      <formula>$Q3588="请输入"</formula>
    </cfRule>
  </conditionalFormatting>
  <conditionalFormatting sqref="I3598">
    <cfRule type="expression" dxfId="3588" priority="1764" stopIfTrue="1">
      <formula>$I3598="适用"</formula>
    </cfRule>
    <cfRule type="expression" dxfId="3587" priority="1765" stopIfTrue="1">
      <formula>$I3598="不适用"</formula>
    </cfRule>
  </conditionalFormatting>
  <conditionalFormatting sqref="Q3618">
    <cfRule type="expression" dxfId="3586" priority="4397" stopIfTrue="1">
      <formula>$Q3618="请输入"</formula>
    </cfRule>
  </conditionalFormatting>
  <conditionalFormatting sqref="I3628">
    <cfRule type="expression" dxfId="3585" priority="2182" stopIfTrue="1">
      <formula>$I3628="适用"</formula>
    </cfRule>
    <cfRule type="expression" dxfId="3584" priority="2183" stopIfTrue="1">
      <formula>$I3628="不适用"</formula>
    </cfRule>
  </conditionalFormatting>
  <conditionalFormatting sqref="Q3628">
    <cfRule type="expression" dxfId="3583" priority="4398" stopIfTrue="1">
      <formula>$Q3628="请输入"</formula>
    </cfRule>
  </conditionalFormatting>
  <conditionalFormatting sqref="I3657">
    <cfRule type="expression" dxfId="3582" priority="2176" stopIfTrue="1">
      <formula>$I3657="适用"</formula>
    </cfRule>
    <cfRule type="expression" dxfId="3581" priority="2177" stopIfTrue="1">
      <formula>$I3657="不适用"</formula>
    </cfRule>
  </conditionalFormatting>
  <conditionalFormatting sqref="Q3657">
    <cfRule type="expression" dxfId="3580" priority="4399" stopIfTrue="1">
      <formula>$Q3657="请输入"</formula>
    </cfRule>
  </conditionalFormatting>
  <conditionalFormatting sqref="I3681">
    <cfRule type="expression" dxfId="3579" priority="1452" stopIfTrue="1">
      <formula>$I3681="适用"</formula>
    </cfRule>
    <cfRule type="expression" dxfId="3578" priority="1453" stopIfTrue="1">
      <formula>$I3681="不适用"</formula>
    </cfRule>
  </conditionalFormatting>
  <conditionalFormatting sqref="I3713">
    <cfRule type="expression" dxfId="3577" priority="1438" stopIfTrue="1">
      <formula>$I3713="适用"</formula>
    </cfRule>
    <cfRule type="expression" dxfId="3576" priority="1439" stopIfTrue="1">
      <formula>$I3713="不适用"</formula>
    </cfRule>
  </conditionalFormatting>
  <conditionalFormatting sqref="I3727">
    <cfRule type="expression" dxfId="3575" priority="645" stopIfTrue="1">
      <formula>$I3727="适用"</formula>
    </cfRule>
    <cfRule type="expression" dxfId="3574" priority="646" stopIfTrue="1">
      <formula>$I3727="不适用"</formula>
    </cfRule>
  </conditionalFormatting>
  <conditionalFormatting sqref="Q3727">
    <cfRule type="expression" dxfId="3573" priority="4401" stopIfTrue="1">
      <formula>$Q3727="请输入"</formula>
    </cfRule>
  </conditionalFormatting>
  <conditionalFormatting sqref="I3746">
    <cfRule type="expression" dxfId="3572" priority="1448" stopIfTrue="1">
      <formula>$I3746="适用"</formula>
    </cfRule>
    <cfRule type="expression" dxfId="3571" priority="1449" stopIfTrue="1">
      <formula>$I3746="不适用"</formula>
    </cfRule>
  </conditionalFormatting>
  <conditionalFormatting sqref="I3760">
    <cfRule type="expression" dxfId="3570" priority="1095" stopIfTrue="1">
      <formula>$I3760="适用"</formula>
    </cfRule>
    <cfRule type="expression" dxfId="3569" priority="1096" stopIfTrue="1">
      <formula>$I3760="不适用"</formula>
    </cfRule>
  </conditionalFormatting>
  <conditionalFormatting sqref="Q3770">
    <cfRule type="expression" dxfId="3568" priority="4402" stopIfTrue="1">
      <formula>$Q3770="请输入"</formula>
    </cfRule>
  </conditionalFormatting>
  <conditionalFormatting sqref="I3790">
    <cfRule type="expression" dxfId="3567" priority="2170" stopIfTrue="1">
      <formula>$I3790="适用"</formula>
    </cfRule>
    <cfRule type="expression" dxfId="3566" priority="2171" stopIfTrue="1">
      <formula>$I3790="不适用"</formula>
    </cfRule>
  </conditionalFormatting>
  <conditionalFormatting sqref="Q3790">
    <cfRule type="expression" dxfId="3565" priority="4403" stopIfTrue="1">
      <formula>$Q3790="请输入"</formula>
    </cfRule>
  </conditionalFormatting>
  <conditionalFormatting sqref="Q3801">
    <cfRule type="expression" dxfId="3564" priority="4404" stopIfTrue="1">
      <formula>$Q3801="请输入"</formula>
    </cfRule>
  </conditionalFormatting>
  <conditionalFormatting sqref="I3818">
    <cfRule type="expression" dxfId="3563" priority="2164" stopIfTrue="1">
      <formula>$I3818="适用"</formula>
    </cfRule>
    <cfRule type="expression" dxfId="3562" priority="2165" stopIfTrue="1">
      <formula>$I3818="不适用"</formula>
    </cfRule>
  </conditionalFormatting>
  <conditionalFormatting sqref="Q3818">
    <cfRule type="expression" dxfId="3561" priority="4405" stopIfTrue="1">
      <formula>$Q3818="请输入"</formula>
    </cfRule>
  </conditionalFormatting>
  <conditionalFormatting sqref="I3829">
    <cfRule type="expression" dxfId="3560" priority="2634" stopIfTrue="1">
      <formula>$I3829="适用"</formula>
    </cfRule>
    <cfRule type="expression" dxfId="3559" priority="2635" stopIfTrue="1">
      <formula>$I3829="不适用"</formula>
    </cfRule>
    <cfRule type="expression" dxfId="3558" priority="2642" stopIfTrue="1">
      <formula>$I3829="适用"</formula>
    </cfRule>
    <cfRule type="expression" dxfId="3557" priority="2643" stopIfTrue="1">
      <formula>$I3829="不适用"</formula>
    </cfRule>
  </conditionalFormatting>
  <conditionalFormatting sqref="Q3829">
    <cfRule type="expression" dxfId="3556" priority="4406" stopIfTrue="1">
      <formula>$Q3829="请输入"</formula>
    </cfRule>
  </conditionalFormatting>
  <conditionalFormatting sqref="I3839">
    <cfRule type="expression" dxfId="3555" priority="1484" stopIfTrue="1">
      <formula>$I3839="适用"</formula>
    </cfRule>
    <cfRule type="expression" dxfId="3554" priority="1485" stopIfTrue="1">
      <formula>$I3839="不适用"</formula>
    </cfRule>
    <cfRule type="expression" dxfId="3553" priority="1486" stopIfTrue="1">
      <formula>$I3839="适用"</formula>
    </cfRule>
    <cfRule type="expression" dxfId="3552" priority="1487" stopIfTrue="1">
      <formula>$I3839="不适用"</formula>
    </cfRule>
  </conditionalFormatting>
  <conditionalFormatting sqref="Q3856">
    <cfRule type="expression" dxfId="3551" priority="4408" stopIfTrue="1">
      <formula>$Q3856="请输入"</formula>
    </cfRule>
  </conditionalFormatting>
  <conditionalFormatting sqref="I3866">
    <cfRule type="expression" dxfId="3550" priority="1470" stopIfTrue="1">
      <formula>$I3866="适用"</formula>
    </cfRule>
    <cfRule type="expression" dxfId="3549" priority="1471" stopIfTrue="1">
      <formula>$I3866="不适用"</formula>
    </cfRule>
  </conditionalFormatting>
  <conditionalFormatting sqref="Q3876">
    <cfRule type="expression" dxfId="3548" priority="4410" stopIfTrue="1">
      <formula>$Q3876="请输入"</formula>
    </cfRule>
  </conditionalFormatting>
  <conditionalFormatting sqref="G3878">
    <cfRule type="expression" dxfId="3547" priority="2158" stopIfTrue="1">
      <formula>$D3878&gt;1</formula>
    </cfRule>
    <cfRule type="expression" dxfId="3546" priority="2159" stopIfTrue="1">
      <formula>$C3878="%IN"</formula>
    </cfRule>
  </conditionalFormatting>
  <conditionalFormatting sqref="Q3886">
    <cfRule type="expression" dxfId="3545" priority="4411" stopIfTrue="1">
      <formula>$Q3886="请输入"</formula>
    </cfRule>
  </conditionalFormatting>
  <conditionalFormatting sqref="Q3927">
    <cfRule type="expression" dxfId="3544" priority="4412" stopIfTrue="1">
      <formula>$Q3927="请输入"</formula>
    </cfRule>
  </conditionalFormatting>
  <conditionalFormatting sqref="Q3937">
    <cfRule type="expression" dxfId="3543" priority="4413" stopIfTrue="1">
      <formula>$Q3937="请输入"</formula>
    </cfRule>
  </conditionalFormatting>
  <conditionalFormatting sqref="Q3947">
    <cfRule type="expression" dxfId="3542" priority="4414" stopIfTrue="1">
      <formula>$Q3947="请输入"</formula>
    </cfRule>
  </conditionalFormatting>
  <conditionalFormatting sqref="Q3957">
    <cfRule type="expression" dxfId="3541" priority="4415" stopIfTrue="1">
      <formula>$Q3957="请输入"</formula>
    </cfRule>
  </conditionalFormatting>
  <conditionalFormatting sqref="Q3968">
    <cfRule type="expression" dxfId="3540" priority="4416" stopIfTrue="1">
      <formula>$Q3968="请输入"</formula>
    </cfRule>
  </conditionalFormatting>
  <conditionalFormatting sqref="I3979">
    <cfRule type="expression" dxfId="3539" priority="2156" stopIfTrue="1">
      <formula>$I3979="适用"</formula>
    </cfRule>
    <cfRule type="expression" dxfId="3538" priority="2157" stopIfTrue="1">
      <formula>$I3979="不适用"</formula>
    </cfRule>
  </conditionalFormatting>
  <conditionalFormatting sqref="Q3979">
    <cfRule type="expression" dxfId="3537" priority="4417" stopIfTrue="1">
      <formula>$Q3979="请输入"</formula>
    </cfRule>
  </conditionalFormatting>
  <conditionalFormatting sqref="L3992">
    <cfRule type="expression" dxfId="3536" priority="4036">
      <formula>AND(L$3992&lt;&gt;0,L$3992&lt;&gt;"")</formula>
    </cfRule>
    <cfRule type="expression" dxfId="3535" priority="4037" stopIfTrue="1">
      <formula>L$3993&lt;&gt;"√"</formula>
    </cfRule>
  </conditionalFormatting>
  <conditionalFormatting sqref="Q3992">
    <cfRule type="expression" dxfId="3534" priority="4038">
      <formula>AND(Q$3992&lt;&gt;0,Q$3992&lt;&gt;"")</formula>
    </cfRule>
    <cfRule type="expression" dxfId="3533" priority="4039" stopIfTrue="1">
      <formula>Q$3993&lt;&gt;"√"</formula>
    </cfRule>
  </conditionalFormatting>
  <conditionalFormatting sqref="K3994">
    <cfRule type="expression" dxfId="3532" priority="4040">
      <formula>AND($K$3994&lt;&gt;0,$K$3994&lt;&gt;"")</formula>
    </cfRule>
    <cfRule type="expression" dxfId="3531" priority="4041" stopIfTrue="1">
      <formula>$L$3994&lt;&gt;"√"</formula>
    </cfRule>
  </conditionalFormatting>
  <conditionalFormatting sqref="Q3997">
    <cfRule type="expression" dxfId="3530" priority="4419" stopIfTrue="1">
      <formula>$Q3997="请输入"</formula>
    </cfRule>
  </conditionalFormatting>
  <conditionalFormatting sqref="I4010">
    <cfRule type="expression" dxfId="3529" priority="1752" stopIfTrue="1">
      <formula>$I4010="适用"</formula>
    </cfRule>
    <cfRule type="expression" dxfId="3528" priority="1753" stopIfTrue="1">
      <formula>$I4010="不适用"</formula>
    </cfRule>
  </conditionalFormatting>
  <conditionalFormatting sqref="I4020">
    <cfRule type="expression" dxfId="3527" priority="1478" stopIfTrue="1">
      <formula>$I4020="适用"</formula>
    </cfRule>
    <cfRule type="expression" dxfId="3526" priority="1479" stopIfTrue="1">
      <formula>$I4020="不适用"</formula>
    </cfRule>
  </conditionalFormatting>
  <conditionalFormatting sqref="I4030">
    <cfRule type="expression" dxfId="3525" priority="1746" stopIfTrue="1">
      <formula>$I4030="适用"</formula>
    </cfRule>
    <cfRule type="expression" dxfId="3524" priority="1747" stopIfTrue="1">
      <formula>$I4030="不适用"</formula>
    </cfRule>
  </conditionalFormatting>
  <conditionalFormatting sqref="I4051">
    <cfRule type="expression" dxfId="3523" priority="2150" stopIfTrue="1">
      <formula>$I4051="适用"</formula>
    </cfRule>
    <cfRule type="expression" dxfId="3522" priority="2151" stopIfTrue="1">
      <formula>$I4051="不适用"</formula>
    </cfRule>
  </conditionalFormatting>
  <conditionalFormatting sqref="Q4051">
    <cfRule type="expression" dxfId="3521" priority="4424" stopIfTrue="1">
      <formula>$Q4051="请输入"</formula>
    </cfRule>
  </conditionalFormatting>
  <conditionalFormatting sqref="Q4061">
    <cfRule type="expression" dxfId="3520" priority="4425" stopIfTrue="1">
      <formula>$Q4061="请输入"</formula>
    </cfRule>
  </conditionalFormatting>
  <conditionalFormatting sqref="I4074">
    <cfRule type="expression" dxfId="3519" priority="1878" stopIfTrue="1">
      <formula>$I4074="适用"</formula>
    </cfRule>
    <cfRule type="expression" dxfId="3518" priority="1879" stopIfTrue="1">
      <formula>$I4074="不适用"</formula>
    </cfRule>
  </conditionalFormatting>
  <conditionalFormatting sqref="Q4074">
    <cfRule type="expression" dxfId="3517" priority="4426" stopIfTrue="1">
      <formula>$Q4074="请输入"</formula>
    </cfRule>
  </conditionalFormatting>
  <conditionalFormatting sqref="Q4084">
    <cfRule type="expression" dxfId="3516" priority="4427" stopIfTrue="1">
      <formula>$Q4084="请输入"</formula>
    </cfRule>
  </conditionalFormatting>
  <conditionalFormatting sqref="I4107">
    <cfRule type="expression" dxfId="3515" priority="1090" stopIfTrue="1">
      <formula>$I4107="适用"</formula>
    </cfRule>
    <cfRule type="expression" dxfId="3514" priority="1091" stopIfTrue="1">
      <formula>$I4107="不适用"</formula>
    </cfRule>
  </conditionalFormatting>
  <conditionalFormatting sqref="I4113">
    <cfRule type="expression" dxfId="3513" priority="1065">
      <formula>$D4113&gt;1</formula>
    </cfRule>
    <cfRule type="expression" dxfId="3512" priority="1066">
      <formula>$C4113="%IN"</formula>
    </cfRule>
    <cfRule type="expression" dxfId="3511" priority="1067" stopIfTrue="1">
      <formula>$E4113=0</formula>
    </cfRule>
  </conditionalFormatting>
  <conditionalFormatting sqref="I4118">
    <cfRule type="expression" dxfId="3510" priority="2512" stopIfTrue="1">
      <formula>$I4118="适用"</formula>
    </cfRule>
    <cfRule type="expression" dxfId="3509" priority="2513" stopIfTrue="1">
      <formula>$I4118="不适用"</formula>
    </cfRule>
  </conditionalFormatting>
  <conditionalFormatting sqref="Q4118">
    <cfRule type="expression" dxfId="3508" priority="4428" stopIfTrue="1">
      <formula>$Q4118="请输入"</formula>
    </cfRule>
  </conditionalFormatting>
  <conditionalFormatting sqref="I4136">
    <cfRule type="expression" dxfId="3507" priority="1948" stopIfTrue="1">
      <formula>$I4136="适用"</formula>
    </cfRule>
    <cfRule type="expression" dxfId="3506" priority="1949" stopIfTrue="1">
      <formula>$I4136="不适用"</formula>
    </cfRule>
  </conditionalFormatting>
  <conditionalFormatting sqref="Q4136">
    <cfRule type="expression" dxfId="3505" priority="4429" stopIfTrue="1">
      <formula>$Q4136="请输入"</formula>
    </cfRule>
  </conditionalFormatting>
  <conditionalFormatting sqref="I4168">
    <cfRule type="expression" dxfId="3504" priority="2134" stopIfTrue="1">
      <formula>$I4168="适用"</formula>
    </cfRule>
    <cfRule type="expression" dxfId="3503" priority="2135" stopIfTrue="1">
      <formula>$I4168="不适用"</formula>
    </cfRule>
  </conditionalFormatting>
  <conditionalFormatting sqref="Q4168">
    <cfRule type="expression" dxfId="3502" priority="4430" stopIfTrue="1">
      <formula>$Q4168="请输入"</formula>
    </cfRule>
  </conditionalFormatting>
  <conditionalFormatting sqref="Q4178">
    <cfRule type="expression" dxfId="3501" priority="4431" stopIfTrue="1">
      <formula>$Q4178="请输入"</formula>
    </cfRule>
  </conditionalFormatting>
  <conditionalFormatting sqref="Q4198">
    <cfRule type="expression" dxfId="3500" priority="4432" stopIfTrue="1">
      <formula>$Q4198="请输入"</formula>
    </cfRule>
  </conditionalFormatting>
  <conditionalFormatting sqref="Q4213">
    <cfRule type="expression" dxfId="3499" priority="4433" stopIfTrue="1">
      <formula>$Q4213="请输入"</formula>
    </cfRule>
  </conditionalFormatting>
  <conditionalFormatting sqref="Q4222">
    <cfRule type="expression" dxfId="3498" priority="4436" stopIfTrue="1">
      <formula>$Q4222="请输入"</formula>
    </cfRule>
  </conditionalFormatting>
  <conditionalFormatting sqref="Q4233">
    <cfRule type="expression" dxfId="3497" priority="4437" stopIfTrue="1">
      <formula>$Q4233="请输入"</formula>
    </cfRule>
  </conditionalFormatting>
  <conditionalFormatting sqref="Q4247">
    <cfRule type="expression" dxfId="3496" priority="4440" stopIfTrue="1">
      <formula>$Q4247="请输入"</formula>
    </cfRule>
  </conditionalFormatting>
  <conditionalFormatting sqref="I4261">
    <cfRule type="expression" dxfId="3495" priority="2130" stopIfTrue="1">
      <formula>$I4261="适用"</formula>
    </cfRule>
    <cfRule type="expression" dxfId="3494" priority="2131" stopIfTrue="1">
      <formula>$I4261="不适用"</formula>
    </cfRule>
  </conditionalFormatting>
  <conditionalFormatting sqref="Q4261">
    <cfRule type="expression" dxfId="3493" priority="4441" stopIfTrue="1">
      <formula>$Q4261="请输入"</formula>
    </cfRule>
  </conditionalFormatting>
  <conditionalFormatting sqref="I4269">
    <cfRule type="expression" dxfId="3492" priority="2116" stopIfTrue="1">
      <formula>$I4269="适用"</formula>
    </cfRule>
    <cfRule type="expression" dxfId="3491" priority="2117" stopIfTrue="1">
      <formula>$I4269="不适用"</formula>
    </cfRule>
  </conditionalFormatting>
  <conditionalFormatting sqref="Q4269">
    <cfRule type="expression" dxfId="3490" priority="4442" stopIfTrue="1">
      <formula>$Q4269="请输入"</formula>
    </cfRule>
  </conditionalFormatting>
  <conditionalFormatting sqref="Q4287">
    <cfRule type="expression" dxfId="3489" priority="4443" stopIfTrue="1">
      <formula>$Q4287="请输入"</formula>
    </cfRule>
  </conditionalFormatting>
  <conditionalFormatting sqref="I4297">
    <cfRule type="expression" dxfId="3488" priority="1926" stopIfTrue="1">
      <formula>$I4297="适用"</formula>
    </cfRule>
    <cfRule type="expression" dxfId="3487" priority="1927" stopIfTrue="1">
      <formula>$I4297="不适用"</formula>
    </cfRule>
  </conditionalFormatting>
  <conditionalFormatting sqref="Q4308">
    <cfRule type="expression" dxfId="3486" priority="4444" stopIfTrue="1">
      <formula>$Q4308="请输入"</formula>
    </cfRule>
  </conditionalFormatting>
  <conditionalFormatting sqref="I4330">
    <cfRule type="expression" dxfId="3485" priority="1870" stopIfTrue="1">
      <formula>$I4330="适用"</formula>
    </cfRule>
    <cfRule type="expression" dxfId="3484" priority="1871" stopIfTrue="1">
      <formula>$I4330="不适用"</formula>
    </cfRule>
  </conditionalFormatting>
  <conditionalFormatting sqref="Q4330">
    <cfRule type="expression" dxfId="3483" priority="4446" stopIfTrue="1">
      <formula>$Q4330="请输入"</formula>
    </cfRule>
  </conditionalFormatting>
  <conditionalFormatting sqref="I4340">
    <cfRule type="expression" dxfId="3482" priority="2066" stopIfTrue="1">
      <formula>$I4340="适用"</formula>
    </cfRule>
    <cfRule type="expression" dxfId="3481" priority="2067" stopIfTrue="1">
      <formula>$I4340="不适用"</formula>
    </cfRule>
  </conditionalFormatting>
  <conditionalFormatting sqref="Q4340">
    <cfRule type="expression" dxfId="3480" priority="4447" stopIfTrue="1">
      <formula>$Q4340="请输入"</formula>
    </cfRule>
  </conditionalFormatting>
  <conditionalFormatting sqref="Q4351">
    <cfRule type="expression" dxfId="3479" priority="4449" stopIfTrue="1">
      <formula>$Q4351="请输入"</formula>
    </cfRule>
  </conditionalFormatting>
  <conditionalFormatting sqref="I4367">
    <cfRule type="expression" dxfId="3478" priority="608" stopIfTrue="1">
      <formula>$I4367="适用"</formula>
    </cfRule>
    <cfRule type="expression" dxfId="3477" priority="609" stopIfTrue="1">
      <formula>$I4367="不适用"</formula>
    </cfRule>
  </conditionalFormatting>
  <conditionalFormatting sqref="Q4392">
    <cfRule type="expression" dxfId="3476" priority="4451" stopIfTrue="1">
      <formula>$Q4392="请输入"</formula>
    </cfRule>
  </conditionalFormatting>
  <conditionalFormatting sqref="I4424">
    <cfRule type="expression" dxfId="3475" priority="593" stopIfTrue="1">
      <formula>$I4424="适用"</formula>
    </cfRule>
    <cfRule type="expression" dxfId="3474" priority="594" stopIfTrue="1">
      <formula>$I4424="不适用"</formula>
    </cfRule>
  </conditionalFormatting>
  <conditionalFormatting sqref="Q4437">
    <cfRule type="expression" dxfId="3473" priority="4453" stopIfTrue="1">
      <formula>$Q4437="请输入"</formula>
    </cfRule>
  </conditionalFormatting>
  <conditionalFormatting sqref="Q4457">
    <cfRule type="expression" dxfId="3472" priority="4455" stopIfTrue="1">
      <formula>$Q4457="请输入"</formula>
    </cfRule>
  </conditionalFormatting>
  <conditionalFormatting sqref="I4488">
    <cfRule type="expression" dxfId="3471" priority="590" stopIfTrue="1">
      <formula>$I4488="适用"</formula>
    </cfRule>
    <cfRule type="expression" dxfId="3470" priority="591" stopIfTrue="1">
      <formula>$I4488="不适用"</formula>
    </cfRule>
  </conditionalFormatting>
  <conditionalFormatting sqref="Q4498">
    <cfRule type="expression" dxfId="3469" priority="4457" stopIfTrue="1">
      <formula>$Q4498="请输入"</formula>
    </cfRule>
  </conditionalFormatting>
  <conditionalFormatting sqref="Q4507">
    <cfRule type="expression" dxfId="3468" priority="4458" stopIfTrue="1">
      <formula>$Q4507="请输入"</formula>
    </cfRule>
  </conditionalFormatting>
  <conditionalFormatting sqref="Q4516">
    <cfRule type="expression" dxfId="3467" priority="4459" stopIfTrue="1">
      <formula>$Q4516="请输入"</formula>
    </cfRule>
  </conditionalFormatting>
  <conditionalFormatting sqref="H4536">
    <cfRule type="expression" dxfId="3466" priority="4074">
      <formula>AND(H$4536&lt;&gt;0,H$4536&lt;&gt;"")</formula>
    </cfRule>
    <cfRule type="expression" dxfId="3465" priority="4075" stopIfTrue="1">
      <formula>H$4537&lt;&gt;"√"</formula>
    </cfRule>
  </conditionalFormatting>
  <conditionalFormatting sqref="I4536">
    <cfRule type="expression" dxfId="3464" priority="4076">
      <formula>AND(I$4536&lt;&gt;0,I$4536&lt;&gt;"")</formula>
    </cfRule>
    <cfRule type="expression" dxfId="3463" priority="4077" stopIfTrue="1">
      <formula>I$4537&lt;&gt;"√"</formula>
    </cfRule>
  </conditionalFormatting>
  <conditionalFormatting sqref="J4536">
    <cfRule type="expression" dxfId="3462" priority="4078">
      <formula>AND(J$4536&lt;&gt;0,J$4536&lt;&gt;"")</formula>
    </cfRule>
    <cfRule type="expression" dxfId="3461" priority="4079" stopIfTrue="1">
      <formula>J$4537&lt;&gt;"√"</formula>
    </cfRule>
  </conditionalFormatting>
  <conditionalFormatting sqref="K4536">
    <cfRule type="expression" dxfId="3460" priority="4080">
      <formula>AND(K$4536&lt;&gt;0,K$4536&lt;&gt;"")</formula>
    </cfRule>
    <cfRule type="expression" dxfId="3459" priority="4081" stopIfTrue="1">
      <formula>K$4537&lt;&gt;"√"</formula>
    </cfRule>
  </conditionalFormatting>
  <conditionalFormatting sqref="K4538">
    <cfRule type="expression" dxfId="3458" priority="4082">
      <formula>AND($K$4538&lt;&gt;0,$K$4538&lt;&gt;"")</formula>
    </cfRule>
    <cfRule type="expression" dxfId="3457" priority="4083" stopIfTrue="1">
      <formula>$L$4538&lt;&gt;"√"</formula>
    </cfRule>
  </conditionalFormatting>
  <conditionalFormatting sqref="Q4540">
    <cfRule type="expression" dxfId="3456" priority="4460" stopIfTrue="1">
      <formula>$Q4540="请输入"</formula>
    </cfRule>
  </conditionalFormatting>
  <conditionalFormatting sqref="H4559">
    <cfRule type="expression" dxfId="3455" priority="4084">
      <formula>AND(H$4559&lt;&gt;0,H$4559&lt;&gt;"")</formula>
    </cfRule>
    <cfRule type="expression" dxfId="3454" priority="4085" stopIfTrue="1">
      <formula>H$4560&lt;&gt;"√"</formula>
    </cfRule>
  </conditionalFormatting>
  <conditionalFormatting sqref="I4559">
    <cfRule type="expression" dxfId="3453" priority="4086">
      <formula>AND(I$4559&lt;&gt;0,I$4559&lt;&gt;"")</formula>
    </cfRule>
    <cfRule type="expression" dxfId="3452" priority="4087" stopIfTrue="1">
      <formula>I$4560&lt;&gt;"√"</formula>
    </cfRule>
  </conditionalFormatting>
  <conditionalFormatting sqref="J4559">
    <cfRule type="expression" dxfId="3451" priority="4088">
      <formula>AND(J$4559&lt;&gt;0,J$4559&lt;&gt;"")</formula>
    </cfRule>
    <cfRule type="expression" dxfId="3450" priority="4089" stopIfTrue="1">
      <formula>J$4560&lt;&gt;"√"</formula>
    </cfRule>
  </conditionalFormatting>
  <conditionalFormatting sqref="K4559">
    <cfRule type="expression" dxfId="3449" priority="4090">
      <formula>AND(K$4559&lt;&gt;0,K$4559&lt;&gt;"")</formula>
    </cfRule>
    <cfRule type="expression" dxfId="3448" priority="4091" stopIfTrue="1">
      <formula>K$4560&lt;&gt;"√"</formula>
    </cfRule>
  </conditionalFormatting>
  <conditionalFormatting sqref="K4561">
    <cfRule type="expression" dxfId="3447" priority="4092">
      <formula>AND($K$4561&lt;&gt;0,$K$4561&lt;&gt;"")</formula>
    </cfRule>
    <cfRule type="expression" dxfId="3446" priority="4093" stopIfTrue="1">
      <formula>$L$4561&lt;&gt;"√"</formula>
    </cfRule>
  </conditionalFormatting>
  <conditionalFormatting sqref="Q4563">
    <cfRule type="expression" dxfId="3445" priority="4461" stopIfTrue="1">
      <formula>$Q4563="请输入"</formula>
    </cfRule>
  </conditionalFormatting>
  <conditionalFormatting sqref="H4578">
    <cfRule type="expression" dxfId="3444" priority="4094">
      <formula>AND(H$4578&lt;&gt;0,H$4578&lt;&gt;"")</formula>
    </cfRule>
    <cfRule type="expression" dxfId="3443" priority="4095" stopIfTrue="1">
      <formula>H$4579&lt;&gt;"√"</formula>
    </cfRule>
  </conditionalFormatting>
  <conditionalFormatting sqref="I4578">
    <cfRule type="expression" dxfId="3442" priority="4096">
      <formula>AND(I$4578&lt;&gt;0,I$4578&lt;&gt;"")</formula>
    </cfRule>
    <cfRule type="expression" dxfId="3441" priority="4097" stopIfTrue="1">
      <formula>I$4579&lt;&gt;"√"</formula>
    </cfRule>
  </conditionalFormatting>
  <conditionalFormatting sqref="J4578">
    <cfRule type="expression" dxfId="3440" priority="4098">
      <formula>AND(J$4578&lt;&gt;0,J$4578&lt;&gt;"")</formula>
    </cfRule>
    <cfRule type="expression" dxfId="3439" priority="4099" stopIfTrue="1">
      <formula>J$4579&lt;&gt;"√"</formula>
    </cfRule>
  </conditionalFormatting>
  <conditionalFormatting sqref="K4578">
    <cfRule type="expression" dxfId="3438" priority="4100">
      <formula>AND(K$4578&lt;&gt;0,K$4578&lt;&gt;"")</formula>
    </cfRule>
    <cfRule type="expression" dxfId="3437" priority="4101" stopIfTrue="1">
      <formula>K$4579&lt;&gt;"√"</formula>
    </cfRule>
  </conditionalFormatting>
  <conditionalFormatting sqref="K4580">
    <cfRule type="expression" dxfId="3436" priority="4102">
      <formula>AND($K$4580&lt;&gt;0,$K$4580&lt;&gt;"")</formula>
    </cfRule>
    <cfRule type="expression" dxfId="3435" priority="4103" stopIfTrue="1">
      <formula>$L$4580&lt;&gt;"√"</formula>
    </cfRule>
  </conditionalFormatting>
  <conditionalFormatting sqref="I4582">
    <cfRule type="expression" dxfId="3434" priority="1740" stopIfTrue="1">
      <formula>$I4582="适用"</formula>
    </cfRule>
    <cfRule type="expression" dxfId="3433" priority="1741" stopIfTrue="1">
      <formula>$I4582="不适用"</formula>
    </cfRule>
  </conditionalFormatting>
  <conditionalFormatting sqref="I4597">
    <cfRule type="expression" dxfId="3432" priority="1734" stopIfTrue="1">
      <formula>$I4597="适用"</formula>
    </cfRule>
    <cfRule type="expression" dxfId="3431" priority="1735" stopIfTrue="1">
      <formula>$I4597="不适用"</formula>
    </cfRule>
  </conditionalFormatting>
  <conditionalFormatting sqref="Q4633">
    <cfRule type="expression" dxfId="3430" priority="4462" stopIfTrue="1">
      <formula>$Q4633="请输入"</formula>
    </cfRule>
  </conditionalFormatting>
  <conditionalFormatting sqref="I4652">
    <cfRule type="expression" dxfId="3429" priority="1390" stopIfTrue="1">
      <formula>$I4652="适用"</formula>
    </cfRule>
    <cfRule type="expression" dxfId="3428" priority="1391" stopIfTrue="1">
      <formula>$I4652="不适用"</formula>
    </cfRule>
  </conditionalFormatting>
  <conditionalFormatting sqref="Q4663">
    <cfRule type="expression" dxfId="3427" priority="4463" stopIfTrue="1">
      <formula>$Q4663="请输入"</formula>
    </cfRule>
  </conditionalFormatting>
  <conditionalFormatting sqref="I4683">
    <cfRule type="expression" dxfId="3426" priority="1384" stopIfTrue="1">
      <formula>$I4683="适用"</formula>
    </cfRule>
    <cfRule type="expression" dxfId="3425" priority="1385" stopIfTrue="1">
      <formula>$I4683="不适用"</formula>
    </cfRule>
  </conditionalFormatting>
  <conditionalFormatting sqref="Q4694">
    <cfRule type="expression" dxfId="3424" priority="4464" stopIfTrue="1">
      <formula>$Q4694="请输入"</formula>
    </cfRule>
  </conditionalFormatting>
  <conditionalFormatting sqref="I4714">
    <cfRule type="expression" dxfId="3423" priority="1376" stopIfTrue="1">
      <formula>$I4714="适用"</formula>
    </cfRule>
    <cfRule type="expression" dxfId="3422" priority="1377" stopIfTrue="1">
      <formula>$I4714="不适用"</formula>
    </cfRule>
  </conditionalFormatting>
  <conditionalFormatting sqref="I4725">
    <cfRule type="expression" dxfId="3421" priority="1085" stopIfTrue="1">
      <formula>$I4725="适用"</formula>
    </cfRule>
    <cfRule type="expression" dxfId="3420" priority="1086" stopIfTrue="1">
      <formula>$I4725="不适用"</formula>
    </cfRule>
  </conditionalFormatting>
  <conditionalFormatting sqref="Q4750">
    <cfRule type="expression" dxfId="3419" priority="4465" stopIfTrue="1">
      <formula>$Q4750="请输入"</formula>
    </cfRule>
  </conditionalFormatting>
  <conditionalFormatting sqref="I4765">
    <cfRule type="expression" dxfId="3418" priority="1370" stopIfTrue="1">
      <formula>$I4765="适用"</formula>
    </cfRule>
    <cfRule type="expression" dxfId="3417" priority="1371" stopIfTrue="1">
      <formula>$I4765="不适用"</formula>
    </cfRule>
  </conditionalFormatting>
  <conditionalFormatting sqref="Q4876">
    <cfRule type="expression" dxfId="3416" priority="4466" stopIfTrue="1">
      <formula>$Q4876="请输入"</formula>
    </cfRule>
  </conditionalFormatting>
  <conditionalFormatting sqref="I4898">
    <cfRule type="expression" dxfId="3415" priority="1163" stopIfTrue="1">
      <formula>$I4898="适用"</formula>
    </cfRule>
    <cfRule type="expression" dxfId="3414" priority="1164" stopIfTrue="1">
      <formula>$I4898="不适用"</formula>
    </cfRule>
  </conditionalFormatting>
  <conditionalFormatting sqref="Q4913">
    <cfRule type="expression" dxfId="3413" priority="4469" stopIfTrue="1">
      <formula>$Q4913="请输入"</formula>
    </cfRule>
  </conditionalFormatting>
  <conditionalFormatting sqref="Q4926">
    <cfRule type="expression" dxfId="3412" priority="4470" stopIfTrue="1">
      <formula>$Q4926="请输入"</formula>
    </cfRule>
  </conditionalFormatting>
  <conditionalFormatting sqref="H4939">
    <cfRule type="expression" dxfId="3411" priority="4104">
      <formula>AND(H$4939&lt;&gt;0,H$4939&lt;&gt;"")</formula>
    </cfRule>
    <cfRule type="expression" dxfId="3410" priority="4105" stopIfTrue="1">
      <formula>H$4940&lt;&gt;"√"</formula>
    </cfRule>
  </conditionalFormatting>
  <conditionalFormatting sqref="I4939">
    <cfRule type="expression" dxfId="3409" priority="4106">
      <formula>AND(I$4939&lt;&gt;0,I$4939&lt;&gt;"")</formula>
    </cfRule>
    <cfRule type="expression" dxfId="3408" priority="4107" stopIfTrue="1">
      <formula>I$4940&lt;&gt;"√"</formula>
    </cfRule>
  </conditionalFormatting>
  <conditionalFormatting sqref="K4941">
    <cfRule type="expression" dxfId="3407" priority="4108">
      <formula>AND($K$4941&lt;&gt;0,$K$4941&lt;&gt;"")</formula>
    </cfRule>
    <cfRule type="expression" dxfId="3406" priority="4109" stopIfTrue="1">
      <formula>$L$4941&lt;&gt;"√"</formula>
    </cfRule>
  </conditionalFormatting>
  <conditionalFormatting sqref="Q4944">
    <cfRule type="expression" dxfId="3405" priority="4471" stopIfTrue="1">
      <formula>$Q4944="请输入"</formula>
    </cfRule>
  </conditionalFormatting>
  <conditionalFormatting sqref="Q4957">
    <cfRule type="expression" dxfId="3404" priority="4472" stopIfTrue="1">
      <formula>$Q4957="请输入"</formula>
    </cfRule>
  </conditionalFormatting>
  <conditionalFormatting sqref="Q4965">
    <cfRule type="expression" dxfId="3403" priority="4473" stopIfTrue="1">
      <formula>$Q4965="请输入"</formula>
    </cfRule>
  </conditionalFormatting>
  <conditionalFormatting sqref="I4984">
    <cfRule type="expression" dxfId="3402" priority="1362" stopIfTrue="1">
      <formula>$I4984="适用"</formula>
    </cfRule>
    <cfRule type="expression" dxfId="3401" priority="1363" stopIfTrue="1">
      <formula>$I4984="不适用"</formula>
    </cfRule>
  </conditionalFormatting>
  <conditionalFormatting sqref="I4998">
    <cfRule type="expression" dxfId="3400" priority="1356" stopIfTrue="1">
      <formula>$I4998="适用"</formula>
    </cfRule>
    <cfRule type="expression" dxfId="3399" priority="1357" stopIfTrue="1">
      <formula>$I4998="不适用"</formula>
    </cfRule>
  </conditionalFormatting>
  <conditionalFormatting sqref="I5008">
    <cfRule type="expression" dxfId="3398" priority="1350" stopIfTrue="1">
      <formula>$I5008="适用"</formula>
    </cfRule>
    <cfRule type="expression" dxfId="3397" priority="1351" stopIfTrue="1">
      <formula>$I5008="不适用"</formula>
    </cfRule>
  </conditionalFormatting>
  <conditionalFormatting sqref="Q5020">
    <cfRule type="expression" dxfId="3396" priority="4474" stopIfTrue="1">
      <formula>$Q5020="请输入"</formula>
    </cfRule>
  </conditionalFormatting>
  <conditionalFormatting sqref="Q5036">
    <cfRule type="expression" dxfId="3395" priority="4475" stopIfTrue="1">
      <formula>$Q5036="请输入"</formula>
    </cfRule>
  </conditionalFormatting>
  <conditionalFormatting sqref="Q5052">
    <cfRule type="expression" dxfId="3394" priority="4476" stopIfTrue="1">
      <formula>$Q5052="请输入"</formula>
    </cfRule>
  </conditionalFormatting>
  <conditionalFormatting sqref="Q5063">
    <cfRule type="expression" dxfId="3393" priority="4477" stopIfTrue="1">
      <formula>$Q5063="请输入"</formula>
    </cfRule>
  </conditionalFormatting>
  <conditionalFormatting sqref="Q5074">
    <cfRule type="expression" dxfId="3392" priority="4478" stopIfTrue="1">
      <formula>$Q5074="请输入"</formula>
    </cfRule>
  </conditionalFormatting>
  <conditionalFormatting sqref="Q5085">
    <cfRule type="expression" dxfId="3391" priority="4479" stopIfTrue="1">
      <formula>$Q5085="请输入"</formula>
    </cfRule>
  </conditionalFormatting>
  <conditionalFormatting sqref="Q5096">
    <cfRule type="expression" dxfId="3390" priority="4480" stopIfTrue="1">
      <formula>$Q5096="请输入"</formula>
    </cfRule>
  </conditionalFormatting>
  <conditionalFormatting sqref="Q5127">
    <cfRule type="expression" dxfId="3389" priority="4481" stopIfTrue="1">
      <formula>$Q5127="请输入"</formula>
    </cfRule>
  </conditionalFormatting>
  <conditionalFormatting sqref="Q5156">
    <cfRule type="expression" dxfId="3388" priority="4482" stopIfTrue="1">
      <formula>$Q5156="请输入"</formula>
    </cfRule>
  </conditionalFormatting>
  <conditionalFormatting sqref="I5183">
    <cfRule type="expression" dxfId="3387" priority="1920" stopIfTrue="1">
      <formula>$I5183="适用"</formula>
    </cfRule>
    <cfRule type="expression" dxfId="3386" priority="1921" stopIfTrue="1">
      <formula>$I5183="不适用"</formula>
    </cfRule>
  </conditionalFormatting>
  <conditionalFormatting sqref="I5208">
    <cfRule type="expression" dxfId="3385" priority="1912" stopIfTrue="1">
      <formula>$I5208="适用"</formula>
    </cfRule>
    <cfRule type="expression" dxfId="3384" priority="1913" stopIfTrue="1">
      <formula>$I5208="不适用"</formula>
    </cfRule>
  </conditionalFormatting>
  <conditionalFormatting sqref="I5319">
    <cfRule type="expression" dxfId="3383" priority="567" stopIfTrue="1">
      <formula>$I5319="适用"</formula>
    </cfRule>
    <cfRule type="expression" dxfId="3382" priority="568" stopIfTrue="1">
      <formula>$I5319="不适用"</formula>
    </cfRule>
  </conditionalFormatting>
  <conditionalFormatting sqref="I5336">
    <cfRule type="expression" dxfId="3381" priority="564" stopIfTrue="1">
      <formula>$I5336="适用"</formula>
    </cfRule>
    <cfRule type="expression" dxfId="3380" priority="565" stopIfTrue="1">
      <formula>$I5336="不适用"</formula>
    </cfRule>
  </conditionalFormatting>
  <conditionalFormatting sqref="G5295:G5303">
    <cfRule type="expression" dxfId="3379" priority="555">
      <formula>$D5295&gt;1</formula>
    </cfRule>
    <cfRule type="expression" dxfId="3378" priority="556">
      <formula>$C5295="%IN"</formula>
    </cfRule>
    <cfRule type="expression" dxfId="3377" priority="557" stopIfTrue="1">
      <formula>$E5295=0</formula>
    </cfRule>
  </conditionalFormatting>
  <conditionalFormatting sqref="I5353">
    <cfRule type="expression" dxfId="3376" priority="558" stopIfTrue="1">
      <formula>$I5353="适用"</formula>
    </cfRule>
    <cfRule type="expression" dxfId="3375" priority="559" stopIfTrue="1">
      <formula>$I5353="不适用"</formula>
    </cfRule>
  </conditionalFormatting>
  <conditionalFormatting sqref="I5369">
    <cfRule type="expression" dxfId="3374" priority="549" stopIfTrue="1">
      <formula>$I5369="适用"</formula>
    </cfRule>
    <cfRule type="expression" dxfId="3373" priority="550" stopIfTrue="1">
      <formula>$I5369="不适用"</formula>
    </cfRule>
  </conditionalFormatting>
  <conditionalFormatting sqref="I5385">
    <cfRule type="expression" dxfId="3372" priority="543" stopIfTrue="1">
      <formula>$I5385="适用"</formula>
    </cfRule>
    <cfRule type="expression" dxfId="3371" priority="544" stopIfTrue="1">
      <formula>$I5385="不适用"</formula>
    </cfRule>
  </conditionalFormatting>
  <conditionalFormatting sqref="I5419">
    <cfRule type="expression" dxfId="3370" priority="540" stopIfTrue="1">
      <formula>$I5419="适用"</formula>
    </cfRule>
    <cfRule type="expression" dxfId="3369" priority="541" stopIfTrue="1">
      <formula>$I5419="不适用"</formula>
    </cfRule>
  </conditionalFormatting>
  <conditionalFormatting sqref="I5454">
    <cfRule type="expression" dxfId="3368" priority="1856" stopIfTrue="1">
      <formula>$I5454="适用"</formula>
    </cfRule>
    <cfRule type="expression" dxfId="3367" priority="1857" stopIfTrue="1">
      <formula>$I5454="不适用"</formula>
    </cfRule>
  </conditionalFormatting>
  <conditionalFormatting sqref="I5548">
    <cfRule type="expression" dxfId="3366" priority="537" stopIfTrue="1">
      <formula>$I5548="适用"</formula>
    </cfRule>
    <cfRule type="expression" dxfId="3365" priority="538" stopIfTrue="1">
      <formula>$I5548="不适用"</formula>
    </cfRule>
  </conditionalFormatting>
  <conditionalFormatting sqref="I5557">
    <cfRule type="expression" dxfId="3364" priority="534" stopIfTrue="1">
      <formula>$I5557="适用"</formula>
    </cfRule>
    <cfRule type="expression" dxfId="3363" priority="535" stopIfTrue="1">
      <formula>$I5557="不适用"</formula>
    </cfRule>
  </conditionalFormatting>
  <conditionalFormatting sqref="I5575">
    <cfRule type="expression" dxfId="3362" priority="1820" stopIfTrue="1">
      <formula>$I5575="适用"</formula>
    </cfRule>
    <cfRule type="expression" dxfId="3361" priority="1821" stopIfTrue="1">
      <formula>$I5575="不适用"</formula>
    </cfRule>
  </conditionalFormatting>
  <conditionalFormatting sqref="G5585">
    <cfRule type="expression" dxfId="3360" priority="529" stopIfTrue="1">
      <formula>$D5585&gt;1</formula>
    </cfRule>
    <cfRule type="expression" dxfId="3359" priority="530" stopIfTrue="1">
      <formula>$C5585="%IN"</formula>
    </cfRule>
  </conditionalFormatting>
  <conditionalFormatting sqref="G5586">
    <cfRule type="expression" dxfId="3358" priority="527" stopIfTrue="1">
      <formula>$D5586&gt;1</formula>
    </cfRule>
    <cfRule type="expression" dxfId="3357" priority="528" stopIfTrue="1">
      <formula>$C5586="%IN"</formula>
    </cfRule>
  </conditionalFormatting>
  <conditionalFormatting sqref="G5587">
    <cfRule type="expression" dxfId="3356" priority="525" stopIfTrue="1">
      <formula>$D5587&gt;1</formula>
    </cfRule>
    <cfRule type="expression" dxfId="3355" priority="526" stopIfTrue="1">
      <formula>$C5587="%IN"</formula>
    </cfRule>
  </conditionalFormatting>
  <conditionalFormatting sqref="I5774">
    <cfRule type="expression" dxfId="3354" priority="1158" stopIfTrue="1">
      <formula>$I5774="适用"</formula>
    </cfRule>
    <cfRule type="expression" dxfId="3353" priority="1159" stopIfTrue="1">
      <formula>$I5774="不适用"</formula>
    </cfRule>
  </conditionalFormatting>
  <conditionalFormatting sqref="I5804">
    <cfRule type="expression" dxfId="3352" priority="1902" stopIfTrue="1">
      <formula>$I5804="适用"</formula>
    </cfRule>
    <cfRule type="expression" dxfId="3351" priority="1903" stopIfTrue="1">
      <formula>$I5804="不适用"</formula>
    </cfRule>
  </conditionalFormatting>
  <conditionalFormatting sqref="I5836">
    <cfRule type="expression" dxfId="3350" priority="1894" stopIfTrue="1">
      <formula>$I5836="适用"</formula>
    </cfRule>
    <cfRule type="expression" dxfId="3349" priority="1895" stopIfTrue="1">
      <formula>$I5836="不适用"</formula>
    </cfRule>
  </conditionalFormatting>
  <conditionalFormatting sqref="I5846">
    <cfRule type="expression" dxfId="3348" priority="1888" stopIfTrue="1">
      <formula>$I5846="适用"</formula>
    </cfRule>
    <cfRule type="expression" dxfId="3347" priority="1889" stopIfTrue="1">
      <formula>$I5846="不适用"</formula>
    </cfRule>
  </conditionalFormatting>
  <conditionalFormatting sqref="I5856">
    <cfRule type="expression" dxfId="3346" priority="1882" stopIfTrue="1">
      <formula>$I5856="适用"</formula>
    </cfRule>
    <cfRule type="expression" dxfId="3345" priority="1883" stopIfTrue="1">
      <formula>$I5856="不适用"</formula>
    </cfRule>
  </conditionalFormatting>
  <conditionalFormatting sqref="I5868">
    <cfRule type="expression" dxfId="3344" priority="1526" stopIfTrue="1">
      <formula>$I5868="适用"</formula>
    </cfRule>
    <cfRule type="expression" dxfId="3343" priority="1527" stopIfTrue="1">
      <formula>$I5868="不适用"</formula>
    </cfRule>
  </conditionalFormatting>
  <conditionalFormatting sqref="I5879">
    <cfRule type="expression" dxfId="3342" priority="1532" stopIfTrue="1">
      <formula>$I5879="适用"</formula>
    </cfRule>
    <cfRule type="expression" dxfId="3341" priority="1533" stopIfTrue="1">
      <formula>$I5879="不适用"</formula>
    </cfRule>
  </conditionalFormatting>
  <conditionalFormatting sqref="I5890">
    <cfRule type="expression" dxfId="3340" priority="1542" stopIfTrue="1">
      <formula>$I5890="适用"</formula>
    </cfRule>
    <cfRule type="expression" dxfId="3339" priority="1543" stopIfTrue="1">
      <formula>$I5890="不适用"</formula>
    </cfRule>
  </conditionalFormatting>
  <conditionalFormatting sqref="I5901">
    <cfRule type="expression" dxfId="3338" priority="1552" stopIfTrue="1">
      <formula>$I5901="适用"</formula>
    </cfRule>
    <cfRule type="expression" dxfId="3337" priority="1553" stopIfTrue="1">
      <formula>$I5901="不适用"</formula>
    </cfRule>
  </conditionalFormatting>
  <conditionalFormatting sqref="I5912">
    <cfRule type="expression" dxfId="3336" priority="1562" stopIfTrue="1">
      <formula>$I5912="适用"</formula>
    </cfRule>
    <cfRule type="expression" dxfId="3335" priority="1563" stopIfTrue="1">
      <formula>$I5912="不适用"</formula>
    </cfRule>
  </conditionalFormatting>
  <conditionalFormatting sqref="I5923">
    <cfRule type="expression" dxfId="3334" priority="1572" stopIfTrue="1">
      <formula>$I5923="适用"</formula>
    </cfRule>
    <cfRule type="expression" dxfId="3333" priority="1573" stopIfTrue="1">
      <formula>$I5923="不适用"</formula>
    </cfRule>
  </conditionalFormatting>
  <conditionalFormatting sqref="I5934">
    <cfRule type="expression" dxfId="3332" priority="1586" stopIfTrue="1">
      <formula>$I5934="适用"</formula>
    </cfRule>
    <cfRule type="expression" dxfId="3331" priority="1587" stopIfTrue="1">
      <formula>$I5934="不适用"</formula>
    </cfRule>
  </conditionalFormatting>
  <conditionalFormatting sqref="I5945">
    <cfRule type="expression" dxfId="3330" priority="1596" stopIfTrue="1">
      <formula>$I5945="适用"</formula>
    </cfRule>
    <cfRule type="expression" dxfId="3329" priority="1597" stopIfTrue="1">
      <formula>$I5945="不适用"</formula>
    </cfRule>
  </conditionalFormatting>
  <conditionalFormatting sqref="I5956">
    <cfRule type="expression" dxfId="3328" priority="1602" stopIfTrue="1">
      <formula>$I5956="适用"</formula>
    </cfRule>
    <cfRule type="expression" dxfId="3327" priority="1603" stopIfTrue="1">
      <formula>$I5956="不适用"</formula>
    </cfRule>
  </conditionalFormatting>
  <conditionalFormatting sqref="I5996">
    <cfRule type="expression" dxfId="3326" priority="1624" stopIfTrue="1">
      <formula>$I5996="适用"</formula>
    </cfRule>
    <cfRule type="expression" dxfId="3325" priority="1625" stopIfTrue="1">
      <formula>$I5996="不适用"</formula>
    </cfRule>
  </conditionalFormatting>
  <conditionalFormatting sqref="I6007">
    <cfRule type="expression" dxfId="3324" priority="1634" stopIfTrue="1">
      <formula>$I6007="适用"</formula>
    </cfRule>
    <cfRule type="expression" dxfId="3323" priority="1635" stopIfTrue="1">
      <formula>$I6007="不适用"</formula>
    </cfRule>
  </conditionalFormatting>
  <conditionalFormatting sqref="I6019">
    <cfRule type="expression" dxfId="3322" priority="1644" stopIfTrue="1">
      <formula>$I6019="适用"</formula>
    </cfRule>
    <cfRule type="expression" dxfId="3321" priority="1645" stopIfTrue="1">
      <formula>$I6019="不适用"</formula>
    </cfRule>
  </conditionalFormatting>
  <conditionalFormatting sqref="I6031">
    <cfRule type="expression" dxfId="3320" priority="1654" stopIfTrue="1">
      <formula>$I6031="适用"</formula>
    </cfRule>
    <cfRule type="expression" dxfId="3319" priority="1655" stopIfTrue="1">
      <formula>$I6031="不适用"</formula>
    </cfRule>
  </conditionalFormatting>
  <conditionalFormatting sqref="G540:G550">
    <cfRule type="expression" dxfId="3318" priority="4755">
      <formula>$D540&gt;1</formula>
    </cfRule>
    <cfRule type="expression" dxfId="3317" priority="4756">
      <formula>$C540="%IN"</formula>
    </cfRule>
    <cfRule type="expression" dxfId="3316" priority="4757" stopIfTrue="1">
      <formula>$E540=0</formula>
    </cfRule>
  </conditionalFormatting>
  <conditionalFormatting sqref="G864:G869">
    <cfRule type="expression" dxfId="3315" priority="4683">
      <formula>$D864&gt;1</formula>
    </cfRule>
    <cfRule type="expression" dxfId="3314" priority="4684">
      <formula>$C864="%IN"</formula>
    </cfRule>
    <cfRule type="expression" dxfId="3313" priority="4685" stopIfTrue="1">
      <formula>$E864=0</formula>
    </cfRule>
  </conditionalFormatting>
  <conditionalFormatting sqref="G937:G941">
    <cfRule type="expression" dxfId="3312" priority="4584">
      <formula>$D937&gt;1</formula>
    </cfRule>
    <cfRule type="expression" dxfId="3311" priority="4585">
      <formula>$C937="%IN"</formula>
    </cfRule>
    <cfRule type="expression" dxfId="3310" priority="4586" stopIfTrue="1">
      <formula>$E937=0</formula>
    </cfRule>
  </conditionalFormatting>
  <conditionalFormatting sqref="G1685:G1690">
    <cfRule type="expression" dxfId="3309" priority="3218" stopIfTrue="1">
      <formula>$D1685&gt;1</formula>
    </cfRule>
    <cfRule type="expression" dxfId="3308" priority="3219" stopIfTrue="1">
      <formula>$C1685="%IN"</formula>
    </cfRule>
  </conditionalFormatting>
  <conditionalFormatting sqref="G1702:G1707">
    <cfRule type="expression" dxfId="3307" priority="3220" stopIfTrue="1">
      <formula>$D1702&gt;1</formula>
    </cfRule>
    <cfRule type="expression" dxfId="3306" priority="3221" stopIfTrue="1">
      <formula>$C1702="%IN"</formula>
    </cfRule>
  </conditionalFormatting>
  <conditionalFormatting sqref="G1828:G1836">
    <cfRule type="expression" dxfId="3305" priority="4782">
      <formula>$D1828&gt;1</formula>
    </cfRule>
    <cfRule type="expression" dxfId="3304" priority="4783">
      <formula>$C1828="%IN"</formula>
    </cfRule>
    <cfRule type="expression" dxfId="3303" priority="4784" stopIfTrue="1">
      <formula>$E1828=0</formula>
    </cfRule>
  </conditionalFormatting>
  <conditionalFormatting sqref="G1843:G1851">
    <cfRule type="expression" dxfId="3302" priority="4785">
      <formula>$D1843&gt;1</formula>
    </cfRule>
    <cfRule type="expression" dxfId="3301" priority="4786">
      <formula>$C1843="%IN"</formula>
    </cfRule>
    <cfRule type="expression" dxfId="3300" priority="4787" stopIfTrue="1">
      <formula>$E1843=0</formula>
    </cfRule>
  </conditionalFormatting>
  <conditionalFormatting sqref="G2162:G2169">
    <cfRule type="expression" dxfId="3299" priority="3780" stopIfTrue="1">
      <formula>$D2162&gt;1</formula>
    </cfRule>
    <cfRule type="expression" dxfId="3298" priority="3781" stopIfTrue="1">
      <formula>$C2162="%IN"</formula>
    </cfRule>
  </conditionalFormatting>
  <conditionalFormatting sqref="G2174:G2179">
    <cfRule type="expression" dxfId="3297" priority="3648" stopIfTrue="1">
      <formula>$D2174&gt;1</formula>
    </cfRule>
    <cfRule type="expression" dxfId="3296" priority="3649" stopIfTrue="1">
      <formula>$C2174="%IN"</formula>
    </cfRule>
  </conditionalFormatting>
  <conditionalFormatting sqref="G2354:G2366">
    <cfRule type="expression" dxfId="3295" priority="4890">
      <formula>$D2354&gt;1</formula>
    </cfRule>
    <cfRule type="expression" dxfId="3294" priority="4891">
      <formula>$C2354="%IN"</formula>
    </cfRule>
    <cfRule type="expression" dxfId="3293" priority="4892" stopIfTrue="1">
      <formula>$E2354=0</formula>
    </cfRule>
  </conditionalFormatting>
  <conditionalFormatting sqref="G2500:G2504">
    <cfRule type="expression" dxfId="3292" priority="5141">
      <formula>$D2500&gt;1</formula>
    </cfRule>
    <cfRule type="expression" dxfId="3291" priority="5142">
      <formula>$C2500="%IN"</formula>
    </cfRule>
    <cfRule type="expression" dxfId="3290" priority="5143" stopIfTrue="1">
      <formula>$E2500=0</formula>
    </cfRule>
  </conditionalFormatting>
  <conditionalFormatting sqref="G2523:G2528">
    <cfRule type="expression" dxfId="3289" priority="5144">
      <formula>$D2523&gt;1</formula>
    </cfRule>
    <cfRule type="expression" dxfId="3288" priority="5145">
      <formula>$C2523="%IN"</formula>
    </cfRule>
    <cfRule type="expression" dxfId="3287" priority="5146" stopIfTrue="1">
      <formula>$E2523=0</formula>
    </cfRule>
  </conditionalFormatting>
  <conditionalFormatting sqref="G2621:G2626">
    <cfRule type="expression" dxfId="3286" priority="4998">
      <formula>$D2621&gt;1</formula>
    </cfRule>
    <cfRule type="expression" dxfId="3285" priority="4999">
      <formula>$C2621="%IN"</formula>
    </cfRule>
    <cfRule type="expression" dxfId="3284" priority="5000" stopIfTrue="1">
      <formula>$E2621=0</formula>
    </cfRule>
  </conditionalFormatting>
  <conditionalFormatting sqref="G2642:G2645">
    <cfRule type="expression" dxfId="3283" priority="5147">
      <formula>$D2642&gt;1</formula>
    </cfRule>
    <cfRule type="expression" dxfId="3282" priority="5148">
      <formula>$C2642="%IN"</formula>
    </cfRule>
    <cfRule type="expression" dxfId="3281" priority="5149" stopIfTrue="1">
      <formula>$E2642=0</formula>
    </cfRule>
  </conditionalFormatting>
  <conditionalFormatting sqref="G2800:G2808">
    <cfRule type="expression" dxfId="3280" priority="5150">
      <formula>$D2800&gt;1</formula>
    </cfRule>
    <cfRule type="expression" dxfId="3279" priority="5151">
      <formula>$C2800="%IN"</formula>
    </cfRule>
    <cfRule type="expression" dxfId="3278" priority="5152" stopIfTrue="1">
      <formula>$E2800=0</formula>
    </cfRule>
  </conditionalFormatting>
  <conditionalFormatting sqref="G2824:G2827">
    <cfRule type="expression" dxfId="3277" priority="5153">
      <formula>$D2824&gt;1</formula>
    </cfRule>
    <cfRule type="expression" dxfId="3276" priority="5154">
      <formula>$C2824="%IN"</formula>
    </cfRule>
    <cfRule type="expression" dxfId="3275" priority="5155" stopIfTrue="1">
      <formula>$E2824=0</formula>
    </cfRule>
  </conditionalFormatting>
  <conditionalFormatting sqref="G2913:G2917">
    <cfRule type="expression" dxfId="3274" priority="4953">
      <formula>$D2913&gt;1</formula>
    </cfRule>
    <cfRule type="expression" dxfId="3273" priority="4954">
      <formula>$C2913="%IN"</formula>
    </cfRule>
    <cfRule type="expression" dxfId="3272" priority="4955" stopIfTrue="1">
      <formula>$E2913=0</formula>
    </cfRule>
  </conditionalFormatting>
  <conditionalFormatting sqref="G3180:G3185">
    <cfRule type="expression" dxfId="3271" priority="3698" stopIfTrue="1">
      <formula>$D3180&gt;1</formula>
    </cfRule>
    <cfRule type="expression" dxfId="3270" priority="3699" stopIfTrue="1">
      <formula>$C3180="%IN"</formula>
    </cfRule>
  </conditionalFormatting>
  <conditionalFormatting sqref="G3218:G3223">
    <cfRule type="expression" dxfId="3269" priority="4962">
      <formula>$D3218&gt;1</formula>
    </cfRule>
    <cfRule type="expression" dxfId="3268" priority="4963">
      <formula>$C3218="%IN"</formula>
    </cfRule>
    <cfRule type="expression" dxfId="3267" priority="4964" stopIfTrue="1">
      <formula>$E3218=0</formula>
    </cfRule>
  </conditionalFormatting>
  <conditionalFormatting sqref="G3228:G3235">
    <cfRule type="expression" dxfId="3266" priority="3922" stopIfTrue="1">
      <formula>$D3228&gt;1</formula>
    </cfRule>
    <cfRule type="expression" dxfId="3265" priority="3923" stopIfTrue="1">
      <formula>$C3228="%IN"</formula>
    </cfRule>
  </conditionalFormatting>
  <conditionalFormatting sqref="G3309:G3316">
    <cfRule type="expression" dxfId="3264" priority="5165">
      <formula>$D3309&gt;1</formula>
    </cfRule>
    <cfRule type="expression" dxfId="3263" priority="5166">
      <formula>$C3309="%IN"</formula>
    </cfRule>
    <cfRule type="expression" dxfId="3262" priority="5167" stopIfTrue="1">
      <formula>$E3309=0</formula>
    </cfRule>
  </conditionalFormatting>
  <conditionalFormatting sqref="G3322:G3327">
    <cfRule type="expression" dxfId="3261" priority="5168">
      <formula>$D3322&gt;1</formula>
    </cfRule>
    <cfRule type="expression" dxfId="3260" priority="5169">
      <formula>$C3322="%IN"</formula>
    </cfRule>
    <cfRule type="expression" dxfId="3259" priority="5170" stopIfTrue="1">
      <formula>$E3322=0</formula>
    </cfRule>
  </conditionalFormatting>
  <conditionalFormatting sqref="G3384:G3392">
    <cfRule type="expression" dxfId="3258" priority="4971">
      <formula>$D3384&gt;1</formula>
    </cfRule>
    <cfRule type="expression" dxfId="3257" priority="4972">
      <formula>$C3384="%IN"</formula>
    </cfRule>
    <cfRule type="expression" dxfId="3256" priority="4973" stopIfTrue="1">
      <formula>$E3384=0</formula>
    </cfRule>
  </conditionalFormatting>
  <conditionalFormatting sqref="G3397:G3405">
    <cfRule type="expression" dxfId="3255" priority="4974">
      <formula>$D3397&gt;1</formula>
    </cfRule>
    <cfRule type="expression" dxfId="3254" priority="4975">
      <formula>$C3397="%IN"</formula>
    </cfRule>
    <cfRule type="expression" dxfId="3253" priority="4976" stopIfTrue="1">
      <formula>$E3397=0</formula>
    </cfRule>
  </conditionalFormatting>
  <conditionalFormatting sqref="G3424:G3429">
    <cfRule type="expression" dxfId="3252" priority="5174">
      <formula>$D3424&gt;1</formula>
    </cfRule>
    <cfRule type="expression" dxfId="3251" priority="5175">
      <formula>$C3424="%IN"</formula>
    </cfRule>
    <cfRule type="expression" dxfId="3250" priority="5176" stopIfTrue="1">
      <formula>$E3424=0</formula>
    </cfRule>
  </conditionalFormatting>
  <conditionalFormatting sqref="G3435:G3439">
    <cfRule type="expression" dxfId="3249" priority="5177">
      <formula>$D3435&gt;1</formula>
    </cfRule>
    <cfRule type="expression" dxfId="3248" priority="5178">
      <formula>$C3435="%IN"</formula>
    </cfRule>
    <cfRule type="expression" dxfId="3247" priority="5179" stopIfTrue="1">
      <formula>$E3435=0</formula>
    </cfRule>
  </conditionalFormatting>
  <conditionalFormatting sqref="G3534:G3539">
    <cfRule type="expression" dxfId="3246" priority="5183">
      <formula>$D3534&gt;1</formula>
    </cfRule>
    <cfRule type="expression" dxfId="3245" priority="5184">
      <formula>$C3534="%IN"</formula>
    </cfRule>
    <cfRule type="expression" dxfId="3244" priority="5185" stopIfTrue="1">
      <formula>$E3534=0</formula>
    </cfRule>
  </conditionalFormatting>
  <conditionalFormatting sqref="G3561:G3566">
    <cfRule type="expression" dxfId="3243" priority="3362" stopIfTrue="1">
      <formula>$D3561&gt;1</formula>
    </cfRule>
    <cfRule type="expression" dxfId="3242" priority="3363" stopIfTrue="1">
      <formula>$C3561="%IN"</formula>
    </cfRule>
  </conditionalFormatting>
  <conditionalFormatting sqref="G3601:G3615">
    <cfRule type="expression" dxfId="3241" priority="3916" stopIfTrue="1">
      <formula>$D3601&gt;1</formula>
    </cfRule>
    <cfRule type="expression" dxfId="3240" priority="3917" stopIfTrue="1">
      <formula>$C3601="%IN"</formula>
    </cfRule>
  </conditionalFormatting>
  <conditionalFormatting sqref="G3730:G3744">
    <cfRule type="expression" dxfId="3239" priority="643" stopIfTrue="1">
      <formula>$D3730&gt;1</formula>
    </cfRule>
    <cfRule type="expression" dxfId="3238" priority="644" stopIfTrue="1">
      <formula>$C3730="%IN"</formula>
    </cfRule>
  </conditionalFormatting>
  <conditionalFormatting sqref="G3749:G3757">
    <cfRule type="expression" dxfId="3237" priority="3944" stopIfTrue="1">
      <formula>$D3749&gt;1</formula>
    </cfRule>
    <cfRule type="expression" dxfId="3236" priority="3945" stopIfTrue="1">
      <formula>$C3749="%IN"</formula>
    </cfRule>
  </conditionalFormatting>
  <conditionalFormatting sqref="G3763:G3767">
    <cfRule type="expression" dxfId="3235" priority="5189">
      <formula>$D3763&gt;1</formula>
    </cfRule>
    <cfRule type="expression" dxfId="3234" priority="5190">
      <formula>$C3763="%IN"</formula>
    </cfRule>
    <cfRule type="expression" dxfId="3233" priority="5191" stopIfTrue="1">
      <formula>$E3763=0</formula>
    </cfRule>
  </conditionalFormatting>
  <conditionalFormatting sqref="G3821:G3826">
    <cfRule type="expression" dxfId="3232" priority="3740" stopIfTrue="1">
      <formula>$D3821&gt;1</formula>
    </cfRule>
    <cfRule type="expression" dxfId="3231" priority="3741" stopIfTrue="1">
      <formula>$C3821="%IN"</formula>
    </cfRule>
  </conditionalFormatting>
  <conditionalFormatting sqref="G3899:G3913">
    <cfRule type="expression" dxfId="3230" priority="3920" stopIfTrue="1">
      <formula>$D3899&gt;1</formula>
    </cfRule>
    <cfRule type="expression" dxfId="3229" priority="3921" stopIfTrue="1">
      <formula>$C3899="%IN"</formula>
    </cfRule>
  </conditionalFormatting>
  <conditionalFormatting sqref="G3919:G3924">
    <cfRule type="expression" dxfId="3228" priority="5204">
      <formula>$D3919&gt;1</formula>
    </cfRule>
    <cfRule type="expression" dxfId="3227" priority="5205">
      <formula>$C3919="%IN"</formula>
    </cfRule>
    <cfRule type="expression" dxfId="3226" priority="5206" stopIfTrue="1">
      <formula>$E3919=0</formula>
    </cfRule>
  </conditionalFormatting>
  <conditionalFormatting sqref="G3971:G3977">
    <cfRule type="expression" dxfId="3225" priority="5210">
      <formula>$D3971&gt;1</formula>
    </cfRule>
    <cfRule type="expression" dxfId="3224" priority="5211">
      <formula>$C3971="%IN"</formula>
    </cfRule>
    <cfRule type="expression" dxfId="3223" priority="5212" stopIfTrue="1">
      <formula>$E3971=0</formula>
    </cfRule>
  </conditionalFormatting>
  <conditionalFormatting sqref="G3982:G3987">
    <cfRule type="expression" dxfId="3222" priority="3752" stopIfTrue="1">
      <formula>$D3982&gt;1</formula>
    </cfRule>
    <cfRule type="expression" dxfId="3221" priority="3753" stopIfTrue="1">
      <formula>$C3982="%IN"</formula>
    </cfRule>
  </conditionalFormatting>
  <conditionalFormatting sqref="G4054:G4059">
    <cfRule type="expression" dxfId="3220" priority="5216">
      <formula>$D4054&gt;1</formula>
    </cfRule>
    <cfRule type="expression" dxfId="3219" priority="5217">
      <formula>$C4054="%IN"</formula>
    </cfRule>
    <cfRule type="expression" dxfId="3218" priority="5218" stopIfTrue="1">
      <formula>$E4054=0</formula>
    </cfRule>
  </conditionalFormatting>
  <conditionalFormatting sqref="G4064:G4072">
    <cfRule type="expression" dxfId="3217" priority="3754" stopIfTrue="1">
      <formula>$D4064&gt;1</formula>
    </cfRule>
    <cfRule type="expression" dxfId="3216" priority="3755" stopIfTrue="1">
      <formula>$C4064="%IN"</formula>
    </cfRule>
  </conditionalFormatting>
  <conditionalFormatting sqref="G4089:G4094">
    <cfRule type="expression" dxfId="3215" priority="3872" stopIfTrue="1">
      <formula>$D4089&gt;1</formula>
    </cfRule>
    <cfRule type="expression" dxfId="3214" priority="3873" stopIfTrue="1">
      <formula>$C4089="%IN"</formula>
    </cfRule>
  </conditionalFormatting>
  <conditionalFormatting sqref="G4110:G4115">
    <cfRule type="expression" dxfId="3213" priority="5219">
      <formula>$D4110&gt;1</formula>
    </cfRule>
    <cfRule type="expression" dxfId="3212" priority="5220">
      <formula>$C4110="%IN"</formula>
    </cfRule>
    <cfRule type="expression" dxfId="3211" priority="5221" stopIfTrue="1">
      <formula>$E4110=0</formula>
    </cfRule>
  </conditionalFormatting>
  <conditionalFormatting sqref="G4250:G4258">
    <cfRule type="expression" dxfId="3210" priority="5240">
      <formula>$D4250&gt;1</formula>
    </cfRule>
    <cfRule type="expression" dxfId="3209" priority="5241">
      <formula>$C4250="%IN"</formula>
    </cfRule>
    <cfRule type="expression" dxfId="3208" priority="5242" stopIfTrue="1">
      <formula>$E4250=0</formula>
    </cfRule>
  </conditionalFormatting>
  <conditionalFormatting sqref="G4427:G4435">
    <cfRule type="expression" dxfId="3207" priority="5022">
      <formula>$D4427&gt;1</formula>
    </cfRule>
    <cfRule type="expression" dxfId="3206" priority="5023">
      <formula>$C4427="%IN"</formula>
    </cfRule>
    <cfRule type="expression" dxfId="3205" priority="5024" stopIfTrue="1">
      <formula>$E4427=0</formula>
    </cfRule>
  </conditionalFormatting>
  <conditionalFormatting sqref="G4460:G4472">
    <cfRule type="expression" dxfId="3204" priority="5246">
      <formula>$D4460&gt;1</formula>
    </cfRule>
    <cfRule type="expression" dxfId="3203" priority="5247">
      <formula>$C4460="%IN"</formula>
    </cfRule>
    <cfRule type="expression" dxfId="3202" priority="5248" stopIfTrue="1">
      <formula>$E4460=0</formula>
    </cfRule>
  </conditionalFormatting>
  <conditionalFormatting sqref="G5159:G5170">
    <cfRule type="expression" dxfId="3201" priority="4152" stopIfTrue="1">
      <formula>$D5159&gt;1</formula>
    </cfRule>
    <cfRule type="expression" dxfId="3200" priority="4153" stopIfTrue="1">
      <formula>$C5159="%IN"</formula>
    </cfRule>
    <cfRule type="expression" dxfId="3199" priority="4154" stopIfTrue="1">
      <formula>$E5159=0</formula>
    </cfRule>
  </conditionalFormatting>
  <conditionalFormatting sqref="G5358:G5367">
    <cfRule type="expression" dxfId="3198" priority="5052">
      <formula>$D5358&gt;1</formula>
    </cfRule>
    <cfRule type="expression" dxfId="3197" priority="5053">
      <formula>$C5358="%IN"</formula>
    </cfRule>
    <cfRule type="expression" dxfId="3196" priority="5054" stopIfTrue="1">
      <formula>$E5358=0</formula>
    </cfRule>
  </conditionalFormatting>
  <conditionalFormatting sqref="G5374:G5383">
    <cfRule type="expression" dxfId="3195" priority="5055">
      <formula>$D5374&gt;1</formula>
    </cfRule>
    <cfRule type="expression" dxfId="3194" priority="5056">
      <formula>$C5374="%IN"</formula>
    </cfRule>
    <cfRule type="expression" dxfId="3193" priority="5057" stopIfTrue="1">
      <formula>$E5374=0</formula>
    </cfRule>
  </conditionalFormatting>
  <conditionalFormatting sqref="G5560:G5573">
    <cfRule type="expression" dxfId="3192" priority="5070">
      <formula>$D5560&gt;1</formula>
    </cfRule>
    <cfRule type="expression" dxfId="3191" priority="5071">
      <formula>$C5560="%IN"</formula>
    </cfRule>
    <cfRule type="expression" dxfId="3190" priority="5072" stopIfTrue="1">
      <formula>$E5560=0</formula>
    </cfRule>
  </conditionalFormatting>
  <conditionalFormatting sqref="G5580:G5584">
    <cfRule type="expression" dxfId="3189" priority="1818" stopIfTrue="1">
      <formula>$D5580&gt;1</formula>
    </cfRule>
    <cfRule type="expression" dxfId="3188" priority="1819" stopIfTrue="1">
      <formula>$C5580="%IN"</formula>
    </cfRule>
  </conditionalFormatting>
  <conditionalFormatting sqref="G5777:G5793">
    <cfRule type="expression" dxfId="3187" priority="4578">
      <formula>$D5777&gt;1</formula>
    </cfRule>
    <cfRule type="expression" dxfId="3186" priority="4579">
      <formula>$C5777="%IN"</formula>
    </cfRule>
    <cfRule type="expression" dxfId="3185" priority="4580" stopIfTrue="1">
      <formula>$E5777=0</formula>
    </cfRule>
  </conditionalFormatting>
  <conditionalFormatting sqref="G5807:G5834">
    <cfRule type="expression" dxfId="3184" priority="5094">
      <formula>$D5807&gt;1</formula>
    </cfRule>
    <cfRule type="expression" dxfId="3183" priority="5095">
      <formula>$C5807="%IN"</formula>
    </cfRule>
    <cfRule type="expression" dxfId="3182" priority="5096" stopIfTrue="1">
      <formula>$E5807=0</formula>
    </cfRule>
  </conditionalFormatting>
  <conditionalFormatting sqref="G5839:G5844">
    <cfRule type="expression" dxfId="3181" priority="3824" stopIfTrue="1">
      <formula>$D5839&gt;1</formula>
    </cfRule>
    <cfRule type="expression" dxfId="3180" priority="3825" stopIfTrue="1">
      <formula>$C5839="%IN"</formula>
    </cfRule>
  </conditionalFormatting>
  <conditionalFormatting sqref="I5933:I5943">
    <cfRule type="expression" dxfId="3179" priority="1590" stopIfTrue="1">
      <formula>$I5933="适用"</formula>
    </cfRule>
    <cfRule type="expression" dxfId="3178" priority="1591" stopIfTrue="1">
      <formula>$I5933="不适用"</formula>
    </cfRule>
  </conditionalFormatting>
  <conditionalFormatting sqref="I5944:I5954">
    <cfRule type="expression" dxfId="3177" priority="1600" stopIfTrue="1">
      <formula>$I5944="适用"</formula>
    </cfRule>
    <cfRule type="expression" dxfId="3176" priority="1601" stopIfTrue="1">
      <formula>$I5944="不适用"</formula>
    </cfRule>
  </conditionalFormatting>
  <conditionalFormatting sqref="I5955:I5973">
    <cfRule type="expression" dxfId="3175" priority="1610" stopIfTrue="1">
      <formula>$I5955="适用"</formula>
    </cfRule>
    <cfRule type="expression" dxfId="3174" priority="1611" stopIfTrue="1">
      <formula>$I5955="不适用"</formula>
    </cfRule>
  </conditionalFormatting>
  <conditionalFormatting sqref="I5974:I5994">
    <cfRule type="expression" dxfId="3173" priority="1618" stopIfTrue="1">
      <formula>$I5974="适用"</formula>
    </cfRule>
    <cfRule type="expression" dxfId="3172" priority="1619" stopIfTrue="1">
      <formula>$I5974="不适用"</formula>
    </cfRule>
  </conditionalFormatting>
  <conditionalFormatting sqref="I5995:I6005">
    <cfRule type="expression" dxfId="3171" priority="1628" stopIfTrue="1">
      <formula>$I5995="适用"</formula>
    </cfRule>
    <cfRule type="expression" dxfId="3170" priority="1629" stopIfTrue="1">
      <formula>$I5995="不适用"</formula>
    </cfRule>
  </conditionalFormatting>
  <conditionalFormatting sqref="I6006:I6017">
    <cfRule type="expression" dxfId="3169" priority="1638" stopIfTrue="1">
      <formula>$I6006="适用"</formula>
    </cfRule>
    <cfRule type="expression" dxfId="3168" priority="1639" stopIfTrue="1">
      <formula>$I6006="不适用"</formula>
    </cfRule>
  </conditionalFormatting>
  <conditionalFormatting sqref="I6018:I6029">
    <cfRule type="expression" dxfId="3167" priority="1648" stopIfTrue="1">
      <formula>$I6018="适用"</formula>
    </cfRule>
    <cfRule type="expression" dxfId="3166" priority="1649" stopIfTrue="1">
      <formula>$I6018="不适用"</formula>
    </cfRule>
  </conditionalFormatting>
  <conditionalFormatting sqref="I6030:I6051">
    <cfRule type="expression" dxfId="3165" priority="1658" stopIfTrue="1">
      <formula>$I6030="适用"</formula>
    </cfRule>
    <cfRule type="expression" dxfId="3164" priority="1659" stopIfTrue="1">
      <formula>$I6030="不适用"</formula>
    </cfRule>
  </conditionalFormatting>
  <conditionalFormatting sqref="J5935:J5942">
    <cfRule type="expression" dxfId="3163" priority="1584" stopIfTrue="1">
      <formula>$J5935="适用"</formula>
    </cfRule>
    <cfRule type="expression" dxfId="3162" priority="1585" stopIfTrue="1">
      <formula>$J5935="不适用"</formula>
    </cfRule>
  </conditionalFormatting>
  <conditionalFormatting sqref="J5946:J5953">
    <cfRule type="expression" dxfId="3161" priority="1594" stopIfTrue="1">
      <formula>$J5946="适用"</formula>
    </cfRule>
    <cfRule type="expression" dxfId="3160" priority="1595" stopIfTrue="1">
      <formula>$J5946="不适用"</formula>
    </cfRule>
  </conditionalFormatting>
  <conditionalFormatting sqref="J5957:J5972">
    <cfRule type="expression" dxfId="3159" priority="1604" stopIfTrue="1">
      <formula>$J5957="适用"</formula>
    </cfRule>
    <cfRule type="expression" dxfId="3158" priority="1605" stopIfTrue="1">
      <formula>$J5957="不适用"</formula>
    </cfRule>
  </conditionalFormatting>
  <conditionalFormatting sqref="J5976:J5993">
    <cfRule type="expression" dxfId="3157" priority="1614" stopIfTrue="1">
      <formula>$J5976="适用"</formula>
    </cfRule>
    <cfRule type="expression" dxfId="3156" priority="1615" stopIfTrue="1">
      <formula>$J5976="不适用"</formula>
    </cfRule>
  </conditionalFormatting>
  <conditionalFormatting sqref="J5997:J6004">
    <cfRule type="expression" dxfId="3155" priority="1622" stopIfTrue="1">
      <formula>$J5997="适用"</formula>
    </cfRule>
    <cfRule type="expression" dxfId="3154" priority="1623" stopIfTrue="1">
      <formula>$J5997="不适用"</formula>
    </cfRule>
  </conditionalFormatting>
  <conditionalFormatting sqref="J6008:J6016">
    <cfRule type="expression" dxfId="3153" priority="1632" stopIfTrue="1">
      <formula>$J6008="适用"</formula>
    </cfRule>
    <cfRule type="expression" dxfId="3152" priority="1633" stopIfTrue="1">
      <formula>$J6008="不适用"</formula>
    </cfRule>
  </conditionalFormatting>
  <conditionalFormatting sqref="J6020:J6028">
    <cfRule type="expression" dxfId="3151" priority="1642" stopIfTrue="1">
      <formula>$J6020="适用"</formula>
    </cfRule>
    <cfRule type="expression" dxfId="3150" priority="1643" stopIfTrue="1">
      <formula>$J6020="不适用"</formula>
    </cfRule>
  </conditionalFormatting>
  <conditionalFormatting sqref="Q317:Q333">
    <cfRule type="expression" dxfId="3149" priority="944" stopIfTrue="1">
      <formula>$Q317="请输入"</formula>
    </cfRule>
  </conditionalFormatting>
  <conditionalFormatting sqref="Q334:Q355">
    <cfRule type="expression" dxfId="3148" priority="938" stopIfTrue="1">
      <formula>$Q334="请输入"</formula>
    </cfRule>
  </conditionalFormatting>
  <conditionalFormatting sqref="Q356:Q377">
    <cfRule type="expression" dxfId="3147" priority="932" stopIfTrue="1">
      <formula>$Q356="请输入"</formula>
    </cfRule>
  </conditionalFormatting>
  <conditionalFormatting sqref="Q378:Q399">
    <cfRule type="expression" dxfId="3146" priority="926" stopIfTrue="1">
      <formula>$Q378="请输入"</formula>
    </cfRule>
  </conditionalFormatting>
  <conditionalFormatting sqref="Q400:Q414">
    <cfRule type="expression" dxfId="3145" priority="916" stopIfTrue="1">
      <formula>$Q400="请输入"</formula>
    </cfRule>
  </conditionalFormatting>
  <conditionalFormatting sqref="Q579:Q600">
    <cfRule type="expression" dxfId="3144" priority="910" stopIfTrue="1">
      <formula>$Q579="请输入"</formula>
    </cfRule>
  </conditionalFormatting>
  <conditionalFormatting sqref="Q706">
    <cfRule type="expression" dxfId="3143" priority="1011" stopIfTrue="1">
      <formula>$Q706="请输入"</formula>
    </cfRule>
  </conditionalFormatting>
  <conditionalFormatting sqref="Q1219:Q1306">
    <cfRule type="expression" dxfId="3142" priority="973" stopIfTrue="1">
      <formula>$Q1219="请输入"</formula>
    </cfRule>
  </conditionalFormatting>
  <conditionalFormatting sqref="Q1823:Q1837">
    <cfRule type="expression" dxfId="3141" priority="883" stopIfTrue="1">
      <formula>$Q1823="请输入"</formula>
    </cfRule>
  </conditionalFormatting>
  <conditionalFormatting sqref="Q1838:Q1852">
    <cfRule type="expression" dxfId="3140" priority="880" stopIfTrue="1">
      <formula>$Q1838="请输入"</formula>
    </cfRule>
  </conditionalFormatting>
  <conditionalFormatting sqref="Q1976:Q1985 Q1971 Q1973">
    <cfRule type="expression" dxfId="3139" priority="829" stopIfTrue="1">
      <formula>$Q1971="请输入"</formula>
    </cfRule>
  </conditionalFormatting>
  <conditionalFormatting sqref="Q1986:Q2000">
    <cfRule type="expression" dxfId="3138" priority="826" stopIfTrue="1">
      <formula>$Q1986="请输入"</formula>
    </cfRule>
  </conditionalFormatting>
  <conditionalFormatting sqref="Q2039:Q2041">
    <cfRule type="expression" dxfId="3137" priority="814" stopIfTrue="1">
      <formula>$Q2039="请输入"</formula>
    </cfRule>
  </conditionalFormatting>
  <conditionalFormatting sqref="Q2048:Q2062">
    <cfRule type="expression" dxfId="3136" priority="813" stopIfTrue="1">
      <formula>$Q2048="请输入"</formula>
    </cfRule>
  </conditionalFormatting>
  <conditionalFormatting sqref="Q2137:Q2155">
    <cfRule type="expression" dxfId="3135" priority="798" stopIfTrue="1">
      <formula>$Q2137="请输入"</formula>
    </cfRule>
  </conditionalFormatting>
  <conditionalFormatting sqref="Q2234:Q2246">
    <cfRule type="expression" dxfId="3134" priority="774" stopIfTrue="1">
      <formula>$Q2234="请输入"</formula>
    </cfRule>
  </conditionalFormatting>
  <conditionalFormatting sqref="Q2247:Q2259">
    <cfRule type="expression" dxfId="3133" priority="771" stopIfTrue="1">
      <formula>$Q2247="请输入"</formula>
    </cfRule>
  </conditionalFormatting>
  <conditionalFormatting sqref="Q2260:Q2272">
    <cfRule type="expression" dxfId="3132" priority="765" stopIfTrue="1">
      <formula>$Q2260="请输入"</formula>
    </cfRule>
  </conditionalFormatting>
  <conditionalFormatting sqref="Q2293:Q2314">
    <cfRule type="expression" dxfId="3131" priority="744" stopIfTrue="1">
      <formula>$Q2293="请输入"</formula>
    </cfRule>
  </conditionalFormatting>
  <conditionalFormatting sqref="Q2349:Q2367">
    <cfRule type="expression" dxfId="3130" priority="741" stopIfTrue="1">
      <formula>$Q2349="请输入"</formula>
    </cfRule>
  </conditionalFormatting>
  <conditionalFormatting sqref="Q2506:Q2518">
    <cfRule type="expression" dxfId="3129" priority="723" stopIfTrue="1">
      <formula>$Q2506="请输入"</formula>
    </cfRule>
  </conditionalFormatting>
  <conditionalFormatting sqref="Q2797:Q2809">
    <cfRule type="expression" dxfId="3128" priority="684" stopIfTrue="1">
      <formula>$Q2797="请输入"</formula>
    </cfRule>
  </conditionalFormatting>
  <conditionalFormatting sqref="Q2877:Q2896">
    <cfRule type="expression" dxfId="3127" priority="675" stopIfTrue="1">
      <formula>$Q2877="请输入"</formula>
    </cfRule>
  </conditionalFormatting>
  <conditionalFormatting sqref="Q2908:Q2917">
    <cfRule type="expression" dxfId="3126" priority="1076" stopIfTrue="1">
      <formula>$Q2908="请输入"</formula>
    </cfRule>
  </conditionalFormatting>
  <conditionalFormatting sqref="Q3006:Q3041">
    <cfRule type="expression" dxfId="3125" priority="4240" stopIfTrue="1">
      <formula>$Q3006="请输入"</formula>
    </cfRule>
  </conditionalFormatting>
  <conditionalFormatting sqref="Q3113:Q3125">
    <cfRule type="expression" dxfId="3124" priority="660" stopIfTrue="1">
      <formula>$Q3113="请输入"</formula>
    </cfRule>
  </conditionalFormatting>
  <conditionalFormatting sqref="Q3381:Q3393">
    <cfRule type="expression" dxfId="3123" priority="657" stopIfTrue="1">
      <formula>$Q3381="请输入"</formula>
    </cfRule>
  </conditionalFormatting>
  <conditionalFormatting sqref="Q3394:Q3405 Q3407">
    <cfRule type="expression" dxfId="3122" priority="654" stopIfTrue="1">
      <formula>$Q3394="请输入"</formula>
    </cfRule>
  </conditionalFormatting>
  <conditionalFormatting sqref="Q4424:Q4436">
    <cfRule type="expression" dxfId="3121" priority="595" stopIfTrue="1">
      <formula>$Q4424="请输入"</formula>
    </cfRule>
  </conditionalFormatting>
  <conditionalFormatting sqref="Q5319:Q5335">
    <cfRule type="expression" dxfId="3120" priority="569" stopIfTrue="1">
      <formula>$Q5319="请输入"</formula>
    </cfRule>
  </conditionalFormatting>
  <conditionalFormatting sqref="Q5336:Q5352">
    <cfRule type="expression" dxfId="3119" priority="566" stopIfTrue="1">
      <formula>$Q5336="请输入"</formula>
    </cfRule>
  </conditionalFormatting>
  <conditionalFormatting sqref="Q5353:Q5368">
    <cfRule type="expression" dxfId="3118" priority="560" stopIfTrue="1">
      <formula>$Q5353="请输入"</formula>
    </cfRule>
  </conditionalFormatting>
  <conditionalFormatting sqref="Q5369:Q5384">
    <cfRule type="expression" dxfId="3117" priority="551" stopIfTrue="1">
      <formula>$Q5369="请输入"</formula>
    </cfRule>
  </conditionalFormatting>
  <conditionalFormatting sqref="Q5557:Q5574">
    <cfRule type="expression" dxfId="3116" priority="536" stopIfTrue="1">
      <formula>$Q5557="请输入"</formula>
    </cfRule>
  </conditionalFormatting>
  <conditionalFormatting sqref="K7 M7 H7 P7:P8">
    <cfRule type="cellIs" dxfId="3115" priority="2812" stopIfTrue="1" operator="equal">
      <formula>0</formula>
    </cfRule>
    <cfRule type="cellIs" dxfId="3114" priority="2813" stopIfTrue="1" operator="notEqual">
      <formula>0</formula>
    </cfRule>
  </conditionalFormatting>
  <conditionalFormatting sqref="I4776 I4799 I4821 I4848 I4862 I3916 I10 I120 I138 I146 I160 I170 I192 I214 I251 I273 I286 I293 I1013 I988 I1774 I2463 I2557 I2648">
    <cfRule type="expression" dxfId="3113" priority="2787" stopIfTrue="1">
      <formula>$I10="适用"</formula>
    </cfRule>
    <cfRule type="expression" dxfId="3112" priority="2788" stopIfTrue="1">
      <formula>$I10="不适用"</formula>
    </cfRule>
  </conditionalFormatting>
  <conditionalFormatting sqref="Q934:Q942 Q2639:Q2646 Q2821:Q2828 Q3760:Q3768 Q4107:Q4116 Q4725:Q4748 Q4898:Q4911 Q4799 Q4819 Q4821:Q4833 Q4848 Q4860 Q4862:Q4874 Q3916 Q10 Q120:Q129 Q138 Q146 Q160 Q988:Q1013 Q1774:Q1788 Q2463 Q2557:Q2598 Q4776:Q4797">
    <cfRule type="expression" dxfId="3111" priority="4242"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88 I3213 I3240 I3256 I3269 I3276 I3286 I3306 I3319 I3409 I3432 I3491 I3558 I3618 I3770 I3801 I3886 I3927 I3937 I3947 I3957 I3968 I3997 I4061 I3481 I3578 I3856 I3876 I4084 I3511 I3896 I3501 I4287 I4308 I4317 I4247 I4178 I4198 I4213 I4233 I4147 I4157 I4413 I4437 I4449 I4457 I4474 I4351 I4360 I4392 I4498 I4516 I4540 I4563 I4633 I4663 I4694 I4750 I4507 I4876 I4913 I4926 I4944 I4957 I4965 I5020 I5036 I5052 I5063 I5074 I5085 I5096 I5119 I5127 I5156 I5194 I5172 I5136 I5146 I6054 I6063 I6074 I6083 I6092 I6106 I6116 I6125 I6145 I6154 I6163 I6185 I6212 I6241 I6136 I5878:I5932">
    <cfRule type="expression" dxfId="3110" priority="2795" stopIfTrue="1">
      <formula>$I20="适用"</formula>
    </cfRule>
    <cfRule type="expression" dxfId="3109" priority="2796" stopIfTrue="1">
      <formula>$I20="不适用"</formula>
    </cfRule>
  </conditionalFormatting>
  <conditionalFormatting sqref="Q20 Q2810 Q4147 Q4157">
    <cfRule type="expression" dxfId="3108" priority="4232" stopIfTrue="1">
      <formula>$Q20="请输入"</formula>
    </cfRule>
  </conditionalFormatting>
  <conditionalFormatting sqref="G4916:G4924">
    <cfRule type="expression" dxfId="3107" priority="4122" stopIfTrue="1">
      <formula>$D4916&gt;1</formula>
    </cfRule>
    <cfRule type="expression" dxfId="3106" priority="4123" stopIfTrue="1">
      <formula>$C4916="%IN"</formula>
    </cfRule>
    <cfRule type="expression" dxfId="3105" priority="4124" stopIfTrue="1">
      <formula>$E4916=0</formula>
    </cfRule>
  </conditionalFormatting>
  <conditionalFormatting sqref="I71">
    <cfRule type="expression" dxfId="3104" priority="1062" stopIfTrue="1">
      <formula>$I71="适用"</formula>
    </cfRule>
    <cfRule type="expression" dxfId="3103" priority="1063" stopIfTrue="1">
      <formula>$I71="不适用"</formula>
    </cfRule>
  </conditionalFormatting>
  <conditionalFormatting sqref="O5946:O5955 L5957:L5974 O5957:O5974 L5997:L6006 O5924:O5933 L5976:L5995 O5997:O6006 L5935:L5944 O5935:O5944 L6008:L6018 L5946:L5955 L6020:L6030 O6008:O6018 O6032:O6051 O6020:O6030 O5976:O5995 L6032:L6051 O5902:O5911 L5913:L5922 O5891:O5900 L5902:L5911 O5913:O5922 L5924:L5933 O5880:O5889 L5891:L5900 O5869:O5878 L5880:L5889 O5867 L5869:L5878 L5867 O5775:O5802 L5775:L5795 O4899:O4911 L4899:L4911 L4108 L4726:L4735 R4395:R4396 O4726:O4735 L3761 O4108:O4116 O1638 O3761:O3768 L2822 O1775:O1788 O2822:O2828 L4777:L4778 O4777:O4797 L4781:L4795 L4797">
    <cfRule type="expression" dxfId="3102" priority="611" stopIfTrue="1">
      <formula>L1638="F/S"</formula>
    </cfRule>
    <cfRule type="cellIs" dxfId="3101" priority="612" stopIfTrue="1" operator="notEqual">
      <formula>0</formula>
    </cfRule>
  </conditionalFormatting>
  <conditionalFormatting sqref="G2016:G2019 G1952:G1959">
    <cfRule type="expression" dxfId="3100" priority="3106" stopIfTrue="1">
      <formula>$D1952&gt;1</formula>
    </cfRule>
    <cfRule type="expression" dxfId="3099" priority="3107" stopIfTrue="1">
      <formula>$C1952="%IN"</formula>
    </cfRule>
  </conditionalFormatting>
  <conditionalFormatting sqref="G5588:G5599">
    <cfRule type="expression" dxfId="3098" priority="716" stopIfTrue="1">
      <formula>$D5588&gt;1</formula>
    </cfRule>
    <cfRule type="expression" dxfId="3097" priority="717" stopIfTrue="1">
      <formula>$C5588="%IN"</formula>
    </cfRule>
  </conditionalFormatting>
  <conditionalFormatting sqref="Q109">
    <cfRule type="expression" dxfId="3096" priority="4237" stopIfTrue="1">
      <formula>$Q109="请输入"</formula>
    </cfRule>
  </conditionalFormatting>
  <conditionalFormatting sqref="H4114:I4114">
    <cfRule type="expression" dxfId="3095" priority="4581">
      <formula>$D4114&gt;1</formula>
    </cfRule>
    <cfRule type="expression" dxfId="3094" priority="4582">
      <formula>$C4114="%IN"</formula>
    </cfRule>
    <cfRule type="expression" dxfId="3093" priority="4583" stopIfTrue="1">
      <formula>$E4114=0</formula>
    </cfRule>
  </conditionalFormatting>
  <conditionalFormatting sqref="G4824:G4832">
    <cfRule type="expression" dxfId="3092" priority="1033">
      <formula>$D4824&gt;1</formula>
    </cfRule>
    <cfRule type="expression" dxfId="3091" priority="1034">
      <formula>$C4824="%IN"</formula>
    </cfRule>
    <cfRule type="expression" dxfId="3090" priority="1035" stopIfTrue="1">
      <formula>$E4824=0</formula>
    </cfRule>
  </conditionalFormatting>
  <conditionalFormatting sqref="Q130 Q611:Q617">
    <cfRule type="expression" dxfId="3089" priority="4238" stopIfTrue="1">
      <formula>$Q130="请输入"</formula>
    </cfRule>
  </conditionalFormatting>
  <conditionalFormatting sqref="G520:G524 G526">
    <cfRule type="expression" dxfId="3088" priority="4752">
      <formula>$D520&gt;1</formula>
    </cfRule>
    <cfRule type="expression" dxfId="3087" priority="4753">
      <formula>$C520="%IN"</formula>
    </cfRule>
    <cfRule type="expression" dxfId="3086" priority="4754" stopIfTrue="1">
      <formula>$E520=0</formula>
    </cfRule>
  </conditionalFormatting>
  <conditionalFormatting sqref="G4802:G4818">
    <cfRule type="expression" dxfId="3085" priority="896" stopIfTrue="1">
      <formula>$D4802&gt;1</formula>
    </cfRule>
    <cfRule type="expression" dxfId="3084" priority="897" stopIfTrue="1">
      <formula>$C4802="%IN"</formula>
    </cfRule>
  </conditionalFormatting>
  <conditionalFormatting sqref="G2987:G3003 G3514:G3528 G3716:G3724 G4354:G4357">
    <cfRule type="expression" dxfId="3083" priority="2444" stopIfTrue="1">
      <formula>$D2987&gt;1</formula>
    </cfRule>
    <cfRule type="expression" dxfId="3082" priority="2445" stopIfTrue="1">
      <formula>$C2987="%IN"</formula>
    </cfRule>
  </conditionalFormatting>
  <conditionalFormatting sqref="Q2032:Q2038 Q2042:Q2047">
    <cfRule type="expression" dxfId="3081" priority="820" stopIfTrue="1">
      <formula>$Q2032="请输入"</formula>
    </cfRule>
  </conditionalFormatting>
  <conditionalFormatting sqref="Q2273:Q2292 Q2378:Q2390 Q2497:Q2505 Q2520:Q2555">
    <cfRule type="expression" dxfId="3080" priority="4239" stopIfTrue="1">
      <formula>$Q2273="请输入"</formula>
    </cfRule>
  </conditionalFormatting>
  <conditionalFormatting sqref="Q4488:Q4497 Q4367:Q4369 Q4371:Q4391">
    <cfRule type="expression" dxfId="3079" priority="4241" stopIfTrue="1">
      <formula>$Q4367="请输入"</formula>
    </cfRule>
  </conditionalFormatting>
  <conditionalFormatting sqref="I4612 I4622">
    <cfRule type="expression" dxfId="3078" priority="1396" stopIfTrue="1">
      <formula>$I4612="适用"</formula>
    </cfRule>
    <cfRule type="expression" dxfId="3077" priority="1397" stopIfTrue="1">
      <formula>$I4612="不适用"</formula>
    </cfRule>
  </conditionalFormatting>
  <conditionalFormatting sqref="G5341:G5349">
    <cfRule type="expression" dxfId="3076" priority="5049">
      <formula>$D5341&gt;1</formula>
    </cfRule>
    <cfRule type="expression" dxfId="3075" priority="5050">
      <formula>$C5341="%IN"</formula>
    </cfRule>
    <cfRule type="expression" dxfId="3074" priority="5051" stopIfTrue="1">
      <formula>$E5341=0</formula>
    </cfRule>
  </conditionalFormatting>
  <conditionalFormatting sqref="I5867:I5868 I5877">
    <cfRule type="expression" dxfId="3073" priority="1530" stopIfTrue="1">
      <formula>$I5867="适用"</formula>
    </cfRule>
    <cfRule type="expression" dxfId="3072" priority="1531" stopIfTrue="1">
      <formula>$I5867="不适用"</formula>
    </cfRule>
  </conditionalFormatting>
  <conditionalFormatting sqref="J6032:J6050 J5869:J5876 J5880:J5887 J5891:J5898 J5902:J5909 J5913:J5920 J5924:J5931">
    <cfRule type="expression" dxfId="3071" priority="1652" stopIfTrue="1">
      <formula>$J5869="适用"</formula>
    </cfRule>
    <cfRule type="expression" dxfId="3070" priority="1653" stopIfTrue="1">
      <formula>$J5869="不适用"</formula>
    </cfRule>
  </conditionalFormatting>
  <conditionalFormatting sqref="L6253:L6255 O6253:O6255">
    <cfRule type="expression" dxfId="3069" priority="2800" stopIfTrue="1">
      <formula>OR(L6253="F/S",L6253="",AND(L6253&gt;=0,L6253&lt;=1))</formula>
    </cfRule>
    <cfRule type="expression" dxfId="3068" priority="2801" stopIfTrue="1">
      <formula>OR(L6253&lt;&gt;"F/S",L6253&lt;&gt;0)</formula>
    </cfRule>
  </conditionalFormatting>
  <conditionalFormatting sqref="G149:G158">
    <cfRule type="expression" dxfId="3067" priority="5252">
      <formula>$D149&gt;1</formula>
    </cfRule>
    <cfRule type="expression" dxfId="3066" priority="5253">
      <formula>$C149="%IN"</formula>
    </cfRule>
    <cfRule type="expression" dxfId="3065" priority="5254" stopIfTrue="1">
      <formula>$E149=0</formula>
    </cfRule>
  </conditionalFormatting>
  <conditionalFormatting sqref="G874:G888">
    <cfRule type="expression" dxfId="3064" priority="5264">
      <formula>$D874&gt;1</formula>
    </cfRule>
    <cfRule type="expression" dxfId="3063" priority="5265">
      <formula>$C874="%IN"</formula>
    </cfRule>
    <cfRule type="expression" dxfId="3062" priority="5266" stopIfTrue="1">
      <formula>$E874=0</formula>
    </cfRule>
  </conditionalFormatting>
  <conditionalFormatting sqref="G1541:G1555">
    <cfRule type="expression" dxfId="3061" priority="5273">
      <formula>$D1541&gt;1</formula>
    </cfRule>
    <cfRule type="expression" dxfId="3060" priority="5274">
      <formula>$C1541="%IN"</formula>
    </cfRule>
    <cfRule type="expression" dxfId="3059" priority="5275" stopIfTrue="1">
      <formula>$E1541=0</formula>
    </cfRule>
  </conditionalFormatting>
  <conditionalFormatting sqref="G2142:G2154">
    <cfRule type="expression" dxfId="3058" priority="5294">
      <formula>$D2142&gt;1</formula>
    </cfRule>
    <cfRule type="expression" dxfId="3057" priority="5295">
      <formula>$C2142="%IN"</formula>
    </cfRule>
    <cfRule type="expression" dxfId="3056" priority="5296" stopIfTrue="1">
      <formula>$E2142=0</formula>
    </cfRule>
  </conditionalFormatting>
  <conditionalFormatting sqref="G2560:G2597">
    <cfRule type="expression" dxfId="3055" priority="5309">
      <formula>$D2560&gt;1</formula>
    </cfRule>
    <cfRule type="expression" dxfId="3054" priority="5310">
      <formula>$C2560="%IN"</formula>
    </cfRule>
    <cfRule type="expression" dxfId="3053" priority="5311" stopIfTrue="1">
      <formula>$E2560=0</formula>
    </cfRule>
  </conditionalFormatting>
  <conditionalFormatting sqref="G3009:G3040">
    <cfRule type="expression" dxfId="3052" priority="5321">
      <formula>$D3009&gt;1</formula>
    </cfRule>
    <cfRule type="expression" dxfId="3051" priority="5322">
      <formula>$C3009="%IN"</formula>
    </cfRule>
    <cfRule type="expression" dxfId="3050" priority="5323" stopIfTrue="1">
      <formula>$E3009=0</formula>
    </cfRule>
  </conditionalFormatting>
  <conditionalFormatting sqref="G5324:G5334">
    <cfRule type="expression" dxfId="3049" priority="5333">
      <formula>$D5324&gt;1</formula>
    </cfRule>
    <cfRule type="expression" dxfId="3048" priority="5334">
      <formula>$C5324="%IN"</formula>
    </cfRule>
    <cfRule type="expression" dxfId="3047" priority="5335" stopIfTrue="1">
      <formula>$E5324=0</formula>
    </cfRule>
  </conditionalFormatting>
  <conditionalFormatting sqref="G2925:G2980">
    <cfRule type="expression" dxfId="3046" priority="5336">
      <formula>$D2925&gt;1</formula>
    </cfRule>
    <cfRule type="expression" dxfId="3045" priority="5337">
      <formula>$C2925="%IN"</formula>
    </cfRule>
    <cfRule type="expression" dxfId="3044" priority="5338" stopIfTrue="1">
      <formula>$E2925=0</formula>
    </cfRule>
  </conditionalFormatting>
  <conditionalFormatting sqref="G3048:G3103">
    <cfRule type="expression" dxfId="3043" priority="5339">
      <formula>$D3048&gt;1</formula>
    </cfRule>
    <cfRule type="expression" dxfId="3042" priority="5340">
      <formula>$C3048="%IN"</formula>
    </cfRule>
    <cfRule type="expression" dxfId="3041" priority="5341" stopIfTrue="1">
      <formula>$E3048=0</formula>
    </cfRule>
  </conditionalFormatting>
  <conditionalFormatting sqref="G2144:G2152">
    <cfRule type="expression" dxfId="3040" priority="472">
      <formula>$D2144&gt;1</formula>
    </cfRule>
    <cfRule type="expression" dxfId="3039" priority="473">
      <formula>$C2144="%IN"</formula>
    </cfRule>
    <cfRule type="expression" dxfId="3038" priority="474" stopIfTrue="1">
      <formula>$E2144=0</formula>
    </cfRule>
  </conditionalFormatting>
  <conditionalFormatting sqref="G2356:G2364">
    <cfRule type="expression" dxfId="3037" priority="469">
      <formula>$D2356&gt;1</formula>
    </cfRule>
    <cfRule type="expression" dxfId="3036" priority="470">
      <formula>$C2356="%IN"</formula>
    </cfRule>
    <cfRule type="expression" dxfId="3035" priority="471" stopIfTrue="1">
      <formula>$E2356=0</formula>
    </cfRule>
  </conditionalFormatting>
  <conditionalFormatting sqref="G2605:G2608">
    <cfRule type="expression" dxfId="3034" priority="466">
      <formula>$D2605&gt;1</formula>
    </cfRule>
    <cfRule type="expression" dxfId="3033" priority="467">
      <formula>$C2605="%IN"</formula>
    </cfRule>
    <cfRule type="expression" dxfId="3032" priority="468" stopIfTrue="1">
      <formula>$E2605=0</formula>
    </cfRule>
  </conditionalFormatting>
  <conditionalFormatting sqref="G3804:G3816">
    <cfRule type="expression" dxfId="3031" priority="5348">
      <formula>$D3804&gt;1</formula>
    </cfRule>
    <cfRule type="expression" dxfId="3030" priority="5349">
      <formula>$C3804="%IN"</formula>
    </cfRule>
    <cfRule type="expression" dxfId="3029" priority="5350" stopIfTrue="1">
      <formula>$E3804=0</formula>
    </cfRule>
  </conditionalFormatting>
  <conditionalFormatting sqref="G3773:G3788">
    <cfRule type="expression" dxfId="3028" priority="5351">
      <formula>$D3773&gt;1</formula>
    </cfRule>
    <cfRule type="expression" dxfId="3027" priority="5352">
      <formula>$C3773="%IN"</formula>
    </cfRule>
    <cfRule type="expression" dxfId="3026" priority="5353" stopIfTrue="1">
      <formula>$E3773=0</formula>
    </cfRule>
  </conditionalFormatting>
  <conditionalFormatting sqref="G4313:G4315">
    <cfRule type="expression" dxfId="3025" priority="5360">
      <formula>$D4313&gt;1</formula>
    </cfRule>
    <cfRule type="expression" dxfId="3024" priority="5361">
      <formula>$C4313="%IN"</formula>
    </cfRule>
    <cfRule type="expression" dxfId="3023" priority="5362" stopIfTrue="1">
      <formula>$E4313=0</formula>
    </cfRule>
  </conditionalFormatting>
  <conditionalFormatting sqref="G5099:G5116">
    <cfRule type="expression" dxfId="3022" priority="5375">
      <formula>$D5099&gt;1</formula>
    </cfRule>
    <cfRule type="expression" dxfId="3021" priority="5376">
      <formula>$C5099="%IN"</formula>
    </cfRule>
    <cfRule type="expression" dxfId="3020" priority="5377" stopIfTrue="1">
      <formula>$E5099=0</formula>
    </cfRule>
  </conditionalFormatting>
  <conditionalFormatting sqref="G25:G57">
    <cfRule type="expression" dxfId="3019" priority="5474">
      <formula>$D25&gt;1</formula>
    </cfRule>
    <cfRule type="expression" dxfId="3018" priority="5475">
      <formula>$C25="%IN"</formula>
    </cfRule>
    <cfRule type="expression" dxfId="3017" priority="5476" stopIfTrue="1">
      <formula>$E25=0</formula>
    </cfRule>
  </conditionalFormatting>
  <conditionalFormatting sqref="P5374:P5383 P5358:P5367 O5341:O5351 O5324:O5334 M4865:M4873 M4879:M4895 O1641:P1653 L1030:N1034 K937:L941 P853:Q856 L2221:N2225 K2642:L2645 K2824:L2827 K3763:L3767 K3930:L3935 K4636:M4650 K4960:L4963 K13:L17 L2066:L2070">
    <cfRule type="cellIs" dxfId="3016" priority="7379" stopIfTrue="1" operator="notEqual">
      <formula>0</formula>
    </cfRule>
  </conditionalFormatting>
  <conditionalFormatting sqref="L5795 L5500 L4835:L4847 L4736:L4748 L4100:L4105 L4096:L4098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015" priority="7381" stopIfTrue="1">
      <formula>OR($L$20="F/S",$L$20="")</formula>
    </cfRule>
    <cfRule type="cellIs" dxfId="3014" priority="7382" stopIfTrue="1" operator="notEqual">
      <formula>0</formula>
    </cfRule>
  </conditionalFormatting>
  <conditionalFormatting sqref="O5795:O5802 O5500 O4835:O4847 O4736:O4748 O4096:O4105 O2530:O2555 O2412:O2462 O2191:O2200 O1027:O1042 O3136:O3149 O1057 O1491:O1509 O1079:O1115 O1131:O1218 O1233:O1306 O920 O2218:O2219 O2227:O2233 O762 O777 O792:O847 O468 O415 O448 O306:O315 O20 O236:O250">
    <cfRule type="expression" dxfId="3013" priority="7383" stopIfTrue="1">
      <formula>OR($O$20="F/S",$O$20="")</formula>
    </cfRule>
    <cfRule type="cellIs" dxfId="3012" priority="7384" stopIfTrue="1" operator="notEqual">
      <formula>0</formula>
    </cfRule>
  </conditionalFormatting>
  <conditionalFormatting sqref="L10">
    <cfRule type="expression" dxfId="3011" priority="7385" stopIfTrue="1">
      <formula>OR($L$10="F/S",$L$10="")</formula>
    </cfRule>
    <cfRule type="cellIs" dxfId="3010" priority="7386" stopIfTrue="1" operator="notEqual">
      <formula>0</formula>
    </cfRule>
  </conditionalFormatting>
  <conditionalFormatting sqref="O10">
    <cfRule type="expression" dxfId="3009" priority="7387" stopIfTrue="1">
      <formula>OR($O$10="F/S",$O$10="")</formula>
    </cfRule>
    <cfRule type="cellIs" dxfId="3008" priority="7388" stopIfTrue="1" operator="notEqual">
      <formula>0</formula>
    </cfRule>
  </conditionalFormatting>
  <conditionalFormatting sqref="L59">
    <cfRule type="expression" dxfId="3007" priority="7389" stopIfTrue="1">
      <formula>OR($L$59="F/S",$L$59="")</formula>
    </cfRule>
    <cfRule type="cellIs" dxfId="3006" priority="7390" stopIfTrue="1" operator="notEqual">
      <formula>0</formula>
    </cfRule>
  </conditionalFormatting>
  <conditionalFormatting sqref="O59">
    <cfRule type="expression" dxfId="3005" priority="7391" stopIfTrue="1">
      <formula>OR($O$59="F/S",$O$59="")</formula>
    </cfRule>
    <cfRule type="cellIs" dxfId="3004" priority="7392" stopIfTrue="1" operator="notEqual">
      <formula>0</formula>
    </cfRule>
  </conditionalFormatting>
  <conditionalFormatting sqref="L90">
    <cfRule type="expression" dxfId="3003" priority="7393" stopIfTrue="1">
      <formula>OR($L$90="F/S",$L$90="")</formula>
    </cfRule>
    <cfRule type="cellIs" dxfId="3002" priority="7394" stopIfTrue="1" operator="notEqual">
      <formula>0</formula>
    </cfRule>
  </conditionalFormatting>
  <conditionalFormatting sqref="O90">
    <cfRule type="expression" dxfId="3001" priority="7395" stopIfTrue="1">
      <formula>OR($O$90="F/S",$O$90="")</formula>
    </cfRule>
    <cfRule type="cellIs" dxfId="3000" priority="7396" stopIfTrue="1" operator="notEqual">
      <formula>0</formula>
    </cfRule>
  </conditionalFormatting>
  <conditionalFormatting sqref="L71">
    <cfRule type="expression" dxfId="2999" priority="7401" stopIfTrue="1">
      <formula>OR($L$71="F/S",$L$71="")</formula>
    </cfRule>
    <cfRule type="cellIs" dxfId="2998" priority="7402" stopIfTrue="1" operator="notEqual">
      <formula>0</formula>
    </cfRule>
  </conditionalFormatting>
  <conditionalFormatting sqref="O71">
    <cfRule type="expression" dxfId="2997" priority="7403" stopIfTrue="1">
      <formula>OR($O$71="F/S",$O$71="")</formula>
    </cfRule>
    <cfRule type="cellIs" dxfId="2996" priority="7404" stopIfTrue="1" operator="notEqual">
      <formula>0</formula>
    </cfRule>
  </conditionalFormatting>
  <conditionalFormatting sqref="L109">
    <cfRule type="expression" dxfId="2995" priority="7405" stopIfTrue="1">
      <formula>OR($L$109="F/S",$L$109="")</formula>
    </cfRule>
    <cfRule type="cellIs" dxfId="2994" priority="7406" stopIfTrue="1" operator="notEqual">
      <formula>0</formula>
    </cfRule>
  </conditionalFormatting>
  <conditionalFormatting sqref="O109">
    <cfRule type="expression" dxfId="2993" priority="7407" stopIfTrue="1">
      <formula>OR($O$109="F/S",$O$109="")</formula>
    </cfRule>
    <cfRule type="cellIs" dxfId="2992" priority="7408" stopIfTrue="1" operator="notEqual">
      <formula>0</formula>
    </cfRule>
  </conditionalFormatting>
  <conditionalFormatting sqref="L120">
    <cfRule type="expression" dxfId="2991" priority="7409" stopIfTrue="1">
      <formula>OR($L$120="F/S",$L$120="")</formula>
    </cfRule>
    <cfRule type="cellIs" dxfId="2990" priority="7410" stopIfTrue="1" operator="notEqual">
      <formula>0</formula>
    </cfRule>
  </conditionalFormatting>
  <conditionalFormatting sqref="O120">
    <cfRule type="expression" dxfId="2989" priority="7411" stopIfTrue="1">
      <formula>OR($O$120="F/S",$O$120="")</formula>
    </cfRule>
    <cfRule type="cellIs" dxfId="2988" priority="7412" stopIfTrue="1" operator="notEqual">
      <formula>0</formula>
    </cfRule>
  </conditionalFormatting>
  <conditionalFormatting sqref="L138">
    <cfRule type="expression" dxfId="2987" priority="7413" stopIfTrue="1">
      <formula>OR($L$138="F/S",$L$138="")</formula>
    </cfRule>
    <cfRule type="cellIs" dxfId="2986" priority="7414" stopIfTrue="1" operator="notEqual">
      <formula>0</formula>
    </cfRule>
  </conditionalFormatting>
  <conditionalFormatting sqref="O138">
    <cfRule type="expression" dxfId="2985" priority="7415" stopIfTrue="1">
      <formula>OR($O$138="F/S",$O$138="")</formula>
    </cfRule>
    <cfRule type="cellIs" dxfId="2984" priority="7416" stopIfTrue="1" operator="notEqual">
      <formula>0</formula>
    </cfRule>
  </conditionalFormatting>
  <conditionalFormatting sqref="L146">
    <cfRule type="expression" dxfId="2983" priority="7417" stopIfTrue="1">
      <formula>OR($L$146="F/S",$L$146="")</formula>
    </cfRule>
    <cfRule type="cellIs" dxfId="2982" priority="7418" stopIfTrue="1" operator="notEqual">
      <formula>0</formula>
    </cfRule>
  </conditionalFormatting>
  <conditionalFormatting sqref="O146">
    <cfRule type="expression" dxfId="2981" priority="7419" stopIfTrue="1">
      <formula>OR($O$146="F/S",$O$146="")</formula>
    </cfRule>
    <cfRule type="cellIs" dxfId="2980" priority="7420" stopIfTrue="1" operator="notEqual">
      <formula>0</formula>
    </cfRule>
  </conditionalFormatting>
  <conditionalFormatting sqref="L160">
    <cfRule type="expression" dxfId="2979" priority="7421" stopIfTrue="1">
      <formula>OR($L$160="F/S",$L$160="")</formula>
    </cfRule>
    <cfRule type="cellIs" dxfId="2978" priority="7422" stopIfTrue="1" operator="notEqual">
      <formula>0</formula>
    </cfRule>
  </conditionalFormatting>
  <conditionalFormatting sqref="O160">
    <cfRule type="expression" dxfId="2977" priority="7423" stopIfTrue="1">
      <formula>OR($O$160="F/S",$O$160="")</formula>
    </cfRule>
    <cfRule type="cellIs" dxfId="2976" priority="7424" stopIfTrue="1" operator="notEqual">
      <formula>0</formula>
    </cfRule>
  </conditionalFormatting>
  <conditionalFormatting sqref="L170">
    <cfRule type="expression" dxfId="2975" priority="7425" stopIfTrue="1">
      <formula>OR($L$170="F/S",$L$170="")</formula>
    </cfRule>
    <cfRule type="cellIs" dxfId="2974" priority="7426" stopIfTrue="1" operator="notEqual">
      <formula>0</formula>
    </cfRule>
  </conditionalFormatting>
  <conditionalFormatting sqref="O170">
    <cfRule type="expression" dxfId="2973" priority="7427" stopIfTrue="1">
      <formula>OR($O$170="F/S",$O$170="")</formula>
    </cfRule>
    <cfRule type="cellIs" dxfId="2972" priority="7428" stopIfTrue="1" operator="notEqual">
      <formula>0</formula>
    </cfRule>
  </conditionalFormatting>
  <conditionalFormatting sqref="L192">
    <cfRule type="expression" dxfId="2971" priority="7429" stopIfTrue="1">
      <formula>OR($L$192="F/S",$L$192="")</formula>
    </cfRule>
    <cfRule type="cellIs" dxfId="2970" priority="7430" stopIfTrue="1" operator="notEqual">
      <formula>0</formula>
    </cfRule>
  </conditionalFormatting>
  <conditionalFormatting sqref="O192">
    <cfRule type="expression" dxfId="2969" priority="7431" stopIfTrue="1">
      <formula>OR($O$192="F/S",$O$192="")</formula>
    </cfRule>
    <cfRule type="cellIs" dxfId="2968" priority="7432" stopIfTrue="1" operator="notEqual">
      <formula>0</formula>
    </cfRule>
  </conditionalFormatting>
  <conditionalFormatting sqref="L214">
    <cfRule type="expression" dxfId="2967" priority="7433" stopIfTrue="1">
      <formula>OR($L$214="F/S",$L$214="")</formula>
    </cfRule>
    <cfRule type="cellIs" dxfId="2966" priority="7434" stopIfTrue="1" operator="notEqual">
      <formula>0</formula>
    </cfRule>
  </conditionalFormatting>
  <conditionalFormatting sqref="O214">
    <cfRule type="expression" dxfId="2965" priority="7435" stopIfTrue="1">
      <formula>OR($O$214="F/S",$O$214="")</formula>
    </cfRule>
    <cfRule type="cellIs" dxfId="2964" priority="7436" stopIfTrue="1" operator="notEqual">
      <formula>0</formula>
    </cfRule>
  </conditionalFormatting>
  <conditionalFormatting sqref="L251">
    <cfRule type="expression" dxfId="2963" priority="7437" stopIfTrue="1">
      <formula>OR($L$251="F/S",$L$251="")</formula>
    </cfRule>
    <cfRule type="cellIs" dxfId="2962" priority="7438" stopIfTrue="1" operator="notEqual">
      <formula>0</formula>
    </cfRule>
  </conditionalFormatting>
  <conditionalFormatting sqref="O251">
    <cfRule type="expression" dxfId="2961" priority="7439" stopIfTrue="1">
      <formula>OR($O$251="F/S",$O$251="")</formula>
    </cfRule>
    <cfRule type="cellIs" dxfId="2960" priority="7440" stopIfTrue="1" operator="notEqual">
      <formula>0</formula>
    </cfRule>
  </conditionalFormatting>
  <conditionalFormatting sqref="L273">
    <cfRule type="expression" dxfId="2959" priority="7441" stopIfTrue="1">
      <formula>OR($L$273="F/S",$L$273="")</formula>
    </cfRule>
    <cfRule type="cellIs" dxfId="2958" priority="7442" stopIfTrue="1" operator="notEqual">
      <formula>0</formula>
    </cfRule>
  </conditionalFormatting>
  <conditionalFormatting sqref="O273">
    <cfRule type="expression" dxfId="2957" priority="7443" stopIfTrue="1">
      <formula>OR($O$273="F/S",$O$273="")</formula>
    </cfRule>
    <cfRule type="cellIs" dxfId="2956" priority="7444" stopIfTrue="1" operator="notEqual">
      <formula>0</formula>
    </cfRule>
  </conditionalFormatting>
  <conditionalFormatting sqref="L286">
    <cfRule type="expression" dxfId="2955" priority="7445" stopIfTrue="1">
      <formula>OR($L$286="F/S",$L$286="")</formula>
    </cfRule>
    <cfRule type="cellIs" dxfId="2954" priority="7446" stopIfTrue="1" operator="notEqual">
      <formula>0</formula>
    </cfRule>
  </conditionalFormatting>
  <conditionalFormatting sqref="O286">
    <cfRule type="expression" dxfId="2953" priority="7447" stopIfTrue="1">
      <formula>OR($O$286="F/S",$O$286="")</formula>
    </cfRule>
    <cfRule type="cellIs" dxfId="2952" priority="7448" stopIfTrue="1" operator="notEqual">
      <formula>0</formula>
    </cfRule>
  </conditionalFormatting>
  <conditionalFormatting sqref="L293">
    <cfRule type="expression" dxfId="2951" priority="7449" stopIfTrue="1">
      <formula>OR($L$293="F/S",$L$293="")</formula>
    </cfRule>
    <cfRule type="cellIs" dxfId="2950" priority="7450" stopIfTrue="1" operator="notEqual">
      <formula>0</formula>
    </cfRule>
  </conditionalFormatting>
  <conditionalFormatting sqref="O293">
    <cfRule type="expression" dxfId="2949" priority="7451" stopIfTrue="1">
      <formula>OR($O$293="F/S",$O$293="")</formula>
    </cfRule>
    <cfRule type="cellIs" dxfId="2948" priority="7452" stopIfTrue="1" operator="notEqual">
      <formula>0</formula>
    </cfRule>
  </conditionalFormatting>
  <conditionalFormatting sqref="L130">
    <cfRule type="expression" dxfId="2947" priority="7453" stopIfTrue="1">
      <formula>OR($L$130="F/S",$L$130="")</formula>
    </cfRule>
    <cfRule type="cellIs" dxfId="2946" priority="7454" stopIfTrue="1" operator="notEqual">
      <formula>0</formula>
    </cfRule>
  </conditionalFormatting>
  <conditionalFormatting sqref="O130">
    <cfRule type="expression" dxfId="2945" priority="7455" stopIfTrue="1">
      <formula>OR($O$130="F/S",$O$130="")</formula>
    </cfRule>
    <cfRule type="cellIs" dxfId="2944" priority="7456" stopIfTrue="1" operator="notEqual">
      <formula>0</formula>
    </cfRule>
  </conditionalFormatting>
  <conditionalFormatting sqref="L317">
    <cfRule type="expression" dxfId="2943" priority="7457" stopIfTrue="1">
      <formula>OR($L$317="F/S",$L$317="")</formula>
    </cfRule>
    <cfRule type="cellIs" dxfId="2942" priority="7458" stopIfTrue="1" operator="notEqual">
      <formula>0</formula>
    </cfRule>
  </conditionalFormatting>
  <conditionalFormatting sqref="O317">
    <cfRule type="expression" dxfId="2941" priority="7459" stopIfTrue="1">
      <formula>OR($O$317="F/S",$O$317="")</formula>
    </cfRule>
    <cfRule type="cellIs" dxfId="2940" priority="7460" stopIfTrue="1" operator="notEqual">
      <formula>0</formula>
    </cfRule>
  </conditionalFormatting>
  <conditionalFormatting sqref="L334">
    <cfRule type="expression" dxfId="2939" priority="7461" stopIfTrue="1">
      <formula>OR($L$334="F/S",$L$334="")</formula>
    </cfRule>
    <cfRule type="cellIs" dxfId="2938" priority="7462" stopIfTrue="1" operator="notEqual">
      <formula>0</formula>
    </cfRule>
  </conditionalFormatting>
  <conditionalFormatting sqref="O334">
    <cfRule type="expression" dxfId="2937" priority="7463" stopIfTrue="1">
      <formula>OR($O$334="F/S",$O$334="")</formula>
    </cfRule>
    <cfRule type="cellIs" dxfId="2936" priority="7464" stopIfTrue="1" operator="notEqual">
      <formula>0</formula>
    </cfRule>
  </conditionalFormatting>
  <conditionalFormatting sqref="L430">
    <cfRule type="expression" dxfId="2935" priority="7465" stopIfTrue="1">
      <formula>OR($L$430="F/S",$L$430="")</formula>
    </cfRule>
    <cfRule type="cellIs" dxfId="2934" priority="7466" stopIfTrue="1" operator="notEqual">
      <formula>0</formula>
    </cfRule>
  </conditionalFormatting>
  <conditionalFormatting sqref="O430">
    <cfRule type="expression" dxfId="2933" priority="7467" stopIfTrue="1">
      <formula>OR($O$430="F/S",$O$430="")</formula>
    </cfRule>
    <cfRule type="cellIs" dxfId="2932" priority="7468" stopIfTrue="1" operator="notEqual">
      <formula>0</formula>
    </cfRule>
  </conditionalFormatting>
  <conditionalFormatting sqref="L356">
    <cfRule type="expression" dxfId="2931" priority="7469" stopIfTrue="1">
      <formula>OR($L$356="F/S",$L$356="")</formula>
    </cfRule>
    <cfRule type="cellIs" dxfId="2930" priority="7470" stopIfTrue="1" operator="notEqual">
      <formula>0</formula>
    </cfRule>
  </conditionalFormatting>
  <conditionalFormatting sqref="O356">
    <cfRule type="expression" dxfId="2929" priority="7471" stopIfTrue="1">
      <formula>OR($O$356="F/S",$O$356="")</formula>
    </cfRule>
    <cfRule type="cellIs" dxfId="2928" priority="7472" stopIfTrue="1" operator="notEqual">
      <formula>0</formula>
    </cfRule>
  </conditionalFormatting>
  <conditionalFormatting sqref="L378">
    <cfRule type="expression" dxfId="2927" priority="7473" stopIfTrue="1">
      <formula>OR($L$378="F/S",$L$378="")</formula>
    </cfRule>
    <cfRule type="cellIs" dxfId="2926" priority="7474" stopIfTrue="1" operator="notEqual">
      <formula>0</formula>
    </cfRule>
  </conditionalFormatting>
  <conditionalFormatting sqref="O378">
    <cfRule type="expression" dxfId="2925" priority="7475" stopIfTrue="1">
      <formula>OR($O$378="F/S",$O$378="")</formula>
    </cfRule>
    <cfRule type="cellIs" dxfId="2924" priority="7476" stopIfTrue="1" operator="notEqual">
      <formula>0</formula>
    </cfRule>
  </conditionalFormatting>
  <conditionalFormatting sqref="L400">
    <cfRule type="expression" dxfId="2923" priority="7477" stopIfTrue="1">
      <formula>OR($L$400="F/S",$L$400="")</formula>
    </cfRule>
    <cfRule type="cellIs" dxfId="2922" priority="7478" stopIfTrue="1" operator="notEqual">
      <formula>0</formula>
    </cfRule>
  </conditionalFormatting>
  <conditionalFormatting sqref="O400">
    <cfRule type="expression" dxfId="2921" priority="7479" stopIfTrue="1">
      <formula>OR($O$400="F/S",$O$400="")</formula>
    </cfRule>
    <cfRule type="cellIs" dxfId="2920" priority="7480" stopIfTrue="1" operator="notEqual">
      <formula>0</formula>
    </cfRule>
  </conditionalFormatting>
  <conditionalFormatting sqref="L515">
    <cfRule type="expression" dxfId="2919" priority="7481" stopIfTrue="1">
      <formula>OR($L$515="F/S",$L$515="")</formula>
    </cfRule>
    <cfRule type="cellIs" dxfId="2918" priority="7482" stopIfTrue="1" operator="notEqual">
      <formula>0</formula>
    </cfRule>
  </conditionalFormatting>
  <conditionalFormatting sqref="O515">
    <cfRule type="expression" dxfId="2917" priority="7483" stopIfTrue="1">
      <formula>OR($O$515="F/S",$O$515="")</formula>
    </cfRule>
    <cfRule type="cellIs" dxfId="2916" priority="7484" stopIfTrue="1" operator="notEqual">
      <formula>0</formula>
    </cfRule>
  </conditionalFormatting>
  <conditionalFormatting sqref="L535">
    <cfRule type="expression" dxfId="2915" priority="7485" stopIfTrue="1">
      <formula>OR($L$535="F/S",$L$535="")</formula>
    </cfRule>
    <cfRule type="cellIs" dxfId="2914" priority="7486" stopIfTrue="1" operator="notEqual">
      <formula>0</formula>
    </cfRule>
  </conditionalFormatting>
  <conditionalFormatting sqref="O535">
    <cfRule type="expression" dxfId="2913" priority="7487" stopIfTrue="1">
      <formula>OR($O$535="F/S",$O$535="")</formula>
    </cfRule>
    <cfRule type="cellIs" dxfId="2912" priority="7488" stopIfTrue="1" operator="notEqual">
      <formula>0</formula>
    </cfRule>
  </conditionalFormatting>
  <conditionalFormatting sqref="L579">
    <cfRule type="expression" dxfId="2911" priority="7489" stopIfTrue="1">
      <formula>OR($L$579="F/S",$L$579="")</formula>
    </cfRule>
    <cfRule type="cellIs" dxfId="2910" priority="7490" stopIfTrue="1" operator="notEqual">
      <formula>0</formula>
    </cfRule>
  </conditionalFormatting>
  <conditionalFormatting sqref="O579">
    <cfRule type="expression" dxfId="2909" priority="7491" stopIfTrue="1">
      <formula>OR($O$579="F/S",$O$579="")</formula>
    </cfRule>
    <cfRule type="cellIs" dxfId="2908" priority="7492" stopIfTrue="1" operator="notEqual">
      <formula>0</formula>
    </cfRule>
  </conditionalFormatting>
  <conditionalFormatting sqref="L601">
    <cfRule type="expression" dxfId="2907" priority="7493" stopIfTrue="1">
      <formula>OR($L$601="F/S",$L$601="")</formula>
    </cfRule>
    <cfRule type="cellIs" dxfId="2906" priority="7494" stopIfTrue="1" operator="notEqual">
      <formula>0</formula>
    </cfRule>
  </conditionalFormatting>
  <conditionalFormatting sqref="O601">
    <cfRule type="expression" dxfId="2905" priority="7495" stopIfTrue="1">
      <formula>OR($O$601="F/S",$O$601="")</formula>
    </cfRule>
    <cfRule type="cellIs" dxfId="2904" priority="7496" stopIfTrue="1" operator="notEqual">
      <formula>0</formula>
    </cfRule>
  </conditionalFormatting>
  <conditionalFormatting sqref="L611">
    <cfRule type="expression" dxfId="2903" priority="7497" stopIfTrue="1">
      <formula>OR($L$611="F/S",$L$611="")</formula>
    </cfRule>
    <cfRule type="cellIs" dxfId="2902" priority="7498" stopIfTrue="1" operator="notEqual">
      <formula>0</formula>
    </cfRule>
  </conditionalFormatting>
  <conditionalFormatting sqref="O611">
    <cfRule type="expression" dxfId="2901" priority="7499" stopIfTrue="1">
      <formula>OR($O$611="F/S",$O$611="")</formula>
    </cfRule>
    <cfRule type="cellIs" dxfId="2900" priority="7500" stopIfTrue="1" operator="notEqual">
      <formula>0</formula>
    </cfRule>
  </conditionalFormatting>
  <conditionalFormatting sqref="L618">
    <cfRule type="expression" dxfId="2899" priority="7501" stopIfTrue="1">
      <formula>OR($L$618="F/S",$L$618="")</formula>
    </cfRule>
    <cfRule type="cellIs" dxfId="2898" priority="7502" stopIfTrue="1" operator="notEqual">
      <formula>0</formula>
    </cfRule>
  </conditionalFormatting>
  <conditionalFormatting sqref="O618">
    <cfRule type="expression" dxfId="2897" priority="7503" stopIfTrue="1">
      <formula>OR($O$618="F/S",$O$618="")</formula>
    </cfRule>
    <cfRule type="cellIs" dxfId="2896" priority="7504" stopIfTrue="1" operator="notEqual">
      <formula>0</formula>
    </cfRule>
  </conditionalFormatting>
  <conditionalFormatting sqref="L629">
    <cfRule type="expression" dxfId="2895" priority="7505" stopIfTrue="1">
      <formula>OR($L$629="F/S",$L$629="")</formula>
    </cfRule>
    <cfRule type="cellIs" dxfId="2894" priority="7506" stopIfTrue="1" operator="notEqual">
      <formula>0</formula>
    </cfRule>
  </conditionalFormatting>
  <conditionalFormatting sqref="O629">
    <cfRule type="expression" dxfId="2893" priority="7507" stopIfTrue="1">
      <formula>OR($O$629="F/S",$O$629="")</formula>
    </cfRule>
    <cfRule type="cellIs" dxfId="2892" priority="7508" stopIfTrue="1" operator="notEqual">
      <formula>0</formula>
    </cfRule>
  </conditionalFormatting>
  <conditionalFormatting sqref="L648">
    <cfRule type="expression" dxfId="2891" priority="7509" stopIfTrue="1">
      <formula>OR($L$648="F/S",$L$648="")</formula>
    </cfRule>
    <cfRule type="cellIs" dxfId="2890" priority="7510" stopIfTrue="1" operator="notEqual">
      <formula>0</formula>
    </cfRule>
  </conditionalFormatting>
  <conditionalFormatting sqref="O648">
    <cfRule type="expression" dxfId="2889" priority="7511" stopIfTrue="1">
      <formula>OR($O$648="F/S",$O$648="")</formula>
    </cfRule>
    <cfRule type="cellIs" dxfId="2888" priority="7512" stopIfTrue="1" operator="notEqual">
      <formula>0</formula>
    </cfRule>
  </conditionalFormatting>
  <conditionalFormatting sqref="L658">
    <cfRule type="expression" dxfId="2887" priority="7513" stopIfTrue="1">
      <formula>OR($L$658="F/S",$L$658="")</formula>
    </cfRule>
    <cfRule type="cellIs" dxfId="2886" priority="7514" stopIfTrue="1" operator="notEqual">
      <formula>0</formula>
    </cfRule>
  </conditionalFormatting>
  <conditionalFormatting sqref="O658">
    <cfRule type="expression" dxfId="2885" priority="7515" stopIfTrue="1">
      <formula>OR($O$658="F/S",$O$658="")</formula>
    </cfRule>
    <cfRule type="cellIs" dxfId="2884" priority="7516" stopIfTrue="1" operator="notEqual">
      <formula>0</formula>
    </cfRule>
  </conditionalFormatting>
  <conditionalFormatting sqref="L485">
    <cfRule type="expression" dxfId="2883" priority="7517" stopIfTrue="1">
      <formula>OR($L$485="F/S",$L$485="")</formula>
    </cfRule>
    <cfRule type="cellIs" dxfId="2882" priority="7518" stopIfTrue="1" operator="notEqual">
      <formula>0</formula>
    </cfRule>
  </conditionalFormatting>
  <conditionalFormatting sqref="O485">
    <cfRule type="expression" dxfId="2881" priority="7519" stopIfTrue="1">
      <formula>OR($O$485="F/S",$O$485="")</formula>
    </cfRule>
    <cfRule type="cellIs" dxfId="2880" priority="7520" stopIfTrue="1" operator="notEqual">
      <formula>0</formula>
    </cfRule>
  </conditionalFormatting>
  <conditionalFormatting sqref="L500">
    <cfRule type="expression" dxfId="2879" priority="7521" stopIfTrue="1">
      <formula>OR($L$500="F/S",$L$500="")</formula>
    </cfRule>
    <cfRule type="cellIs" dxfId="2878" priority="7522" stopIfTrue="1" operator="notEqual">
      <formula>0</formula>
    </cfRule>
  </conditionalFormatting>
  <conditionalFormatting sqref="O500">
    <cfRule type="expression" dxfId="2877" priority="7523" stopIfTrue="1">
      <formula>OR($O$500="F/S",$O$500="")</formula>
    </cfRule>
    <cfRule type="cellIs" dxfId="2876" priority="7524" stopIfTrue="1" operator="notEqual">
      <formula>0</formula>
    </cfRule>
  </conditionalFormatting>
  <conditionalFormatting sqref="L559">
    <cfRule type="expression" dxfId="2875" priority="7525" stopIfTrue="1">
      <formula>OR($L$559="F/S",$L$559="")</formula>
    </cfRule>
    <cfRule type="cellIs" dxfId="2874" priority="7526" stopIfTrue="1" operator="notEqual">
      <formula>0</formula>
    </cfRule>
  </conditionalFormatting>
  <conditionalFormatting sqref="O559">
    <cfRule type="expression" dxfId="2873" priority="7527" stopIfTrue="1">
      <formula>OR($O$559="F/S",$O$559="")</formula>
    </cfRule>
    <cfRule type="cellIs" dxfId="2872" priority="7528" stopIfTrue="1" operator="notEqual">
      <formula>0</formula>
    </cfRule>
  </conditionalFormatting>
  <conditionalFormatting sqref="L569">
    <cfRule type="expression" dxfId="2871" priority="7529" stopIfTrue="1">
      <formula>OR($L$569="F/S",$L$569="")</formula>
    </cfRule>
    <cfRule type="cellIs" dxfId="2870" priority="7530" stopIfTrue="1" operator="notEqual">
      <formula>0</formula>
    </cfRule>
  </conditionalFormatting>
  <conditionalFormatting sqref="O569">
    <cfRule type="expression" dxfId="2869" priority="7531" stopIfTrue="1">
      <formula>OR($O$569="F/S",$O$569="")</formula>
    </cfRule>
    <cfRule type="cellIs" dxfId="2868" priority="7532" stopIfTrue="1" operator="notEqual">
      <formula>0</formula>
    </cfRule>
  </conditionalFormatting>
  <conditionalFormatting sqref="L668">
    <cfRule type="expression" dxfId="2867" priority="7537" stopIfTrue="1">
      <formula>OR($L$668="F/S",$L$668="")</formula>
    </cfRule>
    <cfRule type="cellIs" dxfId="2866" priority="7538" stopIfTrue="1" operator="notEqual">
      <formula>0</formula>
    </cfRule>
  </conditionalFormatting>
  <conditionalFormatting sqref="O668">
    <cfRule type="expression" dxfId="2865" priority="7539" stopIfTrue="1">
      <formula>OR($O$668="F/S",$O$668="")</formula>
    </cfRule>
    <cfRule type="cellIs" dxfId="2864" priority="7540" stopIfTrue="1" operator="notEqual">
      <formula>0</formula>
    </cfRule>
  </conditionalFormatting>
  <conditionalFormatting sqref="L678">
    <cfRule type="expression" dxfId="2863" priority="7541" stopIfTrue="1">
      <formula>OR($L$678="F/S",$L$678="")</formula>
    </cfRule>
    <cfRule type="cellIs" dxfId="2862" priority="7542" stopIfTrue="1" operator="notEqual">
      <formula>0</formula>
    </cfRule>
  </conditionalFormatting>
  <conditionalFormatting sqref="O678">
    <cfRule type="expression" dxfId="2861" priority="7543" stopIfTrue="1">
      <formula>OR($O$678="F/S",$O$678="")</formula>
    </cfRule>
    <cfRule type="cellIs" dxfId="2860" priority="7544" stopIfTrue="1" operator="notEqual">
      <formula>0</formula>
    </cfRule>
  </conditionalFormatting>
  <conditionalFormatting sqref="L688">
    <cfRule type="expression" dxfId="2859" priority="7545" stopIfTrue="1">
      <formula>OR($L$688="F/S",$L$688="")</formula>
    </cfRule>
    <cfRule type="cellIs" dxfId="2858" priority="7546" stopIfTrue="1" operator="notEqual">
      <formula>0</formula>
    </cfRule>
  </conditionalFormatting>
  <conditionalFormatting sqref="O688">
    <cfRule type="expression" dxfId="2857" priority="7547" stopIfTrue="1">
      <formula>OR($O$688="F/S",$O$688="")</formula>
    </cfRule>
    <cfRule type="cellIs" dxfId="2856" priority="7548" stopIfTrue="1" operator="notEqual">
      <formula>0</formula>
    </cfRule>
  </conditionalFormatting>
  <conditionalFormatting sqref="L698">
    <cfRule type="expression" dxfId="2855" priority="7553" stopIfTrue="1">
      <formula>OR($L$698="F/S",$L$698="")</formula>
    </cfRule>
    <cfRule type="cellIs" dxfId="2854" priority="7554" stopIfTrue="1" operator="notEqual">
      <formula>0</formula>
    </cfRule>
  </conditionalFormatting>
  <conditionalFormatting sqref="O698">
    <cfRule type="expression" dxfId="2853" priority="7555" stopIfTrue="1">
      <formula>OR($O$698="F/S",$O$698="")</formula>
    </cfRule>
    <cfRule type="cellIs" dxfId="2852" priority="7556" stopIfTrue="1" operator="notEqual">
      <formula>0</formula>
    </cfRule>
  </conditionalFormatting>
  <conditionalFormatting sqref="L706">
    <cfRule type="expression" dxfId="2851" priority="7557" stopIfTrue="1">
      <formula>OR($L$706="F/S",$L$706="")</formula>
    </cfRule>
    <cfRule type="cellIs" dxfId="2850" priority="7558" stopIfTrue="1" operator="notEqual">
      <formula>0</formula>
    </cfRule>
  </conditionalFormatting>
  <conditionalFormatting sqref="O706">
    <cfRule type="expression" dxfId="2849" priority="7559" stopIfTrue="1">
      <formula>OR($O$706="F/S",$O$706="")</formula>
    </cfRule>
    <cfRule type="cellIs" dxfId="2848" priority="7560" stopIfTrue="1" operator="notEqual">
      <formula>0</formula>
    </cfRule>
  </conditionalFormatting>
  <conditionalFormatting sqref="L721">
    <cfRule type="expression" dxfId="2847" priority="7561" stopIfTrue="1">
      <formula>OR($L$721="F/S",$L$721="")</formula>
    </cfRule>
    <cfRule type="cellIs" dxfId="2846" priority="7562" stopIfTrue="1" operator="notEqual">
      <formula>0</formula>
    </cfRule>
  </conditionalFormatting>
  <conditionalFormatting sqref="O721">
    <cfRule type="expression" dxfId="2845" priority="7563" stopIfTrue="1">
      <formula>OR($O$721="F/S",$O$721="")</formula>
    </cfRule>
    <cfRule type="cellIs" dxfId="2844" priority="7564" stopIfTrue="1" operator="notEqual">
      <formula>0</formula>
    </cfRule>
  </conditionalFormatting>
  <conditionalFormatting sqref="L740">
    <cfRule type="expression" dxfId="2843" priority="7565" stopIfTrue="1">
      <formula>OR($L$740="F/S",$L$740="")</formula>
    </cfRule>
    <cfRule type="cellIs" dxfId="2842" priority="7566" stopIfTrue="1" operator="notEqual">
      <formula>0</formula>
    </cfRule>
  </conditionalFormatting>
  <conditionalFormatting sqref="O740">
    <cfRule type="expression" dxfId="2841" priority="7567" stopIfTrue="1">
      <formula>OR($O$740="F/S",$O$740="")</formula>
    </cfRule>
    <cfRule type="cellIs" dxfId="2840" priority="7568" stopIfTrue="1" operator="notEqual">
      <formula>0</formula>
    </cfRule>
  </conditionalFormatting>
  <conditionalFormatting sqref="L848">
    <cfRule type="expression" dxfId="2839" priority="7569" stopIfTrue="1">
      <formula>OR($L$848="F/S",$L$848="")</formula>
    </cfRule>
    <cfRule type="cellIs" dxfId="2838" priority="7570" stopIfTrue="1" operator="notEqual">
      <formula>0</formula>
    </cfRule>
  </conditionalFormatting>
  <conditionalFormatting sqref="O848">
    <cfRule type="expression" dxfId="2837" priority="7571" stopIfTrue="1">
      <formula>OR($O$848="F/S",$O$848="")</formula>
    </cfRule>
    <cfRule type="cellIs" dxfId="2836" priority="7572" stopIfTrue="1" operator="notEqual">
      <formula>0</formula>
    </cfRule>
  </conditionalFormatting>
  <conditionalFormatting sqref="L859">
    <cfRule type="expression" dxfId="2835" priority="7573" stopIfTrue="1">
      <formula>OR($L$859="F/S",$L$859="")</formula>
    </cfRule>
    <cfRule type="cellIs" dxfId="2834" priority="7574" stopIfTrue="1" operator="notEqual">
      <formula>0</formula>
    </cfRule>
  </conditionalFormatting>
  <conditionalFormatting sqref="O859">
    <cfRule type="expression" dxfId="2833" priority="7575" stopIfTrue="1">
      <formula>OR($O$859="F/S",$O$859="")</formula>
    </cfRule>
    <cfRule type="cellIs" dxfId="2832" priority="7576" stopIfTrue="1" operator="notEqual">
      <formula>0</formula>
    </cfRule>
  </conditionalFormatting>
  <conditionalFormatting sqref="L871">
    <cfRule type="expression" dxfId="2831" priority="7577" stopIfTrue="1">
      <formula>OR($L$871="F/S",$L$871="")</formula>
    </cfRule>
    <cfRule type="cellIs" dxfId="2830" priority="7578" stopIfTrue="1" operator="notEqual">
      <formula>0</formula>
    </cfRule>
  </conditionalFormatting>
  <conditionalFormatting sqref="O871">
    <cfRule type="expression" dxfId="2829" priority="7579" stopIfTrue="1">
      <formula>OR($O$871="F/S",$O$871="")</formula>
    </cfRule>
    <cfRule type="cellIs" dxfId="2828" priority="7580" stopIfTrue="1" operator="notEqual">
      <formula>0</formula>
    </cfRule>
  </conditionalFormatting>
  <conditionalFormatting sqref="L890">
    <cfRule type="expression" dxfId="2827" priority="7581" stopIfTrue="1">
      <formula>OR($L$890="F/S",$L$890="")</formula>
    </cfRule>
    <cfRule type="cellIs" dxfId="2826" priority="7582" stopIfTrue="1" operator="notEqual">
      <formula>0</formula>
    </cfRule>
  </conditionalFormatting>
  <conditionalFormatting sqref="O890">
    <cfRule type="expression" dxfId="2825" priority="7583" stopIfTrue="1">
      <formula>OR($O$890="F/S",$O$890="")</formula>
    </cfRule>
    <cfRule type="cellIs" dxfId="2824" priority="7584" stopIfTrue="1" operator="notEqual">
      <formula>0</formula>
    </cfRule>
  </conditionalFormatting>
  <conditionalFormatting sqref="L910">
    <cfRule type="expression" dxfId="2823" priority="7589" stopIfTrue="1">
      <formula>OR($L$910="F/S",$L$910="")</formula>
    </cfRule>
    <cfRule type="cellIs" dxfId="2822" priority="7590" stopIfTrue="1" operator="notEqual">
      <formula>0</formula>
    </cfRule>
  </conditionalFormatting>
  <conditionalFormatting sqref="O910">
    <cfRule type="expression" dxfId="2821" priority="7591" stopIfTrue="1">
      <formula>OR($O$910="F/S",$O$910="")</formula>
    </cfRule>
    <cfRule type="cellIs" dxfId="2820" priority="7592" stopIfTrue="1" operator="notEqual">
      <formula>0</formula>
    </cfRule>
  </conditionalFormatting>
  <conditionalFormatting sqref="L900">
    <cfRule type="expression" dxfId="2819" priority="7593" stopIfTrue="1">
      <formula>OR($L$900="F/S",$L$900="")</formula>
    </cfRule>
    <cfRule type="cellIs" dxfId="2818" priority="7594" stopIfTrue="1" operator="notEqual">
      <formula>0</formula>
    </cfRule>
  </conditionalFormatting>
  <conditionalFormatting sqref="O900">
    <cfRule type="expression" dxfId="2817" priority="7595" stopIfTrue="1">
      <formula>OR($O$900="F/S",$O$900="")</formula>
    </cfRule>
    <cfRule type="cellIs" dxfId="2816" priority="7596" stopIfTrue="1" operator="notEqual">
      <formula>0</formula>
    </cfRule>
  </conditionalFormatting>
  <conditionalFormatting sqref="L934">
    <cfRule type="expression" dxfId="2815" priority="7601" stopIfTrue="1">
      <formula>OR($L$934="F/S",$L$934="")</formula>
    </cfRule>
    <cfRule type="cellIs" dxfId="2814" priority="7602" stopIfTrue="1" operator="notEqual">
      <formula>0</formula>
    </cfRule>
  </conditionalFormatting>
  <conditionalFormatting sqref="O934">
    <cfRule type="expression" dxfId="2813" priority="7603" stopIfTrue="1">
      <formula>OR($O$934="F/S",$O$934="")</formula>
    </cfRule>
    <cfRule type="cellIs" dxfId="2812" priority="7604" stopIfTrue="1" operator="notEqual">
      <formula>0</formula>
    </cfRule>
  </conditionalFormatting>
  <conditionalFormatting sqref="L944">
    <cfRule type="expression" dxfId="2811" priority="7605" stopIfTrue="1">
      <formula>OR($L$944="F/S",$L$944="")</formula>
    </cfRule>
    <cfRule type="cellIs" dxfId="2810" priority="7606" stopIfTrue="1" operator="notEqual">
      <formula>0</formula>
    </cfRule>
  </conditionalFormatting>
  <conditionalFormatting sqref="O944">
    <cfRule type="expression" dxfId="2809" priority="7607" stopIfTrue="1">
      <formula>OR($O$944="F/S",$O$944="")</formula>
    </cfRule>
    <cfRule type="cellIs" dxfId="2808" priority="7608" stopIfTrue="1" operator="notEqual">
      <formula>0</formula>
    </cfRule>
  </conditionalFormatting>
  <conditionalFormatting sqref="L956">
    <cfRule type="expression" dxfId="2807" priority="7609" stopIfTrue="1">
      <formula>OR($L$956="F/S",$L$956="")</formula>
    </cfRule>
    <cfRule type="cellIs" dxfId="2806" priority="7610" stopIfTrue="1" operator="notEqual">
      <formula>0</formula>
    </cfRule>
  </conditionalFormatting>
  <conditionalFormatting sqref="O956">
    <cfRule type="expression" dxfId="2805" priority="7611" stopIfTrue="1">
      <formula>OR($O$956="F/S",$O$956="")</formula>
    </cfRule>
    <cfRule type="cellIs" dxfId="2804" priority="7612" stopIfTrue="1" operator="notEqual">
      <formula>0</formula>
    </cfRule>
  </conditionalFormatting>
  <conditionalFormatting sqref="L967">
    <cfRule type="expression" dxfId="2803" priority="7613" stopIfTrue="1">
      <formula>OR($L$967="F/S",$L$967="")</formula>
    </cfRule>
    <cfRule type="cellIs" dxfId="2802" priority="7614" stopIfTrue="1" operator="notEqual">
      <formula>0</formula>
    </cfRule>
  </conditionalFormatting>
  <conditionalFormatting sqref="O967">
    <cfRule type="expression" dxfId="2801" priority="7615" stopIfTrue="1">
      <formula>OR($O$967="F/S",$O$967="")</formula>
    </cfRule>
    <cfRule type="cellIs" dxfId="2800" priority="7616" stopIfTrue="1" operator="notEqual">
      <formula>0</formula>
    </cfRule>
  </conditionalFormatting>
  <conditionalFormatting sqref="L977">
    <cfRule type="expression" dxfId="2799" priority="7617" stopIfTrue="1">
      <formula>OR($L$977="F/S",$L$977="")</formula>
    </cfRule>
    <cfRule type="cellIs" dxfId="2798" priority="7618" stopIfTrue="1" operator="notEqual">
      <formula>0</formula>
    </cfRule>
  </conditionalFormatting>
  <conditionalFormatting sqref="O977">
    <cfRule type="expression" dxfId="2797" priority="7619" stopIfTrue="1">
      <formula>OR($O$977="F/S",$O$977="")</formula>
    </cfRule>
    <cfRule type="cellIs" dxfId="2796" priority="7620" stopIfTrue="1" operator="notEqual">
      <formula>0</formula>
    </cfRule>
  </conditionalFormatting>
  <conditionalFormatting sqref="L988">
    <cfRule type="expression" dxfId="2795" priority="7621" stopIfTrue="1">
      <formula>OR($L$988="F/S",$L$988="")</formula>
    </cfRule>
    <cfRule type="cellIs" dxfId="2794" priority="7622" stopIfTrue="1" operator="notEqual">
      <formula>0</formula>
    </cfRule>
  </conditionalFormatting>
  <conditionalFormatting sqref="O988">
    <cfRule type="expression" dxfId="2793" priority="7623" stopIfTrue="1">
      <formula>OR($O$988="F/S",$O$988="")</formula>
    </cfRule>
    <cfRule type="cellIs" dxfId="2792" priority="7624" stopIfTrue="1" operator="notEqual">
      <formula>0</formula>
    </cfRule>
  </conditionalFormatting>
  <conditionalFormatting sqref="L1013">
    <cfRule type="expression" dxfId="2791" priority="7625" stopIfTrue="1">
      <formula>OR($L$1013="F/S",$L$1013="")</formula>
    </cfRule>
    <cfRule type="cellIs" dxfId="2790" priority="7626" stopIfTrue="1" operator="notEqual">
      <formula>0</formula>
    </cfRule>
  </conditionalFormatting>
  <conditionalFormatting sqref="O1013">
    <cfRule type="expression" dxfId="2789" priority="7627" stopIfTrue="1">
      <formula>OR($O$1013="F/S",$O$1013="")</formula>
    </cfRule>
    <cfRule type="cellIs" dxfId="2788" priority="7628" stopIfTrue="1" operator="notEqual">
      <formula>0</formula>
    </cfRule>
  </conditionalFormatting>
  <conditionalFormatting sqref="L1043">
    <cfRule type="expression" dxfId="2787" priority="7629" stopIfTrue="1">
      <formula>OR($L$1043="F/S",$L$1043="")</formula>
    </cfRule>
    <cfRule type="cellIs" dxfId="2786" priority="7630" stopIfTrue="1" operator="notEqual">
      <formula>0</formula>
    </cfRule>
  </conditionalFormatting>
  <conditionalFormatting sqref="O1043">
    <cfRule type="expression" dxfId="2785" priority="7631" stopIfTrue="1">
      <formula>OR($O$1043="F/S",$O$1043="")</formula>
    </cfRule>
    <cfRule type="cellIs" dxfId="2784" priority="7632" stopIfTrue="1" operator="notEqual">
      <formula>0</formula>
    </cfRule>
  </conditionalFormatting>
  <conditionalFormatting sqref="L1219">
    <cfRule type="expression" dxfId="2783" priority="7633" stopIfTrue="1">
      <formula>OR($L$1219="F/S",$L$1219="")</formula>
    </cfRule>
    <cfRule type="cellIs" dxfId="2782" priority="7634" stopIfTrue="1" operator="notEqual">
      <formula>0</formula>
    </cfRule>
  </conditionalFormatting>
  <conditionalFormatting sqref="O1219">
    <cfRule type="expression" dxfId="2781" priority="7635" stopIfTrue="1">
      <formula>OR($O$1219="F/S",$O$1219="")</formula>
    </cfRule>
    <cfRule type="cellIs" dxfId="2780" priority="7636" stopIfTrue="1" operator="notEqual">
      <formula>0</formula>
    </cfRule>
  </conditionalFormatting>
  <conditionalFormatting sqref="L1307">
    <cfRule type="expression" dxfId="2779" priority="7637" stopIfTrue="1">
      <formula>OR($L$1307="F/S",$L$1307="")</formula>
    </cfRule>
    <cfRule type="cellIs" dxfId="2778" priority="7638" stopIfTrue="1" operator="notEqual">
      <formula>0</formula>
    </cfRule>
  </conditionalFormatting>
  <conditionalFormatting sqref="O1307">
    <cfRule type="expression" dxfId="2777" priority="7639" stopIfTrue="1">
      <formula>OR($O$1307="F/S",$O$1307="")</formula>
    </cfRule>
    <cfRule type="cellIs" dxfId="2776" priority="7640" stopIfTrue="1" operator="notEqual">
      <formula>0</formula>
    </cfRule>
  </conditionalFormatting>
  <conditionalFormatting sqref="L1409">
    <cfRule type="expression" dxfId="2775" priority="7641" stopIfTrue="1">
      <formula>OR($L$1409="F/S",$L$1409="")</formula>
    </cfRule>
    <cfRule type="cellIs" dxfId="2774" priority="7642" stopIfTrue="1" operator="notEqual">
      <formula>0</formula>
    </cfRule>
  </conditionalFormatting>
  <conditionalFormatting sqref="O1409">
    <cfRule type="expression" dxfId="2773" priority="7643" stopIfTrue="1">
      <formula>OR($O$1409="F/S",$O$1409="")</formula>
    </cfRule>
    <cfRule type="cellIs" dxfId="2772" priority="7644" stopIfTrue="1" operator="notEqual">
      <formula>0</formula>
    </cfRule>
  </conditionalFormatting>
  <conditionalFormatting sqref="L1116">
    <cfRule type="expression" dxfId="2771" priority="7645" stopIfTrue="1">
      <formula>OR($L$1116="F/S",$L$1116="")</formula>
    </cfRule>
    <cfRule type="cellIs" dxfId="2770" priority="7646" stopIfTrue="1" operator="notEqual">
      <formula>0</formula>
    </cfRule>
  </conditionalFormatting>
  <conditionalFormatting sqref="O1116">
    <cfRule type="expression" dxfId="2769" priority="7647" stopIfTrue="1">
      <formula>OR($O$1116="F/S",$O$1116="")</formula>
    </cfRule>
    <cfRule type="cellIs" dxfId="2768" priority="7648" stopIfTrue="1" operator="notEqual">
      <formula>0</formula>
    </cfRule>
  </conditionalFormatting>
  <conditionalFormatting sqref="L1326">
    <cfRule type="expression" dxfId="2767" priority="7649" stopIfTrue="1">
      <formula>OR($L$1326="F/S",$L$1326="")</formula>
    </cfRule>
    <cfRule type="cellIs" dxfId="2766" priority="7650" stopIfTrue="1" operator="notEqual">
      <formula>0</formula>
    </cfRule>
  </conditionalFormatting>
  <conditionalFormatting sqref="O1326">
    <cfRule type="expression" dxfId="2765" priority="7651" stopIfTrue="1">
      <formula>OR($O$1326="F/S",$O$1326="")</formula>
    </cfRule>
    <cfRule type="cellIs" dxfId="2764" priority="7652" stopIfTrue="1" operator="notEqual">
      <formula>0</formula>
    </cfRule>
  </conditionalFormatting>
  <conditionalFormatting sqref="L1348">
    <cfRule type="expression" dxfId="2763" priority="7653" stopIfTrue="1">
      <formula>OR($L$1348="F/S",$L$1348="")</formula>
    </cfRule>
    <cfRule type="cellIs" dxfId="2762" priority="7654" stopIfTrue="1" operator="notEqual">
      <formula>0</formula>
    </cfRule>
  </conditionalFormatting>
  <conditionalFormatting sqref="O1348">
    <cfRule type="expression" dxfId="2761" priority="7655" stopIfTrue="1">
      <formula>OR($O$1348="F/S",$O$1348="")</formula>
    </cfRule>
    <cfRule type="cellIs" dxfId="2760" priority="7656" stopIfTrue="1" operator="notEqual">
      <formula>0</formula>
    </cfRule>
  </conditionalFormatting>
  <conditionalFormatting sqref="L1469">
    <cfRule type="expression" dxfId="2759" priority="7657" stopIfTrue="1">
      <formula>OR($L$1469="F/S",$L$1469="")</formula>
    </cfRule>
    <cfRule type="cellIs" dxfId="2758" priority="7658" stopIfTrue="1" operator="notEqual">
      <formula>0</formula>
    </cfRule>
  </conditionalFormatting>
  <conditionalFormatting sqref="O1469">
    <cfRule type="expression" dxfId="2757" priority="7659" stopIfTrue="1">
      <formula>OR($O$1469="F/S",$O$1469="")</formula>
    </cfRule>
    <cfRule type="cellIs" dxfId="2756" priority="7660" stopIfTrue="1" operator="notEqual">
      <formula>0</formula>
    </cfRule>
  </conditionalFormatting>
  <conditionalFormatting sqref="L1510">
    <cfRule type="expression" dxfId="2755" priority="7661" stopIfTrue="1">
      <formula>OR($L$1510="F/S",$L$1510="")</formula>
    </cfRule>
    <cfRule type="cellIs" dxfId="2754" priority="7662" stopIfTrue="1" operator="notEqual">
      <formula>0</formula>
    </cfRule>
  </conditionalFormatting>
  <conditionalFormatting sqref="O1510">
    <cfRule type="expression" dxfId="2753" priority="7663" stopIfTrue="1">
      <formula>OR($O$1510="F/S",$O$1510="")</formula>
    </cfRule>
    <cfRule type="cellIs" dxfId="2752" priority="7664" stopIfTrue="1" operator="notEqual">
      <formula>0</formula>
    </cfRule>
  </conditionalFormatting>
  <conditionalFormatting sqref="L1520">
    <cfRule type="expression" dxfId="2751" priority="7665" stopIfTrue="1">
      <formula>OR($L$1520="F/S",$L$1520="")</formula>
    </cfRule>
    <cfRule type="cellIs" dxfId="2750" priority="7666" stopIfTrue="1" operator="notEqual">
      <formula>0</formula>
    </cfRule>
  </conditionalFormatting>
  <conditionalFormatting sqref="O1520">
    <cfRule type="expression" dxfId="2749" priority="7667" stopIfTrue="1">
      <formula>OR($O$1520="F/S",$O$1520="")</formula>
    </cfRule>
    <cfRule type="cellIs" dxfId="2748" priority="7668" stopIfTrue="1" operator="notEqual">
      <formula>0</formula>
    </cfRule>
  </conditionalFormatting>
  <conditionalFormatting sqref="L1527">
    <cfRule type="expression" dxfId="2747" priority="7669" stopIfTrue="1">
      <formula>OR($L$1527="F/S",$L$1527="")</formula>
    </cfRule>
    <cfRule type="cellIs" dxfId="2746" priority="7670" stopIfTrue="1" operator="notEqual">
      <formula>0</formula>
    </cfRule>
  </conditionalFormatting>
  <conditionalFormatting sqref="O1527">
    <cfRule type="expression" dxfId="2745" priority="7671" stopIfTrue="1">
      <formula>OR($O$1527="F/S",$O$1527="")</formula>
    </cfRule>
    <cfRule type="cellIs" dxfId="2744" priority="7672" stopIfTrue="1" operator="notEqual">
      <formula>0</formula>
    </cfRule>
  </conditionalFormatting>
  <conditionalFormatting sqref="L1538">
    <cfRule type="expression" dxfId="2743" priority="7673" stopIfTrue="1">
      <formula>OR($L$1538="F/S",$L$1538="")</formula>
    </cfRule>
    <cfRule type="cellIs" dxfId="2742" priority="7674" stopIfTrue="1" operator="notEqual">
      <formula>0</formula>
    </cfRule>
  </conditionalFormatting>
  <conditionalFormatting sqref="O1538">
    <cfRule type="expression" dxfId="2741" priority="7675" stopIfTrue="1">
      <formula>OR($O$1538="F/S",$O$1538="")</formula>
    </cfRule>
    <cfRule type="cellIs" dxfId="2740" priority="7676" stopIfTrue="1" operator="notEqual">
      <formula>0</formula>
    </cfRule>
  </conditionalFormatting>
  <conditionalFormatting sqref="L1557">
    <cfRule type="expression" dxfId="2739" priority="7677" stopIfTrue="1">
      <formula>OR($L$1557="F/S",$L$1557="")</formula>
    </cfRule>
    <cfRule type="cellIs" dxfId="2738" priority="7678" stopIfTrue="1" operator="notEqual">
      <formula>0</formula>
    </cfRule>
  </conditionalFormatting>
  <conditionalFormatting sqref="O1557">
    <cfRule type="expression" dxfId="2737" priority="7679" stopIfTrue="1">
      <formula>OR($O$1557="F/S",$O$1557="")</formula>
    </cfRule>
    <cfRule type="cellIs" dxfId="2736" priority="7680" stopIfTrue="1" operator="notEqual">
      <formula>0</formula>
    </cfRule>
  </conditionalFormatting>
  <conditionalFormatting sqref="L1567">
    <cfRule type="expression" dxfId="2735" priority="7681" stopIfTrue="1">
      <formula>OR($L$1567="F/S",$L$1567="")</formula>
    </cfRule>
    <cfRule type="cellIs" dxfId="2734" priority="7682" stopIfTrue="1" operator="notEqual">
      <formula>0</formula>
    </cfRule>
  </conditionalFormatting>
  <conditionalFormatting sqref="O1567">
    <cfRule type="expression" dxfId="2733" priority="7683" stopIfTrue="1">
      <formula>OR($O$1567="F/S",$O$1567="")</formula>
    </cfRule>
    <cfRule type="cellIs" dxfId="2732" priority="7684" stopIfTrue="1" operator="notEqual">
      <formula>0</formula>
    </cfRule>
  </conditionalFormatting>
  <conditionalFormatting sqref="L1577">
    <cfRule type="expression" dxfId="2731" priority="7685" stopIfTrue="1">
      <formula>OR($L$1577="F/S",$L$1577="")</formula>
    </cfRule>
    <cfRule type="cellIs" dxfId="2730" priority="7686" stopIfTrue="1" operator="notEqual">
      <formula>0</formula>
    </cfRule>
  </conditionalFormatting>
  <conditionalFormatting sqref="O1577">
    <cfRule type="expression" dxfId="2729" priority="7687" stopIfTrue="1">
      <formula>OR($O$1577="F/S",$O$1577="")</formula>
    </cfRule>
    <cfRule type="cellIs" dxfId="2728" priority="7688" stopIfTrue="1" operator="notEqual">
      <formula>0</formula>
    </cfRule>
  </conditionalFormatting>
  <conditionalFormatting sqref="L1365">
    <cfRule type="expression" dxfId="2727" priority="7689" stopIfTrue="1">
      <formula>OR($L$1365="F/S",$L$1365="")</formula>
    </cfRule>
    <cfRule type="cellIs" dxfId="2726" priority="7690" stopIfTrue="1" operator="notEqual">
      <formula>0</formula>
    </cfRule>
  </conditionalFormatting>
  <conditionalFormatting sqref="O1365">
    <cfRule type="expression" dxfId="2725" priority="7691" stopIfTrue="1">
      <formula>OR($O$1365="F/S",$O$1365="")</formula>
    </cfRule>
    <cfRule type="cellIs" dxfId="2724" priority="7692" stopIfTrue="1" operator="notEqual">
      <formula>0</formula>
    </cfRule>
  </conditionalFormatting>
  <conditionalFormatting sqref="L1387">
    <cfRule type="expression" dxfId="2723" priority="7693" stopIfTrue="1">
      <formula>OR($L$1387="F/S",$L$1387="")</formula>
    </cfRule>
    <cfRule type="cellIs" dxfId="2722" priority="7694" stopIfTrue="1" operator="notEqual">
      <formula>0</formula>
    </cfRule>
  </conditionalFormatting>
  <conditionalFormatting sqref="O1387">
    <cfRule type="expression" dxfId="2721" priority="7695" stopIfTrue="1">
      <formula>OR($O$1387="F/S",$O$1387="")</formula>
    </cfRule>
    <cfRule type="cellIs" dxfId="2720" priority="7696" stopIfTrue="1" operator="notEqual">
      <formula>0</formula>
    </cfRule>
  </conditionalFormatting>
  <conditionalFormatting sqref="L1587">
    <cfRule type="expression" dxfId="2719" priority="7697" stopIfTrue="1">
      <formula>OR($L$1587="F/S",$L$1587="")</formula>
    </cfRule>
    <cfRule type="cellIs" dxfId="2718" priority="7698" stopIfTrue="1" operator="notEqual">
      <formula>0</formula>
    </cfRule>
  </conditionalFormatting>
  <conditionalFormatting sqref="O1587">
    <cfRule type="expression" dxfId="2717" priority="7699" stopIfTrue="1">
      <formula>OR($O$1587="F/S",$O$1587="")</formula>
    </cfRule>
    <cfRule type="cellIs" dxfId="2716" priority="7700" stopIfTrue="1" operator="notEqual">
      <formula>0</formula>
    </cfRule>
  </conditionalFormatting>
  <conditionalFormatting sqref="L1428">
    <cfRule type="expression" dxfId="2715" priority="7701" stopIfTrue="1">
      <formula>OR($L$1428="F/S",$L$1428="")</formula>
    </cfRule>
    <cfRule type="cellIs" dxfId="2714" priority="7702" stopIfTrue="1" operator="notEqual">
      <formula>0</formula>
    </cfRule>
  </conditionalFormatting>
  <conditionalFormatting sqref="O1428">
    <cfRule type="expression" dxfId="2713" priority="7703" stopIfTrue="1">
      <formula>OR($O$1428="F/S",$O$1428="")</formula>
    </cfRule>
    <cfRule type="cellIs" dxfId="2712" priority="7704" stopIfTrue="1" operator="notEqual">
      <formula>0</formula>
    </cfRule>
  </conditionalFormatting>
  <conditionalFormatting sqref="L1449">
    <cfRule type="expression" dxfId="2711" priority="7705" stopIfTrue="1">
      <formula>OR($L$1449="F/S",$L$1449="")</formula>
    </cfRule>
    <cfRule type="cellIs" dxfId="2710" priority="7706" stopIfTrue="1" operator="notEqual">
      <formula>0</formula>
    </cfRule>
  </conditionalFormatting>
  <conditionalFormatting sqref="O1449">
    <cfRule type="expression" dxfId="2709" priority="7707" stopIfTrue="1">
      <formula>OR($O$1449="F/S",$O$1449="")</formula>
    </cfRule>
    <cfRule type="cellIs" dxfId="2708" priority="7708" stopIfTrue="1" operator="notEqual">
      <formula>0</formula>
    </cfRule>
  </conditionalFormatting>
  <conditionalFormatting sqref="L1459">
    <cfRule type="expression" dxfId="2707" priority="7709" stopIfTrue="1">
      <formula>OR($L$1459="F/S",$L$1459="")</formula>
    </cfRule>
    <cfRule type="cellIs" dxfId="2706" priority="7710" stopIfTrue="1" operator="notEqual">
      <formula>0</formula>
    </cfRule>
  </conditionalFormatting>
  <conditionalFormatting sqref="O1459">
    <cfRule type="expression" dxfId="2705" priority="7711" stopIfTrue="1">
      <formula>OR($O$1459="F/S",$O$1459="")</formula>
    </cfRule>
    <cfRule type="cellIs" dxfId="2704" priority="7712" stopIfTrue="1" operator="notEqual">
      <formula>0</formula>
    </cfRule>
  </conditionalFormatting>
  <conditionalFormatting sqref="L1597">
    <cfRule type="expression" dxfId="2703" priority="7713" stopIfTrue="1">
      <formula>OR($L$1597="F/S",$L$1597="")</formula>
    </cfRule>
    <cfRule type="cellIs" dxfId="2702" priority="7714" stopIfTrue="1" operator="notEqual">
      <formula>0</formula>
    </cfRule>
  </conditionalFormatting>
  <conditionalFormatting sqref="O1597">
    <cfRule type="expression" dxfId="2701" priority="7715" stopIfTrue="1">
      <formula>OR($O$1597="F/S",$O$1597="")</formula>
    </cfRule>
    <cfRule type="cellIs" dxfId="2700" priority="7716" stopIfTrue="1" operator="notEqual">
      <formula>0</formula>
    </cfRule>
  </conditionalFormatting>
  <conditionalFormatting sqref="L1607">
    <cfRule type="expression" dxfId="2699" priority="7721" stopIfTrue="1">
      <formula>OR($L$1607="F/S",$L$1607="")</formula>
    </cfRule>
    <cfRule type="cellIs" dxfId="2698" priority="7722" stopIfTrue="1" operator="notEqual">
      <formula>0</formula>
    </cfRule>
  </conditionalFormatting>
  <conditionalFormatting sqref="O1607">
    <cfRule type="expression" dxfId="2697" priority="7723" stopIfTrue="1">
      <formula>OR($O$1607="F/S",$O$1607="")</formula>
    </cfRule>
    <cfRule type="cellIs" dxfId="2696" priority="7724" stopIfTrue="1" operator="notEqual">
      <formula>0</formula>
    </cfRule>
  </conditionalFormatting>
  <conditionalFormatting sqref="L1617">
    <cfRule type="expression" dxfId="2695" priority="7725" stopIfTrue="1">
      <formula>OR($L$1617="F/S",$L$1617="")</formula>
    </cfRule>
    <cfRule type="cellIs" dxfId="2694" priority="7726" stopIfTrue="1" operator="notEqual">
      <formula>0</formula>
    </cfRule>
  </conditionalFormatting>
  <conditionalFormatting sqref="O1617">
    <cfRule type="expression" dxfId="2693" priority="7727" stopIfTrue="1">
      <formula>OR($O$1617="F/S",$O$1617="")</formula>
    </cfRule>
    <cfRule type="cellIs" dxfId="2692" priority="7728" stopIfTrue="1" operator="notEqual">
      <formula>0</formula>
    </cfRule>
  </conditionalFormatting>
  <conditionalFormatting sqref="L1636">
    <cfRule type="expression" dxfId="2691" priority="7729" stopIfTrue="1">
      <formula>OR($L$1636="F/S",$L$1636="")</formula>
    </cfRule>
    <cfRule type="cellIs" dxfId="2690" priority="7730" stopIfTrue="1" operator="notEqual">
      <formula>0</formula>
    </cfRule>
  </conditionalFormatting>
  <conditionalFormatting sqref="O1636">
    <cfRule type="expression" dxfId="2689" priority="7731" stopIfTrue="1">
      <formula>OR($O$1636="F/S",$O$1636="")</formula>
    </cfRule>
    <cfRule type="cellIs" dxfId="2688" priority="7732" stopIfTrue="1" operator="notEqual">
      <formula>0</formula>
    </cfRule>
  </conditionalFormatting>
  <conditionalFormatting sqref="L1655">
    <cfRule type="expression" dxfId="2687" priority="7733" stopIfTrue="1">
      <formula>OR($L$1655="F/S",$L$1655="")</formula>
    </cfRule>
    <cfRule type="cellIs" dxfId="2686" priority="7734" stopIfTrue="1" operator="notEqual">
      <formula>0</formula>
    </cfRule>
  </conditionalFormatting>
  <conditionalFormatting sqref="O1655">
    <cfRule type="expression" dxfId="2685" priority="7735" stopIfTrue="1">
      <formula>OR($O$1655="F/S",$O$1655="")</formula>
    </cfRule>
    <cfRule type="cellIs" dxfId="2684" priority="7736" stopIfTrue="1" operator="notEqual">
      <formula>0</formula>
    </cfRule>
  </conditionalFormatting>
  <conditionalFormatting sqref="L1665">
    <cfRule type="expression" dxfId="2683" priority="7737" stopIfTrue="1">
      <formula>OR($L$1665="F/S",$L$1665="")</formula>
    </cfRule>
    <cfRule type="cellIs" dxfId="2682" priority="7738" stopIfTrue="1" operator="notEqual">
      <formula>0</formula>
    </cfRule>
  </conditionalFormatting>
  <conditionalFormatting sqref="O1665">
    <cfRule type="expression" dxfId="2681" priority="7739" stopIfTrue="1">
      <formula>OR($O$1665="F/S",$O$1665="")</formula>
    </cfRule>
    <cfRule type="cellIs" dxfId="2680" priority="7740" stopIfTrue="1" operator="notEqual">
      <formula>0</formula>
    </cfRule>
  </conditionalFormatting>
  <conditionalFormatting sqref="L1736">
    <cfRule type="expression" dxfId="2679" priority="7741" stopIfTrue="1">
      <formula>OR($L$1736="F/S",$L$1736="")</formula>
    </cfRule>
    <cfRule type="cellIs" dxfId="2678" priority="7742" stopIfTrue="1" operator="notEqual">
      <formula>0</formula>
    </cfRule>
  </conditionalFormatting>
  <conditionalFormatting sqref="O1736">
    <cfRule type="expression" dxfId="2677" priority="7743" stopIfTrue="1">
      <formula>OR($O$1736="F/S",$O$1736="")</formula>
    </cfRule>
    <cfRule type="cellIs" dxfId="2676" priority="7744" stopIfTrue="1" operator="notEqual">
      <formula>0</formula>
    </cfRule>
  </conditionalFormatting>
  <conditionalFormatting sqref="L1682">
    <cfRule type="expression" dxfId="2675" priority="7745" stopIfTrue="1">
      <formula>OR($L$1682="F/S",$L$1682="")</formula>
    </cfRule>
    <cfRule type="cellIs" dxfId="2674" priority="7746" stopIfTrue="1" operator="notEqual">
      <formula>0</formula>
    </cfRule>
  </conditionalFormatting>
  <conditionalFormatting sqref="O1682">
    <cfRule type="expression" dxfId="2673" priority="7747" stopIfTrue="1">
      <formula>OR($O$1682="F/S",$O$1682="")</formula>
    </cfRule>
    <cfRule type="cellIs" dxfId="2672" priority="7748" stopIfTrue="1" operator="notEqual">
      <formula>0</formula>
    </cfRule>
  </conditionalFormatting>
  <conditionalFormatting sqref="L1699">
    <cfRule type="expression" dxfId="2671" priority="7749" stopIfTrue="1">
      <formula>OR($L$1699="F/S",$L$1699="")</formula>
    </cfRule>
    <cfRule type="cellIs" dxfId="2670" priority="7750" stopIfTrue="1" operator="notEqual">
      <formula>0</formula>
    </cfRule>
  </conditionalFormatting>
  <conditionalFormatting sqref="O1699">
    <cfRule type="expression" dxfId="2669" priority="7751" stopIfTrue="1">
      <formula>OR($O$1699="F/S",$O$1699="")</formula>
    </cfRule>
    <cfRule type="cellIs" dxfId="2668" priority="7752" stopIfTrue="1" operator="notEqual">
      <formula>0</formula>
    </cfRule>
  </conditionalFormatting>
  <conditionalFormatting sqref="L1716">
    <cfRule type="expression" dxfId="2667" priority="7753" stopIfTrue="1">
      <formula>OR($L$1716="F/S",$L$1716="")</formula>
    </cfRule>
    <cfRule type="cellIs" dxfId="2666" priority="7754" stopIfTrue="1" operator="notEqual">
      <formula>0</formula>
    </cfRule>
  </conditionalFormatting>
  <conditionalFormatting sqref="O1716">
    <cfRule type="expression" dxfId="2665" priority="7755" stopIfTrue="1">
      <formula>OR($O$1716="F/S",$O$1716="")</formula>
    </cfRule>
    <cfRule type="cellIs" dxfId="2664" priority="7756" stopIfTrue="1" operator="notEqual">
      <formula>0</formula>
    </cfRule>
  </conditionalFormatting>
  <conditionalFormatting sqref="L1726">
    <cfRule type="expression" dxfId="2663" priority="7757" stopIfTrue="1">
      <formula>OR($L$1726="F/S",$L$1726="")</formula>
    </cfRule>
    <cfRule type="cellIs" dxfId="2662" priority="7758" stopIfTrue="1" operator="notEqual">
      <formula>0</formula>
    </cfRule>
  </conditionalFormatting>
  <conditionalFormatting sqref="O1726">
    <cfRule type="expression" dxfId="2661" priority="7759" stopIfTrue="1">
      <formula>OR($O$1726="F/S",$O$1726="")</formula>
    </cfRule>
    <cfRule type="cellIs" dxfId="2660" priority="7760" stopIfTrue="1" operator="notEqual">
      <formula>0</formula>
    </cfRule>
  </conditionalFormatting>
  <conditionalFormatting sqref="L1753">
    <cfRule type="expression" dxfId="2659" priority="7761" stopIfTrue="1">
      <formula>OR($L$1753="F/S",$L$1753="")</formula>
    </cfRule>
    <cfRule type="cellIs" dxfId="2658" priority="7762" stopIfTrue="1" operator="notEqual">
      <formula>0</formula>
    </cfRule>
  </conditionalFormatting>
  <conditionalFormatting sqref="O1753">
    <cfRule type="expression" dxfId="2657" priority="7763" stopIfTrue="1">
      <formula>OR($O$1753="F/S",$O$1753="")</formula>
    </cfRule>
    <cfRule type="cellIs" dxfId="2656" priority="7764" stopIfTrue="1" operator="notEqual">
      <formula>0</formula>
    </cfRule>
  </conditionalFormatting>
  <conditionalFormatting sqref="L1774">
    <cfRule type="expression" dxfId="2655" priority="7769" stopIfTrue="1">
      <formula>OR($L$1774="F/S",$L$1774="")</formula>
    </cfRule>
    <cfRule type="cellIs" dxfId="2654" priority="7770" stopIfTrue="1" operator="notEqual">
      <formula>0</formula>
    </cfRule>
  </conditionalFormatting>
  <conditionalFormatting sqref="O1774">
    <cfRule type="expression" dxfId="2653" priority="7771" stopIfTrue="1">
      <formula>OR($O$1774="F/S",$O$1774="")</formula>
    </cfRule>
    <cfRule type="cellIs" dxfId="2652" priority="7772" stopIfTrue="1" operator="notEqual">
      <formula>0</formula>
    </cfRule>
  </conditionalFormatting>
  <conditionalFormatting sqref="L1764">
    <cfRule type="expression" dxfId="2651" priority="7777" stopIfTrue="1">
      <formula>OR($L$1764="F/S",$L$1764="")</formula>
    </cfRule>
    <cfRule type="cellIs" dxfId="2650" priority="7778" stopIfTrue="1" operator="notEqual">
      <formula>0</formula>
    </cfRule>
  </conditionalFormatting>
  <conditionalFormatting sqref="O1764">
    <cfRule type="expression" dxfId="2649" priority="7779" stopIfTrue="1">
      <formula>OR($O$1764="F/S",$O$1764="")</formula>
    </cfRule>
    <cfRule type="cellIs" dxfId="2648" priority="7780" stopIfTrue="1" operator="notEqual">
      <formula>0</formula>
    </cfRule>
  </conditionalFormatting>
  <conditionalFormatting sqref="L1790">
    <cfRule type="expression" dxfId="2647" priority="7793" stopIfTrue="1">
      <formula>OR($L$1790="F/S",$L$1790="")</formula>
    </cfRule>
    <cfRule type="cellIs" dxfId="2646" priority="7794" stopIfTrue="1" operator="notEqual">
      <formula>0</formula>
    </cfRule>
  </conditionalFormatting>
  <conditionalFormatting sqref="O1790">
    <cfRule type="expression" dxfId="2645" priority="7795" stopIfTrue="1">
      <formula>OR($O$1790="F/S",$O$1790="")</formula>
    </cfRule>
    <cfRule type="cellIs" dxfId="2644" priority="7796" stopIfTrue="1" operator="notEqual">
      <formula>0</formula>
    </cfRule>
  </conditionalFormatting>
  <conditionalFormatting sqref="L1799">
    <cfRule type="expression" dxfId="2643" priority="7797" stopIfTrue="1">
      <formula>OR($L$1799="F/S",$L$1799="")</formula>
    </cfRule>
    <cfRule type="cellIs" dxfId="2642" priority="7798" stopIfTrue="1" operator="notEqual">
      <formula>0</formula>
    </cfRule>
  </conditionalFormatting>
  <conditionalFormatting sqref="O1799">
    <cfRule type="expression" dxfId="2641" priority="7799" stopIfTrue="1">
      <formula>OR($O$1799="F/S",$O$1799="")</formula>
    </cfRule>
    <cfRule type="cellIs" dxfId="2640" priority="7800" stopIfTrue="1" operator="notEqual">
      <formula>0</formula>
    </cfRule>
  </conditionalFormatting>
  <conditionalFormatting sqref="L1812">
    <cfRule type="expression" dxfId="2639" priority="7801" stopIfTrue="1">
      <formula>OR($L$1812="F/S",$L$1812="")</formula>
    </cfRule>
    <cfRule type="cellIs" dxfId="2638" priority="7802" stopIfTrue="1" operator="notEqual">
      <formula>0</formula>
    </cfRule>
  </conditionalFormatting>
  <conditionalFormatting sqref="O1812">
    <cfRule type="expression" dxfId="2637" priority="7803" stopIfTrue="1">
      <formula>OR($O$1812="F/S",$O$1812="")</formula>
    </cfRule>
    <cfRule type="cellIs" dxfId="2636" priority="7804" stopIfTrue="1" operator="notEqual">
      <formula>0</formula>
    </cfRule>
  </conditionalFormatting>
  <conditionalFormatting sqref="L1823">
    <cfRule type="expression" dxfId="2635" priority="7805" stopIfTrue="1">
      <formula>OR($L$1823="F/S",$L$1823="")</formula>
    </cfRule>
    <cfRule type="cellIs" dxfId="2634" priority="7806" stopIfTrue="1" operator="notEqual">
      <formula>0</formula>
    </cfRule>
  </conditionalFormatting>
  <conditionalFormatting sqref="O1823">
    <cfRule type="expression" dxfId="2633" priority="7807" stopIfTrue="1">
      <formula>OR($O$1823="F/S",$O$1823="")</formula>
    </cfRule>
    <cfRule type="cellIs" dxfId="2632" priority="7808" stopIfTrue="1" operator="notEqual">
      <formula>0</formula>
    </cfRule>
  </conditionalFormatting>
  <conditionalFormatting sqref="L1838">
    <cfRule type="expression" dxfId="2631" priority="7809" stopIfTrue="1">
      <formula>OR($L$1838="F/S",$L$1838="")</formula>
    </cfRule>
    <cfRule type="cellIs" dxfId="2630" priority="7810" stopIfTrue="1" operator="notEqual">
      <formula>0</formula>
    </cfRule>
  </conditionalFormatting>
  <conditionalFormatting sqref="O1838">
    <cfRule type="expression" dxfId="2629" priority="7811" stopIfTrue="1">
      <formula>OR($O$1838="F/S",$O$1838="")</formula>
    </cfRule>
    <cfRule type="cellIs" dxfId="2628" priority="7812" stopIfTrue="1" operator="notEqual">
      <formula>0</formula>
    </cfRule>
  </conditionalFormatting>
  <conditionalFormatting sqref="L1853">
    <cfRule type="expression" dxfId="2627" priority="7813" stopIfTrue="1">
      <formula>OR($L$1853="F/S",$L$1853="")</formula>
    </cfRule>
    <cfRule type="cellIs" dxfId="2626" priority="7814" stopIfTrue="1" operator="notEqual">
      <formula>0</formula>
    </cfRule>
  </conditionalFormatting>
  <conditionalFormatting sqref="O1853">
    <cfRule type="expression" dxfId="2625" priority="7815" stopIfTrue="1">
      <formula>OR($O$1853="F/S",$O$1853="")</formula>
    </cfRule>
    <cfRule type="cellIs" dxfId="2624" priority="7816" stopIfTrue="1" operator="notEqual">
      <formula>0</formula>
    </cfRule>
  </conditionalFormatting>
  <conditionalFormatting sqref="L1927">
    <cfRule type="expression" dxfId="2623" priority="7829" stopIfTrue="1">
      <formula>OR($L$1927="F/S",$L$1927="")</formula>
    </cfRule>
    <cfRule type="cellIs" dxfId="2622" priority="7830" stopIfTrue="1" operator="notEqual">
      <formula>0</formula>
    </cfRule>
  </conditionalFormatting>
  <conditionalFormatting sqref="O1927">
    <cfRule type="expression" dxfId="2621" priority="7831" stopIfTrue="1">
      <formula>OR($O$1927="F/S",$O$1927="")</formula>
    </cfRule>
    <cfRule type="cellIs" dxfId="2620" priority="7832" stopIfTrue="1" operator="notEqual">
      <formula>0</formula>
    </cfRule>
  </conditionalFormatting>
  <conditionalFormatting sqref="L1869">
    <cfRule type="expression" dxfId="2619" priority="7833" stopIfTrue="1">
      <formula>OR($L$1869="F/S",$L$1869="")</formula>
    </cfRule>
    <cfRule type="cellIs" dxfId="2618" priority="7834" stopIfTrue="1" operator="notEqual">
      <formula>0</formula>
    </cfRule>
  </conditionalFormatting>
  <conditionalFormatting sqref="O1869">
    <cfRule type="expression" dxfId="2617" priority="7835" stopIfTrue="1">
      <formula>OR($O$1869="F/S",$O$1869="")</formula>
    </cfRule>
    <cfRule type="cellIs" dxfId="2616" priority="7836" stopIfTrue="1" operator="notEqual">
      <formula>0</formula>
    </cfRule>
  </conditionalFormatting>
  <conditionalFormatting sqref="L1882">
    <cfRule type="expression" dxfId="2615" priority="7837" stopIfTrue="1">
      <formula>OR($L$1882="F/S",$L$1882="")</formula>
    </cfRule>
    <cfRule type="cellIs" dxfId="2614" priority="7838" stopIfTrue="1" operator="notEqual">
      <formula>0</formula>
    </cfRule>
  </conditionalFormatting>
  <conditionalFormatting sqref="O1882">
    <cfRule type="expression" dxfId="2613" priority="7839" stopIfTrue="1">
      <formula>OR($O$1882="F/S",$O$1882="")</formula>
    </cfRule>
    <cfRule type="cellIs" dxfId="2612" priority="7840" stopIfTrue="1" operator="notEqual">
      <formula>0</formula>
    </cfRule>
  </conditionalFormatting>
  <conditionalFormatting sqref="L1895">
    <cfRule type="expression" dxfId="2611" priority="7841" stopIfTrue="1">
      <formula>OR($L$1895="F/S",$L$1895="")</formula>
    </cfRule>
    <cfRule type="cellIs" dxfId="2610" priority="7842" stopIfTrue="1" operator="notEqual">
      <formula>0</formula>
    </cfRule>
  </conditionalFormatting>
  <conditionalFormatting sqref="O1895">
    <cfRule type="expression" dxfId="2609" priority="7843" stopIfTrue="1">
      <formula>OR($O$1895="F/S",$O$1895="")</formula>
    </cfRule>
    <cfRule type="cellIs" dxfId="2608" priority="7844" stopIfTrue="1" operator="notEqual">
      <formula>0</formula>
    </cfRule>
  </conditionalFormatting>
  <conditionalFormatting sqref="L1908">
    <cfRule type="expression" dxfId="2607" priority="7845" stopIfTrue="1">
      <formula>OR($L$1908="F/S",$L$1908="")</formula>
    </cfRule>
    <cfRule type="cellIs" dxfId="2606" priority="7846" stopIfTrue="1" operator="notEqual">
      <formula>0</formula>
    </cfRule>
  </conditionalFormatting>
  <conditionalFormatting sqref="O1908">
    <cfRule type="expression" dxfId="2605" priority="7847" stopIfTrue="1">
      <formula>OR($O$1908="F/S",$O$1908="")</formula>
    </cfRule>
    <cfRule type="cellIs" dxfId="2604" priority="7848" stopIfTrue="1" operator="notEqual">
      <formula>0</formula>
    </cfRule>
  </conditionalFormatting>
  <conditionalFormatting sqref="L1947">
    <cfRule type="expression" dxfId="2603" priority="7849" stopIfTrue="1">
      <formula>OR($L$1947="F/S",$L$1947="")</formula>
    </cfRule>
    <cfRule type="cellIs" dxfId="2602" priority="7850" stopIfTrue="1" operator="notEqual">
      <formula>0</formula>
    </cfRule>
  </conditionalFormatting>
  <conditionalFormatting sqref="O1947">
    <cfRule type="expression" dxfId="2601" priority="7851" stopIfTrue="1">
      <formula>OR($O$1947="F/S",$O$1947="")</formula>
    </cfRule>
    <cfRule type="cellIs" dxfId="2600" priority="7852" stopIfTrue="1" operator="notEqual">
      <formula>0</formula>
    </cfRule>
  </conditionalFormatting>
  <conditionalFormatting sqref="L1971">
    <cfRule type="expression" dxfId="2599" priority="7857" stopIfTrue="1">
      <formula>OR($L$1971="F/S",$L$1971="")</formula>
    </cfRule>
    <cfRule type="cellIs" dxfId="2598" priority="7858" stopIfTrue="1" operator="notEqual">
      <formula>0</formula>
    </cfRule>
  </conditionalFormatting>
  <conditionalFormatting sqref="O1971">
    <cfRule type="expression" dxfId="2597" priority="7859" stopIfTrue="1">
      <formula>OR($O$1971="F/S",$O$1971="")</formula>
    </cfRule>
    <cfRule type="cellIs" dxfId="2596" priority="7860" stopIfTrue="1" operator="notEqual">
      <formula>0</formula>
    </cfRule>
  </conditionalFormatting>
  <conditionalFormatting sqref="L1986">
    <cfRule type="expression" dxfId="2595" priority="7861" stopIfTrue="1">
      <formula>OR($L$1986="F/S",$L$1986="")</formula>
    </cfRule>
    <cfRule type="cellIs" dxfId="2594" priority="7862" stopIfTrue="1" operator="notEqual">
      <formula>0</formula>
    </cfRule>
  </conditionalFormatting>
  <conditionalFormatting sqref="O1986">
    <cfRule type="expression" dxfId="2593" priority="7863" stopIfTrue="1">
      <formula>OR($O$1986="F/S",$O$1986="")</formula>
    </cfRule>
    <cfRule type="cellIs" dxfId="2592" priority="7864" stopIfTrue="1" operator="notEqual">
      <formula>0</formula>
    </cfRule>
  </conditionalFormatting>
  <conditionalFormatting sqref="L2001">
    <cfRule type="expression" dxfId="2591" priority="7865" stopIfTrue="1">
      <formula>OR($L$2001="F/S",$L$2001="")</formula>
    </cfRule>
    <cfRule type="cellIs" dxfId="2590" priority="7866" stopIfTrue="1" operator="notEqual">
      <formula>0</formula>
    </cfRule>
  </conditionalFormatting>
  <conditionalFormatting sqref="O2001">
    <cfRule type="expression" dxfId="2589" priority="7867" stopIfTrue="1">
      <formula>OR($O$2001="F/S",$O$2001="")</formula>
    </cfRule>
    <cfRule type="cellIs" dxfId="2588" priority="7868" stopIfTrue="1" operator="notEqual">
      <formula>0</formula>
    </cfRule>
  </conditionalFormatting>
  <conditionalFormatting sqref="L2021">
    <cfRule type="expression" dxfId="2587" priority="7869" stopIfTrue="1">
      <formula>OR($L$2021="F/S",$L$2021="")</formula>
    </cfRule>
    <cfRule type="cellIs" dxfId="2586" priority="7870" stopIfTrue="1" operator="notEqual">
      <formula>0</formula>
    </cfRule>
  </conditionalFormatting>
  <conditionalFormatting sqref="O2021">
    <cfRule type="expression" dxfId="2585" priority="7871" stopIfTrue="1">
      <formula>OR($O$2021="F/S",$O$2021="")</formula>
    </cfRule>
    <cfRule type="cellIs" dxfId="2584" priority="7872" stopIfTrue="1" operator="notEqual">
      <formula>0</formula>
    </cfRule>
  </conditionalFormatting>
  <conditionalFormatting sqref="L1961">
    <cfRule type="expression" dxfId="2583" priority="7873" stopIfTrue="1">
      <formula>OR($L$1961="F/S",$L$1961="")</formula>
    </cfRule>
    <cfRule type="cellIs" dxfId="2582" priority="7874" stopIfTrue="1" operator="notEqual">
      <formula>0</formula>
    </cfRule>
  </conditionalFormatting>
  <conditionalFormatting sqref="O1961">
    <cfRule type="expression" dxfId="2581" priority="7875" stopIfTrue="1">
      <formula>OR($O$1961="F/S",$O$1961="")</formula>
    </cfRule>
    <cfRule type="cellIs" dxfId="2580" priority="7876" stopIfTrue="1" operator="notEqual">
      <formula>0</formula>
    </cfRule>
  </conditionalFormatting>
  <conditionalFormatting sqref="L2013">
    <cfRule type="expression" dxfId="2579" priority="7881" stopIfTrue="1">
      <formula>OR($L$2013="F/S",$L$2013="")</formula>
    </cfRule>
    <cfRule type="cellIs" dxfId="2578" priority="7882" stopIfTrue="1" operator="notEqual">
      <formula>0</formula>
    </cfRule>
  </conditionalFormatting>
  <conditionalFormatting sqref="O2013">
    <cfRule type="expression" dxfId="2577" priority="7883" stopIfTrue="1">
      <formula>OR($O$2013="F/S",$O$2013="")</formula>
    </cfRule>
    <cfRule type="cellIs" dxfId="2576" priority="7884" stopIfTrue="1" operator="notEqual">
      <formula>0</formula>
    </cfRule>
  </conditionalFormatting>
  <conditionalFormatting sqref="L2032">
    <cfRule type="expression" dxfId="2575" priority="7885" stopIfTrue="1">
      <formula>OR($L$2032="F/S",$L$2032="")</formula>
    </cfRule>
    <cfRule type="cellIs" dxfId="2574" priority="7886" stopIfTrue="1" operator="notEqual">
      <formula>0</formula>
    </cfRule>
  </conditionalFormatting>
  <conditionalFormatting sqref="O2032">
    <cfRule type="expression" dxfId="2573" priority="7887" stopIfTrue="1">
      <formula>OR($O$2032="F/S",$O$2032="")</formula>
    </cfRule>
    <cfRule type="cellIs" dxfId="2572" priority="7888" stopIfTrue="1" operator="notEqual">
      <formula>0</formula>
    </cfRule>
  </conditionalFormatting>
  <conditionalFormatting sqref="L2048">
    <cfRule type="expression" dxfId="2571" priority="7889" stopIfTrue="1">
      <formula>OR($L$2048="F/S",$L$2048="")</formula>
    </cfRule>
    <cfRule type="cellIs" dxfId="2570" priority="7890" stopIfTrue="1" operator="notEqual">
      <formula>0</formula>
    </cfRule>
  </conditionalFormatting>
  <conditionalFormatting sqref="O2048">
    <cfRule type="expression" dxfId="2569" priority="7891" stopIfTrue="1">
      <formula>OR($O$2048="F/S",$O$2048="")</formula>
    </cfRule>
    <cfRule type="cellIs" dxfId="2568" priority="7892" stopIfTrue="1" operator="notEqual">
      <formula>0</formula>
    </cfRule>
  </conditionalFormatting>
  <conditionalFormatting sqref="L2063">
    <cfRule type="expression" dxfId="2567" priority="7893" stopIfTrue="1">
      <formula>OR($L$2063="F/S",$L$2063="")</formula>
    </cfRule>
    <cfRule type="cellIs" dxfId="2566" priority="7894" stopIfTrue="1" operator="notEqual">
      <formula>0</formula>
    </cfRule>
  </conditionalFormatting>
  <conditionalFormatting sqref="O2063">
    <cfRule type="expression" dxfId="2565" priority="7895" stopIfTrue="1">
      <formula>OR($O$2063="F/S",$O$2063="")</formula>
    </cfRule>
    <cfRule type="cellIs" dxfId="2564" priority="7896" stopIfTrue="1" operator="notEqual">
      <formula>0</formula>
    </cfRule>
  </conditionalFormatting>
  <conditionalFormatting sqref="L2137">
    <cfRule type="expression" dxfId="2563" priority="7909" stopIfTrue="1">
      <formula>OR($L$2137="F/S",$L$2137="")</formula>
    </cfRule>
    <cfRule type="cellIs" dxfId="2562" priority="7910" stopIfTrue="1" operator="notEqual">
      <formula>0</formula>
    </cfRule>
  </conditionalFormatting>
  <conditionalFormatting sqref="O2137">
    <cfRule type="expression" dxfId="2561" priority="7911" stopIfTrue="1">
      <formula>OR($O$2137="F/S",$O$2137="")</formula>
    </cfRule>
    <cfRule type="cellIs" dxfId="2560" priority="7912" stopIfTrue="1" operator="notEqual">
      <formula>0</formula>
    </cfRule>
  </conditionalFormatting>
  <conditionalFormatting sqref="L2079">
    <cfRule type="expression" dxfId="2559" priority="7913" stopIfTrue="1">
      <formula>OR($L$2079="F/S",$L$2079="")</formula>
    </cfRule>
    <cfRule type="cellIs" dxfId="2558" priority="7914" stopIfTrue="1" operator="notEqual">
      <formula>0</formula>
    </cfRule>
  </conditionalFormatting>
  <conditionalFormatting sqref="O2079">
    <cfRule type="expression" dxfId="2557" priority="7915" stopIfTrue="1">
      <formula>OR($O$2079="F/S",$O$2079="")</formula>
    </cfRule>
    <cfRule type="cellIs" dxfId="2556" priority="7916" stopIfTrue="1" operator="notEqual">
      <formula>0</formula>
    </cfRule>
  </conditionalFormatting>
  <conditionalFormatting sqref="L2092">
    <cfRule type="expression" dxfId="2555" priority="7917" stopIfTrue="1">
      <formula>OR($L$2092="F/S",$L$2092="")</formula>
    </cfRule>
    <cfRule type="cellIs" dxfId="2554" priority="7918" stopIfTrue="1" operator="notEqual">
      <formula>0</formula>
    </cfRule>
  </conditionalFormatting>
  <conditionalFormatting sqref="O2092">
    <cfRule type="expression" dxfId="2553" priority="7919" stopIfTrue="1">
      <formula>OR($O$2092="F/S",$O$2092="")</formula>
    </cfRule>
    <cfRule type="cellIs" dxfId="2552" priority="7920" stopIfTrue="1" operator="notEqual">
      <formula>0</formula>
    </cfRule>
  </conditionalFormatting>
  <conditionalFormatting sqref="L2105">
    <cfRule type="expression" dxfId="2551" priority="7921" stopIfTrue="1">
      <formula>OR($L$2105="F/S",$L$2105="")</formula>
    </cfRule>
    <cfRule type="cellIs" dxfId="2550" priority="7922" stopIfTrue="1" operator="notEqual">
      <formula>0</formula>
    </cfRule>
  </conditionalFormatting>
  <conditionalFormatting sqref="O2105">
    <cfRule type="expression" dxfId="2549" priority="7923" stopIfTrue="1">
      <formula>OR($O$2105="F/S",$O$2105="")</formula>
    </cfRule>
    <cfRule type="cellIs" dxfId="2548" priority="7924" stopIfTrue="1" operator="notEqual">
      <formula>0</formula>
    </cfRule>
  </conditionalFormatting>
  <conditionalFormatting sqref="L2118">
    <cfRule type="expression" dxfId="2547" priority="7925" stopIfTrue="1">
      <formula>OR($L$2118="F/S",$L$2118="")</formula>
    </cfRule>
    <cfRule type="cellIs" dxfId="2546" priority="7926" stopIfTrue="1" operator="notEqual">
      <formula>0</formula>
    </cfRule>
  </conditionalFormatting>
  <conditionalFormatting sqref="O2118">
    <cfRule type="expression" dxfId="2545" priority="7927" stopIfTrue="1">
      <formula>OR($O$2118="F/S",$O$2118="")</formula>
    </cfRule>
    <cfRule type="cellIs" dxfId="2544" priority="7928" stopIfTrue="1" operator="notEqual">
      <formula>0</formula>
    </cfRule>
  </conditionalFormatting>
  <conditionalFormatting sqref="L2157">
    <cfRule type="expression" dxfId="2543" priority="7929" stopIfTrue="1">
      <formula>OR($L$2157="F/S",$L$2157="")</formula>
    </cfRule>
    <cfRule type="cellIs" dxfId="2542" priority="7930" stopIfTrue="1" operator="notEqual">
      <formula>0</formula>
    </cfRule>
  </conditionalFormatting>
  <conditionalFormatting sqref="O2157">
    <cfRule type="expression" dxfId="2541" priority="7931" stopIfTrue="1">
      <formula>OR($O$2157="F/S",$O$2157="")</formula>
    </cfRule>
    <cfRule type="cellIs" dxfId="2540" priority="7932" stopIfTrue="1" operator="notEqual">
      <formula>0</formula>
    </cfRule>
  </conditionalFormatting>
  <conditionalFormatting sqref="L2171">
    <cfRule type="expression" dxfId="2539" priority="7933" stopIfTrue="1">
      <formula>OR($L$2171="F/S",$L$2171="")</formula>
    </cfRule>
    <cfRule type="cellIs" dxfId="2538" priority="7934" stopIfTrue="1" operator="notEqual">
      <formula>0</formula>
    </cfRule>
  </conditionalFormatting>
  <conditionalFormatting sqref="O2171">
    <cfRule type="expression" dxfId="2537" priority="7935" stopIfTrue="1">
      <formula>OR($O$2171="F/S",$O$2171="")</formula>
    </cfRule>
    <cfRule type="cellIs" dxfId="2536" priority="7936" stopIfTrue="1" operator="notEqual">
      <formula>0</formula>
    </cfRule>
  </conditionalFormatting>
  <conditionalFormatting sqref="L2181">
    <cfRule type="expression" dxfId="2535" priority="7937" stopIfTrue="1">
      <formula>OR($L$2181="F/S",$L$2181="")</formula>
    </cfRule>
    <cfRule type="cellIs" dxfId="2534" priority="7938" stopIfTrue="1" operator="notEqual">
      <formula>0</formula>
    </cfRule>
  </conditionalFormatting>
  <conditionalFormatting sqref="O2181">
    <cfRule type="expression" dxfId="2533" priority="7939" stopIfTrue="1">
      <formula>OR($O$2181="F/S",$O$2181="")</formula>
    </cfRule>
    <cfRule type="cellIs" dxfId="2532" priority="7940" stopIfTrue="1" operator="notEqual">
      <formula>0</formula>
    </cfRule>
  </conditionalFormatting>
  <conditionalFormatting sqref="L2202">
    <cfRule type="expression" dxfId="2531" priority="7941" stopIfTrue="1">
      <formula>OR($L$2202="F/S",$L$2202="")</formula>
    </cfRule>
    <cfRule type="cellIs" dxfId="2530" priority="7942" stopIfTrue="1" operator="notEqual">
      <formula>0</formula>
    </cfRule>
  </conditionalFormatting>
  <conditionalFormatting sqref="O2202">
    <cfRule type="expression" dxfId="2529" priority="7943" stopIfTrue="1">
      <formula>OR($O$2202="F/S",$O$2202="")</formula>
    </cfRule>
    <cfRule type="cellIs" dxfId="2528" priority="7944" stopIfTrue="1" operator="notEqual">
      <formula>0</formula>
    </cfRule>
  </conditionalFormatting>
  <conditionalFormatting sqref="L2234">
    <cfRule type="expression" dxfId="2527" priority="7945" stopIfTrue="1">
      <formula>OR($L$2234="F/S",$L$2234="")</formula>
    </cfRule>
    <cfRule type="cellIs" dxfId="2526" priority="7946" stopIfTrue="1" operator="notEqual">
      <formula>0</formula>
    </cfRule>
  </conditionalFormatting>
  <conditionalFormatting sqref="O2234">
    <cfRule type="expression" dxfId="2525" priority="7947" stopIfTrue="1">
      <formula>OR($O$2234="F/S",$O$2234="")</formula>
    </cfRule>
    <cfRule type="cellIs" dxfId="2524" priority="7948" stopIfTrue="1" operator="notEqual">
      <formula>0</formula>
    </cfRule>
  </conditionalFormatting>
  <conditionalFormatting sqref="L2247">
    <cfRule type="expression" dxfId="2523" priority="7949" stopIfTrue="1">
      <formula>OR($L$2247="F/S",$L$2247="")</formula>
    </cfRule>
    <cfRule type="cellIs" dxfId="2522" priority="7950" stopIfTrue="1" operator="notEqual">
      <formula>0</formula>
    </cfRule>
  </conditionalFormatting>
  <conditionalFormatting sqref="O2247">
    <cfRule type="expression" dxfId="2521" priority="7951" stopIfTrue="1">
      <formula>OR($O$2247="F/S",$O$2247="")</formula>
    </cfRule>
    <cfRule type="cellIs" dxfId="2520" priority="7952" stopIfTrue="1" operator="notEqual">
      <formula>0</formula>
    </cfRule>
  </conditionalFormatting>
  <conditionalFormatting sqref="L2260">
    <cfRule type="expression" dxfId="2519" priority="7953" stopIfTrue="1">
      <formula>OR($L$2260="F/S",$L$2260="")</formula>
    </cfRule>
    <cfRule type="cellIs" dxfId="2518" priority="7954" stopIfTrue="1" operator="notEqual">
      <formula>0</formula>
    </cfRule>
  </conditionalFormatting>
  <conditionalFormatting sqref="O2260">
    <cfRule type="expression" dxfId="2517" priority="7955" stopIfTrue="1">
      <formula>OR($O$2260="F/S",$O$2260="")</formula>
    </cfRule>
    <cfRule type="cellIs" dxfId="2516" priority="7956" stopIfTrue="1" operator="notEqual">
      <formula>0</formula>
    </cfRule>
  </conditionalFormatting>
  <conditionalFormatting sqref="L2315">
    <cfRule type="expression" dxfId="2515" priority="7961" stopIfTrue="1">
      <formula>OR($L$2315="F/S",$L$2315="")</formula>
    </cfRule>
    <cfRule type="cellIs" dxfId="2514" priority="7962" stopIfTrue="1" operator="notEqual">
      <formula>0</formula>
    </cfRule>
  </conditionalFormatting>
  <conditionalFormatting sqref="O2315">
    <cfRule type="expression" dxfId="2513" priority="7963" stopIfTrue="1">
      <formula>OR($O$2315="F/S",$O$2315="")</formula>
    </cfRule>
    <cfRule type="cellIs" dxfId="2512" priority="7964" stopIfTrue="1" operator="notEqual">
      <formula>0</formula>
    </cfRule>
  </conditionalFormatting>
  <conditionalFormatting sqref="L2273">
    <cfRule type="expression" dxfId="2511" priority="7973" stopIfTrue="1">
      <formula>OR($L$2273="F/S",$L$2273="")</formula>
    </cfRule>
    <cfRule type="cellIs" dxfId="2510" priority="7974" stopIfTrue="1" operator="notEqual">
      <formula>0</formula>
    </cfRule>
  </conditionalFormatting>
  <conditionalFormatting sqref="O2273">
    <cfRule type="expression" dxfId="2509" priority="7975" stopIfTrue="1">
      <formula>OR($O$2273="F/S",$O$2273="")</formula>
    </cfRule>
    <cfRule type="cellIs" dxfId="2508" priority="7976" stopIfTrue="1" operator="notEqual">
      <formula>0</formula>
    </cfRule>
  </conditionalFormatting>
  <conditionalFormatting sqref="L2293">
    <cfRule type="expression" dxfId="2507" priority="7977" stopIfTrue="1">
      <formula>OR($L$2293="F/S",$L$2293="")</formula>
    </cfRule>
    <cfRule type="cellIs" dxfId="2506" priority="7978" stopIfTrue="1" operator="notEqual">
      <formula>0</formula>
    </cfRule>
  </conditionalFormatting>
  <conditionalFormatting sqref="O2293">
    <cfRule type="expression" dxfId="2505" priority="7979" stopIfTrue="1">
      <formula>OR($O$2293="F/S",$O$2293="")</formula>
    </cfRule>
    <cfRule type="cellIs" dxfId="2504" priority="7980" stopIfTrue="1" operator="notEqual">
      <formula>0</formula>
    </cfRule>
  </conditionalFormatting>
  <conditionalFormatting sqref="L2349">
    <cfRule type="expression" dxfId="2503" priority="7981" stopIfTrue="1">
      <formula>OR($L$2349="F/S",$L$2349="")</formula>
    </cfRule>
    <cfRule type="cellIs" dxfId="2502" priority="7982" stopIfTrue="1" operator="notEqual">
      <formula>0</formula>
    </cfRule>
  </conditionalFormatting>
  <conditionalFormatting sqref="O2349">
    <cfRule type="expression" dxfId="2501" priority="7983" stopIfTrue="1">
      <formula>OR($O$2349="F/S",$O$2349="")</formula>
    </cfRule>
    <cfRule type="cellIs" dxfId="2500" priority="7984" stopIfTrue="1" operator="notEqual">
      <formula>0</formula>
    </cfRule>
  </conditionalFormatting>
  <conditionalFormatting sqref="L2330">
    <cfRule type="expression" dxfId="2499" priority="7985" stopIfTrue="1">
      <formula>OR($L$2330="F/S",$L$2330="")</formula>
    </cfRule>
    <cfRule type="cellIs" dxfId="2498" priority="7986" stopIfTrue="1" operator="notEqual">
      <formula>0</formula>
    </cfRule>
  </conditionalFormatting>
  <conditionalFormatting sqref="O2330">
    <cfRule type="expression" dxfId="2497" priority="7987" stopIfTrue="1">
      <formula>OR($O$2330="F/S",$O$2330="")</formula>
    </cfRule>
    <cfRule type="cellIs" dxfId="2496" priority="7988" stopIfTrue="1" operator="notEqual">
      <formula>0</formula>
    </cfRule>
  </conditionalFormatting>
  <conditionalFormatting sqref="L2378">
    <cfRule type="expression" dxfId="2495" priority="7993" stopIfTrue="1">
      <formula>OR($L$2378="F/S",$L$2378="")</formula>
    </cfRule>
    <cfRule type="cellIs" dxfId="2494" priority="7994" stopIfTrue="1" operator="notEqual">
      <formula>0</formula>
    </cfRule>
  </conditionalFormatting>
  <conditionalFormatting sqref="O2378">
    <cfRule type="expression" dxfId="2493" priority="7995" stopIfTrue="1">
      <formula>OR($O$2378="F/S",$O$2378="")</formula>
    </cfRule>
    <cfRule type="cellIs" dxfId="2492" priority="7996" stopIfTrue="1" operator="notEqual">
      <formula>0</formula>
    </cfRule>
  </conditionalFormatting>
  <conditionalFormatting sqref="L2391">
    <cfRule type="expression" dxfId="2491" priority="8001" stopIfTrue="1">
      <formula>OR($L$2391="F/S",$L$2391="")</formula>
    </cfRule>
    <cfRule type="cellIs" dxfId="2490" priority="8002" stopIfTrue="1" operator="notEqual">
      <formula>0</formula>
    </cfRule>
  </conditionalFormatting>
  <conditionalFormatting sqref="O2391">
    <cfRule type="expression" dxfId="2489" priority="8003" stopIfTrue="1">
      <formula>OR($O$2391="F/S",$O$2391="")</formula>
    </cfRule>
    <cfRule type="cellIs" dxfId="2488" priority="8004" stopIfTrue="1" operator="notEqual">
      <formula>0</formula>
    </cfRule>
  </conditionalFormatting>
  <conditionalFormatting sqref="L2368">
    <cfRule type="expression" dxfId="2487" priority="8005" stopIfTrue="1">
      <formula>OR($L$2368="F/S",$L$2368="")</formula>
    </cfRule>
    <cfRule type="cellIs" dxfId="2486" priority="8006" stopIfTrue="1" operator="notEqual">
      <formula>0</formula>
    </cfRule>
  </conditionalFormatting>
  <conditionalFormatting sqref="O2368">
    <cfRule type="expression" dxfId="2485" priority="8007" stopIfTrue="1">
      <formula>OR($O$2368="F/S",$O$2368="")</formula>
    </cfRule>
    <cfRule type="cellIs" dxfId="2484" priority="8008" stopIfTrue="1" operator="notEqual">
      <formula>0</formula>
    </cfRule>
  </conditionalFormatting>
  <conditionalFormatting sqref="L2401">
    <cfRule type="expression" dxfId="2483" priority="8009" stopIfTrue="1">
      <formula>OR($L$2401="F/S",$L$2401="")</formula>
    </cfRule>
    <cfRule type="cellIs" dxfId="2482" priority="8010" stopIfTrue="1" operator="notEqual">
      <formula>0</formula>
    </cfRule>
  </conditionalFormatting>
  <conditionalFormatting sqref="O2401">
    <cfRule type="expression" dxfId="2481" priority="8011" stopIfTrue="1">
      <formula>OR($O$2401="F/S",$O$2401="")</formula>
    </cfRule>
    <cfRule type="cellIs" dxfId="2480" priority="8012" stopIfTrue="1" operator="notEqual">
      <formula>0</formula>
    </cfRule>
  </conditionalFormatting>
  <conditionalFormatting sqref="L2463">
    <cfRule type="expression" dxfId="2479" priority="8013" stopIfTrue="1">
      <formula>OR($L$2463="F/S",$L$2463="")</formula>
    </cfRule>
    <cfRule type="cellIs" dxfId="2478" priority="8014" stopIfTrue="1" operator="notEqual">
      <formula>0</formula>
    </cfRule>
  </conditionalFormatting>
  <conditionalFormatting sqref="O2463">
    <cfRule type="expression" dxfId="2477" priority="8015" stopIfTrue="1">
      <formula>OR($O$2463="F/S",$O$2463="")</formula>
    </cfRule>
    <cfRule type="cellIs" dxfId="2476" priority="8016" stopIfTrue="1" operator="notEqual">
      <formula>0</formula>
    </cfRule>
  </conditionalFormatting>
  <conditionalFormatting sqref="L2497">
    <cfRule type="expression" dxfId="2475" priority="8021" stopIfTrue="1">
      <formula>OR($L$2497="F/S",$L$2497="")</formula>
    </cfRule>
    <cfRule type="cellIs" dxfId="2474" priority="8022" stopIfTrue="1" operator="notEqual">
      <formula>0</formula>
    </cfRule>
  </conditionalFormatting>
  <conditionalFormatting sqref="O2497">
    <cfRule type="expression" dxfId="2473" priority="8023" stopIfTrue="1">
      <formula>OR($O$2497="F/S",$O$2497="")</formula>
    </cfRule>
    <cfRule type="cellIs" dxfId="2472" priority="8024" stopIfTrue="1" operator="notEqual">
      <formula>0</formula>
    </cfRule>
  </conditionalFormatting>
  <conditionalFormatting sqref="L2506">
    <cfRule type="expression" dxfId="2471" priority="8025" stopIfTrue="1">
      <formula>OR($L$2506="F/S",$L$2506="")</formula>
    </cfRule>
    <cfRule type="cellIs" dxfId="2470" priority="8026" stopIfTrue="1" operator="notEqual">
      <formula>0</formula>
    </cfRule>
  </conditionalFormatting>
  <conditionalFormatting sqref="O2506">
    <cfRule type="expression" dxfId="2469" priority="8027" stopIfTrue="1">
      <formula>OR($O$2506="F/S",$O$2506="")</formula>
    </cfRule>
    <cfRule type="cellIs" dxfId="2468" priority="8028" stopIfTrue="1" operator="notEqual">
      <formula>0</formula>
    </cfRule>
  </conditionalFormatting>
  <conditionalFormatting sqref="L2520">
    <cfRule type="expression" dxfId="2467" priority="8029" stopIfTrue="1">
      <formula>OR($L$2520="F/S",$L$2520="")</formula>
    </cfRule>
    <cfRule type="cellIs" dxfId="2466" priority="8030" stopIfTrue="1" operator="notEqual">
      <formula>0</formula>
    </cfRule>
  </conditionalFormatting>
  <conditionalFormatting sqref="O2520">
    <cfRule type="expression" dxfId="2465" priority="8031" stopIfTrue="1">
      <formula>OR($O$2520="F/S",$O$2520="")</formula>
    </cfRule>
    <cfRule type="cellIs" dxfId="2464" priority="8032" stopIfTrue="1" operator="notEqual">
      <formula>0</formula>
    </cfRule>
  </conditionalFormatting>
  <conditionalFormatting sqref="L2557">
    <cfRule type="expression" dxfId="2463" priority="8065" stopIfTrue="1">
      <formula>OR($L$2557="F/S",$L$2557="")</formula>
    </cfRule>
    <cfRule type="cellIs" dxfId="2462" priority="8066" stopIfTrue="1" operator="notEqual">
      <formula>0</formula>
    </cfRule>
  </conditionalFormatting>
  <conditionalFormatting sqref="O2557">
    <cfRule type="expression" dxfId="2461" priority="8067" stopIfTrue="1">
      <formula>OR($O$2557="F/S",$O$2557="")</formula>
    </cfRule>
    <cfRule type="cellIs" dxfId="2460" priority="8068" stopIfTrue="1" operator="notEqual">
      <formula>0</formula>
    </cfRule>
  </conditionalFormatting>
  <conditionalFormatting sqref="L2599">
    <cfRule type="expression" dxfId="2459" priority="8069" stopIfTrue="1">
      <formula>OR($L$2599="F/S",$L$2599="")</formula>
    </cfRule>
    <cfRule type="cellIs" dxfId="2458" priority="8070" stopIfTrue="1" operator="notEqual">
      <formula>0</formula>
    </cfRule>
  </conditionalFormatting>
  <conditionalFormatting sqref="O2599">
    <cfRule type="expression" dxfId="2457" priority="8071" stopIfTrue="1">
      <formula>OR($O$2599="F/S",$O$2599="")</formula>
    </cfRule>
    <cfRule type="cellIs" dxfId="2456" priority="8072" stopIfTrue="1" operator="notEqual">
      <formula>0</formula>
    </cfRule>
  </conditionalFormatting>
  <conditionalFormatting sqref="L2618">
    <cfRule type="expression" dxfId="2455" priority="8073" stopIfTrue="1">
      <formula>OR($L$2618="F/S",$L$2618="")</formula>
    </cfRule>
    <cfRule type="cellIs" dxfId="2454" priority="8074" stopIfTrue="1" operator="notEqual">
      <formula>0</formula>
    </cfRule>
  </conditionalFormatting>
  <conditionalFormatting sqref="O2618">
    <cfRule type="expression" dxfId="2453" priority="8075" stopIfTrue="1">
      <formula>OR($O$2618="F/S",$O$2618="")</formula>
    </cfRule>
    <cfRule type="cellIs" dxfId="2452" priority="8076" stopIfTrue="1" operator="notEqual">
      <formula>0</formula>
    </cfRule>
  </conditionalFormatting>
  <conditionalFormatting sqref="L2628">
    <cfRule type="expression" dxfId="2451" priority="8093" stopIfTrue="1">
      <formula>OR($L$2628="F/S",$L$2628="")</formula>
    </cfRule>
    <cfRule type="cellIs" dxfId="2450" priority="8094" stopIfTrue="1" operator="notEqual">
      <formula>0</formula>
    </cfRule>
  </conditionalFormatting>
  <conditionalFormatting sqref="O2628">
    <cfRule type="expression" dxfId="2449" priority="8095" stopIfTrue="1">
      <formula>OR($O$2628="F/S",$O$2628="")</formula>
    </cfRule>
    <cfRule type="cellIs" dxfId="2448" priority="8096" stopIfTrue="1" operator="notEqual">
      <formula>0</formula>
    </cfRule>
  </conditionalFormatting>
  <conditionalFormatting sqref="L2639">
    <cfRule type="expression" dxfId="2447" priority="8101" stopIfTrue="1">
      <formula>OR($L$2639="F/S",$L$2639="")</formula>
    </cfRule>
    <cfRule type="cellIs" dxfId="2446" priority="8102" stopIfTrue="1" operator="notEqual">
      <formula>0</formula>
    </cfRule>
  </conditionalFormatting>
  <conditionalFormatting sqref="O2639">
    <cfRule type="expression" dxfId="2445" priority="8103" stopIfTrue="1">
      <formula>OR($O$2639="F/S",$O$2639="")</formula>
    </cfRule>
    <cfRule type="cellIs" dxfId="2444" priority="8104" stopIfTrue="1" operator="notEqual">
      <formula>0</formula>
    </cfRule>
  </conditionalFormatting>
  <conditionalFormatting sqref="L2648">
    <cfRule type="expression" dxfId="2443" priority="8105" stopIfTrue="1">
      <formula>OR($L$2648="F/S",$L$2648="")</formula>
    </cfRule>
    <cfRule type="cellIs" dxfId="2442" priority="8106" stopIfTrue="1" operator="notEqual">
      <formula>0</formula>
    </cfRule>
  </conditionalFormatting>
  <conditionalFormatting sqref="O2648">
    <cfRule type="expression" dxfId="2441" priority="8107" stopIfTrue="1">
      <formula>OR($O$2648="F/S",$O$2648="")</formula>
    </cfRule>
    <cfRule type="cellIs" dxfId="2440" priority="8108" stopIfTrue="1" operator="notEqual">
      <formula>0</formula>
    </cfRule>
  </conditionalFormatting>
  <conditionalFormatting sqref="L2705">
    <cfRule type="expression" dxfId="2439" priority="8113" stopIfTrue="1">
      <formula>OR($L$2705="F/S",$L$2705="")</formula>
    </cfRule>
    <cfRule type="cellIs" dxfId="2438" priority="8114" stopIfTrue="1" operator="notEqual">
      <formula>0</formula>
    </cfRule>
  </conditionalFormatting>
  <conditionalFormatting sqref="O2705">
    <cfRule type="expression" dxfId="2437" priority="8115" stopIfTrue="1">
      <formula>OR($O$2705="F/S",$O$2705="")</formula>
    </cfRule>
    <cfRule type="cellIs" dxfId="2436" priority="8116" stopIfTrue="1" operator="notEqual">
      <formula>0</formula>
    </cfRule>
  </conditionalFormatting>
  <conditionalFormatting sqref="L2719">
    <cfRule type="expression" dxfId="2435" priority="8117" stopIfTrue="1">
      <formula>OR($L$2719="F/S",$L$2719="")</formula>
    </cfRule>
    <cfRule type="cellIs" dxfId="2434" priority="8118" stopIfTrue="1" operator="notEqual">
      <formula>0</formula>
    </cfRule>
  </conditionalFormatting>
  <conditionalFormatting sqref="O2719">
    <cfRule type="expression" dxfId="2433" priority="8119" stopIfTrue="1">
      <formula>OR($O$2719="F/S",$O$2719="")</formula>
    </cfRule>
    <cfRule type="cellIs" dxfId="2432" priority="8120" stopIfTrue="1" operator="notEqual">
      <formula>0</formula>
    </cfRule>
  </conditionalFormatting>
  <conditionalFormatting sqref="L2733">
    <cfRule type="expression" dxfId="2431" priority="8121" stopIfTrue="1">
      <formula>OR($L$2733="F/S",$L$2733="")</formula>
    </cfRule>
    <cfRule type="cellIs" dxfId="2430" priority="8122" stopIfTrue="1" operator="notEqual">
      <formula>0</formula>
    </cfRule>
  </conditionalFormatting>
  <conditionalFormatting sqref="O2733">
    <cfRule type="expression" dxfId="2429" priority="8123" stopIfTrue="1">
      <formula>OR($O$2733="F/S",$O$2733="")</formula>
    </cfRule>
    <cfRule type="cellIs" dxfId="2428" priority="8124" stopIfTrue="1" operator="notEqual">
      <formula>0</formula>
    </cfRule>
  </conditionalFormatting>
  <conditionalFormatting sqref="L2748">
    <cfRule type="expression" dxfId="2427" priority="8125" stopIfTrue="1">
      <formula>OR($L$2748="F/S",$L$2748="")</formula>
    </cfRule>
    <cfRule type="cellIs" dxfId="2426" priority="8126" stopIfTrue="1" operator="notEqual">
      <formula>0</formula>
    </cfRule>
  </conditionalFormatting>
  <conditionalFormatting sqref="O2748">
    <cfRule type="expression" dxfId="2425" priority="8127" stopIfTrue="1">
      <formula>OR($O$2748="F/S",$O$2748="")</formula>
    </cfRule>
    <cfRule type="cellIs" dxfId="2424" priority="8128" stopIfTrue="1" operator="notEqual">
      <formula>0</formula>
    </cfRule>
  </conditionalFormatting>
  <conditionalFormatting sqref="L2761">
    <cfRule type="expression" dxfId="2423" priority="8129" stopIfTrue="1">
      <formula>OR($L$2761="F/S",$L$2761="")</formula>
    </cfRule>
    <cfRule type="cellIs" dxfId="2422" priority="8130" stopIfTrue="1" operator="notEqual">
      <formula>0</formula>
    </cfRule>
  </conditionalFormatting>
  <conditionalFormatting sqref="O2761">
    <cfRule type="expression" dxfId="2421" priority="8131" stopIfTrue="1">
      <formula>OR($O$2761="F/S",$O$2761="")</formula>
    </cfRule>
    <cfRule type="cellIs" dxfId="2420" priority="8132" stopIfTrue="1" operator="notEqual">
      <formula>0</formula>
    </cfRule>
  </conditionalFormatting>
  <conditionalFormatting sqref="L2771">
    <cfRule type="expression" dxfId="2419" priority="8149" stopIfTrue="1">
      <formula>OR($L$2771="F/S",$L$2771="")</formula>
    </cfRule>
    <cfRule type="cellIs" dxfId="2418" priority="8150" stopIfTrue="1" operator="notEqual">
      <formula>0</formula>
    </cfRule>
  </conditionalFormatting>
  <conditionalFormatting sqref="O2771">
    <cfRule type="expression" dxfId="2417" priority="8151" stopIfTrue="1">
      <formula>OR($O$2771="F/S",$O$2771="")</formula>
    </cfRule>
    <cfRule type="cellIs" dxfId="2416" priority="8152" stopIfTrue="1" operator="notEqual">
      <formula>0</formula>
    </cfRule>
  </conditionalFormatting>
  <conditionalFormatting sqref="L2781">
    <cfRule type="expression" dxfId="2415" priority="8157" stopIfTrue="1">
      <formula>OR($L$2781="F/S",$L$2781="")</formula>
    </cfRule>
    <cfRule type="cellIs" dxfId="2414" priority="8158" stopIfTrue="1" operator="notEqual">
      <formula>0</formula>
    </cfRule>
  </conditionalFormatting>
  <conditionalFormatting sqref="O2781">
    <cfRule type="expression" dxfId="2413" priority="8159" stopIfTrue="1">
      <formula>OR($O$2781="F/S",$O$2781="")</formula>
    </cfRule>
    <cfRule type="cellIs" dxfId="2412" priority="8160" stopIfTrue="1" operator="notEqual">
      <formula>0</formula>
    </cfRule>
  </conditionalFormatting>
  <conditionalFormatting sqref="L2797">
    <cfRule type="expression" dxfId="2411" priority="8161" stopIfTrue="1">
      <formula>OR($L$2797="F/S",$L$2797="")</formula>
    </cfRule>
    <cfRule type="cellIs" dxfId="2410" priority="8162" stopIfTrue="1" operator="notEqual">
      <formula>0</formula>
    </cfRule>
  </conditionalFormatting>
  <conditionalFormatting sqref="O2797">
    <cfRule type="expression" dxfId="2409" priority="8163" stopIfTrue="1">
      <formula>OR($O$2797="F/S",$O$2797="")</formula>
    </cfRule>
    <cfRule type="cellIs" dxfId="2408" priority="8164" stopIfTrue="1" operator="notEqual">
      <formula>0</formula>
    </cfRule>
  </conditionalFormatting>
  <conditionalFormatting sqref="L2810">
    <cfRule type="expression" dxfId="2407" priority="8165" stopIfTrue="1">
      <formula>OR($L$2810="F/S",$L$2810="")</formula>
    </cfRule>
    <cfRule type="cellIs" dxfId="2406" priority="8166" stopIfTrue="1" operator="notEqual">
      <formula>0</formula>
    </cfRule>
  </conditionalFormatting>
  <conditionalFormatting sqref="O2810">
    <cfRule type="expression" dxfId="2405" priority="8167" stopIfTrue="1">
      <formula>OR($O$2810="F/S",$O$2810="")</formula>
    </cfRule>
    <cfRule type="cellIs" dxfId="2404" priority="8168" stopIfTrue="1" operator="notEqual">
      <formula>0</formula>
    </cfRule>
  </conditionalFormatting>
  <conditionalFormatting sqref="L2821">
    <cfRule type="expression" dxfId="2403" priority="8169" stopIfTrue="1">
      <formula>OR($L$2821="F/S",$L$2821="")</formula>
    </cfRule>
    <cfRule type="cellIs" dxfId="2402" priority="8170" stopIfTrue="1" operator="notEqual">
      <formula>0</formula>
    </cfRule>
  </conditionalFormatting>
  <conditionalFormatting sqref="O2821">
    <cfRule type="expression" dxfId="2401" priority="8171" stopIfTrue="1">
      <formula>OR($O$2821="F/S",$O$2821="")</formula>
    </cfRule>
    <cfRule type="cellIs" dxfId="2400" priority="8172" stopIfTrue="1" operator="notEqual">
      <formula>0</formula>
    </cfRule>
  </conditionalFormatting>
  <conditionalFormatting sqref="L2830">
    <cfRule type="expression" dxfId="2399" priority="8173" stopIfTrue="1">
      <formula>OR($L$2830="F/S",$L$2830="")</formula>
    </cfRule>
    <cfRule type="cellIs" dxfId="2398" priority="8174" stopIfTrue="1" operator="notEqual">
      <formula>0</formula>
    </cfRule>
  </conditionalFormatting>
  <conditionalFormatting sqref="O2830">
    <cfRule type="expression" dxfId="2397" priority="8175" stopIfTrue="1">
      <formula>OR($O$2830="F/S",$O$2830="")</formula>
    </cfRule>
    <cfRule type="cellIs" dxfId="2396" priority="8176" stopIfTrue="1" operator="notEqual">
      <formula>0</formula>
    </cfRule>
  </conditionalFormatting>
  <conditionalFormatting sqref="L2877">
    <cfRule type="expression" dxfId="2395" priority="8185" stopIfTrue="1">
      <formula>OR($L$2877="F/S",$L$2877="")</formula>
    </cfRule>
    <cfRule type="cellIs" dxfId="2394" priority="8186" stopIfTrue="1" operator="notEqual">
      <formula>0</formula>
    </cfRule>
  </conditionalFormatting>
  <conditionalFormatting sqref="O2877">
    <cfRule type="expression" dxfId="2393" priority="8187" stopIfTrue="1">
      <formula>OR($O$2877="F/S",$O$2877="")</formula>
    </cfRule>
    <cfRule type="cellIs" dxfId="2392" priority="8188" stopIfTrue="1" operator="notEqual">
      <formula>0</formula>
    </cfRule>
  </conditionalFormatting>
  <conditionalFormatting sqref="L2847">
    <cfRule type="expression" dxfId="2391" priority="8189" stopIfTrue="1">
      <formula>OR($L$2847="F/S",$L$2847="")</formula>
    </cfRule>
    <cfRule type="cellIs" dxfId="2390" priority="8190" stopIfTrue="1" operator="notEqual">
      <formula>0</formula>
    </cfRule>
  </conditionalFormatting>
  <conditionalFormatting sqref="O2847">
    <cfRule type="expression" dxfId="2389" priority="8191" stopIfTrue="1">
      <formula>OR($O$2847="F/S",$O$2847="")</formula>
    </cfRule>
    <cfRule type="cellIs" dxfId="2388" priority="8192" stopIfTrue="1" operator="notEqual">
      <formula>0</formula>
    </cfRule>
  </conditionalFormatting>
  <conditionalFormatting sqref="L2862">
    <cfRule type="expression" dxfId="2387" priority="8193" stopIfTrue="1">
      <formula>OR($L$2862="F/S",$L$2862="")</formula>
    </cfRule>
    <cfRule type="cellIs" dxfId="2386" priority="8194" stopIfTrue="1" operator="notEqual">
      <formula>0</formula>
    </cfRule>
  </conditionalFormatting>
  <conditionalFormatting sqref="O2862">
    <cfRule type="expression" dxfId="2385" priority="8195" stopIfTrue="1">
      <formula>OR($O$2862="F/S",$O$2862="")</formula>
    </cfRule>
    <cfRule type="cellIs" dxfId="2384" priority="8196" stopIfTrue="1" operator="notEqual">
      <formula>0</formula>
    </cfRule>
  </conditionalFormatting>
  <conditionalFormatting sqref="L2897">
    <cfRule type="expression" dxfId="2383" priority="8197" stopIfTrue="1">
      <formula>OR($L$2897="F/S",$L$2897="")</formula>
    </cfRule>
    <cfRule type="cellIs" dxfId="2382" priority="8198" stopIfTrue="1" operator="notEqual">
      <formula>0</formula>
    </cfRule>
  </conditionalFormatting>
  <conditionalFormatting sqref="O2897">
    <cfRule type="expression" dxfId="2381" priority="8199" stopIfTrue="1">
      <formula>OR($O$2897="F/S",$O$2897="")</formula>
    </cfRule>
    <cfRule type="cellIs" dxfId="2380" priority="8200" stopIfTrue="1" operator="notEqual">
      <formula>0</formula>
    </cfRule>
  </conditionalFormatting>
  <conditionalFormatting sqref="L2908">
    <cfRule type="expression" dxfId="2379" priority="8205" stopIfTrue="1">
      <formula>OR($L$2908="F/S",$L$2908="")</formula>
    </cfRule>
    <cfRule type="cellIs" dxfId="2378" priority="8206" stopIfTrue="1" operator="notEqual">
      <formula>0</formula>
    </cfRule>
  </conditionalFormatting>
  <conditionalFormatting sqref="O2908">
    <cfRule type="expression" dxfId="2377" priority="8207" stopIfTrue="1">
      <formula>OR($O$2908="F/S",$O$2908="")</formula>
    </cfRule>
    <cfRule type="cellIs" dxfId="2376" priority="8208" stopIfTrue="1" operator="notEqual">
      <formula>0</formula>
    </cfRule>
  </conditionalFormatting>
  <conditionalFormatting sqref="L2920">
    <cfRule type="expression" dxfId="2375" priority="8209" stopIfTrue="1">
      <formula>OR($L$2920="F/S",$L$2920="")</formula>
    </cfRule>
    <cfRule type="cellIs" dxfId="2374" priority="8210" stopIfTrue="1" operator="notEqual">
      <formula>0</formula>
    </cfRule>
  </conditionalFormatting>
  <conditionalFormatting sqref="O2920">
    <cfRule type="expression" dxfId="2373" priority="8211" stopIfTrue="1">
      <formula>OR($O$2920="F/S",$O$2920="")</formula>
    </cfRule>
    <cfRule type="cellIs" dxfId="2372" priority="8212" stopIfTrue="1" operator="notEqual">
      <formula>0</formula>
    </cfRule>
  </conditionalFormatting>
  <conditionalFormatting sqref="L2982">
    <cfRule type="expression" dxfId="2371" priority="8225" stopIfTrue="1">
      <formula>OR($L$2982="F/S",$L$2982="")</formula>
    </cfRule>
    <cfRule type="cellIs" dxfId="2370" priority="8226" stopIfTrue="1" operator="notEqual">
      <formula>0</formula>
    </cfRule>
  </conditionalFormatting>
  <conditionalFormatting sqref="O2982">
    <cfRule type="expression" dxfId="2369" priority="8227" stopIfTrue="1">
      <formula>OR($O$2982="F/S",$O$2982="")</formula>
    </cfRule>
    <cfRule type="cellIs" dxfId="2368" priority="8228" stopIfTrue="1" operator="notEqual">
      <formula>0</formula>
    </cfRule>
  </conditionalFormatting>
  <conditionalFormatting sqref="L3006">
    <cfRule type="expression" dxfId="2367" priority="8233" stopIfTrue="1">
      <formula>OR($L$3006="F/S",$L$3006="")</formula>
    </cfRule>
    <cfRule type="cellIs" dxfId="2366" priority="8234" stopIfTrue="1" operator="notEqual">
      <formula>0</formula>
    </cfRule>
  </conditionalFormatting>
  <conditionalFormatting sqref="O3006">
    <cfRule type="expression" dxfId="2365" priority="8235" stopIfTrue="1">
      <formula>OR($O$3006="F/S",$O$3006="")</formula>
    </cfRule>
    <cfRule type="cellIs" dxfId="2364" priority="8236" stopIfTrue="1" operator="notEqual">
      <formula>0</formula>
    </cfRule>
  </conditionalFormatting>
  <conditionalFormatting sqref="L3043">
    <cfRule type="expression" dxfId="2363" priority="8241" stopIfTrue="1">
      <formula>OR($L$3043="F/S",$L$3043="")</formula>
    </cfRule>
    <cfRule type="cellIs" dxfId="2362" priority="8242" stopIfTrue="1" operator="notEqual">
      <formula>0</formula>
    </cfRule>
  </conditionalFormatting>
  <conditionalFormatting sqref="O3043">
    <cfRule type="expression" dxfId="2361" priority="8243" stopIfTrue="1">
      <formula>OR($O$3043="F/S",$O$3043="")</formula>
    </cfRule>
    <cfRule type="cellIs" dxfId="2360" priority="8244" stopIfTrue="1" operator="notEqual">
      <formula>0</formula>
    </cfRule>
  </conditionalFormatting>
  <conditionalFormatting sqref="L3113">
    <cfRule type="expression" dxfId="2359" priority="8257" stopIfTrue="1">
      <formula>OR($L$3113="F/S",$L$3113="")</formula>
    </cfRule>
    <cfRule type="cellIs" dxfId="2358" priority="8258" stopIfTrue="1" operator="notEqual">
      <formula>0</formula>
    </cfRule>
  </conditionalFormatting>
  <conditionalFormatting sqref="O3113">
    <cfRule type="expression" dxfId="2357" priority="8259" stopIfTrue="1">
      <formula>OR($O$3113="F/S",$O$3113="")</formula>
    </cfRule>
    <cfRule type="cellIs" dxfId="2356" priority="8260" stopIfTrue="1" operator="notEqual">
      <formula>0</formula>
    </cfRule>
  </conditionalFormatting>
  <conditionalFormatting sqref="L3126">
    <cfRule type="expression" dxfId="2355" priority="8261" stopIfTrue="1">
      <formula>OR($L$3126="F/S",$L$3126="")</formula>
    </cfRule>
    <cfRule type="cellIs" dxfId="2354" priority="8262" stopIfTrue="1" operator="notEqual">
      <formula>0</formula>
    </cfRule>
  </conditionalFormatting>
  <conditionalFormatting sqref="O3126">
    <cfRule type="expression" dxfId="2353" priority="8263" stopIfTrue="1">
      <formula>OR($O$3126="F/S",$O$3126="")</formula>
    </cfRule>
    <cfRule type="cellIs" dxfId="2352" priority="8264" stopIfTrue="1" operator="notEqual">
      <formula>0</formula>
    </cfRule>
  </conditionalFormatting>
  <conditionalFormatting sqref="L3162">
    <cfRule type="expression" dxfId="2351" priority="8265" stopIfTrue="1">
      <formula>OR($L$3162="F/S",$L$3162="")</formula>
    </cfRule>
    <cfRule type="cellIs" dxfId="2350" priority="8266" stopIfTrue="1" operator="notEqual">
      <formula>0</formula>
    </cfRule>
  </conditionalFormatting>
  <conditionalFormatting sqref="O3162">
    <cfRule type="expression" dxfId="2349" priority="8267" stopIfTrue="1">
      <formula>OR($O$3162="F/S",$O$3162="")</formula>
    </cfRule>
    <cfRule type="cellIs" dxfId="2348" priority="8268" stopIfTrue="1" operator="notEqual">
      <formula>0</formula>
    </cfRule>
  </conditionalFormatting>
  <conditionalFormatting sqref="L3175">
    <cfRule type="expression" dxfId="2347" priority="8277" stopIfTrue="1">
      <formula>OR($L$3175="F/S",$L$3175="")</formula>
    </cfRule>
    <cfRule type="cellIs" dxfId="2346" priority="8278" stopIfTrue="1" operator="notEqual">
      <formula>0</formula>
    </cfRule>
  </conditionalFormatting>
  <conditionalFormatting sqref="O3175">
    <cfRule type="expression" dxfId="2345" priority="8279" stopIfTrue="1">
      <formula>OR($O$3175="F/S",$O$3175="")</formula>
    </cfRule>
    <cfRule type="cellIs" dxfId="2344" priority="8280" stopIfTrue="1" operator="notEqual">
      <formula>0</formula>
    </cfRule>
  </conditionalFormatting>
  <conditionalFormatting sqref="L3188">
    <cfRule type="expression" dxfId="2343" priority="8281" stopIfTrue="1">
      <formula>OR($L$3188="F/S",$L$3188="")</formula>
    </cfRule>
    <cfRule type="cellIs" dxfId="2342" priority="8282" stopIfTrue="1" operator="notEqual">
      <formula>0</formula>
    </cfRule>
  </conditionalFormatting>
  <conditionalFormatting sqref="O3188">
    <cfRule type="expression" dxfId="2341" priority="8283" stopIfTrue="1">
      <formula>OR($O$3188="F/S",$O$3188="")</formula>
    </cfRule>
    <cfRule type="cellIs" dxfId="2340" priority="8284" stopIfTrue="1" operator="notEqual">
      <formula>0</formula>
    </cfRule>
  </conditionalFormatting>
  <conditionalFormatting sqref="L3200">
    <cfRule type="expression" dxfId="2339" priority="8285" stopIfTrue="1">
      <formula>OR($L$3200="F/S",$L$3200="")</formula>
    </cfRule>
    <cfRule type="cellIs" dxfId="2338" priority="8286" stopIfTrue="1" operator="notEqual">
      <formula>0</formula>
    </cfRule>
  </conditionalFormatting>
  <conditionalFormatting sqref="O3200">
    <cfRule type="expression" dxfId="2337" priority="8287" stopIfTrue="1">
      <formula>OR($O$3200="F/S",$O$3200="")</formula>
    </cfRule>
    <cfRule type="cellIs" dxfId="2336" priority="8288" stopIfTrue="1" operator="notEqual">
      <formula>0</formula>
    </cfRule>
  </conditionalFormatting>
  <conditionalFormatting sqref="L3213">
    <cfRule type="expression" dxfId="2335" priority="8289" stopIfTrue="1">
      <formula>OR($L$3213="F/S",$L$3213="")</formula>
    </cfRule>
    <cfRule type="cellIs" dxfId="2334" priority="8290" stopIfTrue="1" operator="notEqual">
      <formula>0</formula>
    </cfRule>
  </conditionalFormatting>
  <conditionalFormatting sqref="O3213">
    <cfRule type="expression" dxfId="2333" priority="8291" stopIfTrue="1">
      <formula>OR($O$3213="F/S",$O$3213="")</formula>
    </cfRule>
    <cfRule type="cellIs" dxfId="2332" priority="8292" stopIfTrue="1" operator="notEqual">
      <formula>0</formula>
    </cfRule>
  </conditionalFormatting>
  <conditionalFormatting sqref="L3225">
    <cfRule type="expression" dxfId="2331" priority="8293" stopIfTrue="1">
      <formula>OR($L$3225="F/S",$L$3225="")</formula>
    </cfRule>
    <cfRule type="cellIs" dxfId="2330" priority="8294" stopIfTrue="1" operator="notEqual">
      <formula>0</formula>
    </cfRule>
  </conditionalFormatting>
  <conditionalFormatting sqref="O3225">
    <cfRule type="expression" dxfId="2329" priority="8295" stopIfTrue="1">
      <formula>OR($O$3225="F/S",$O$3225="")</formula>
    </cfRule>
    <cfRule type="cellIs" dxfId="2328" priority="8296" stopIfTrue="1" operator="notEqual">
      <formula>0</formula>
    </cfRule>
  </conditionalFormatting>
  <conditionalFormatting sqref="L3240">
    <cfRule type="expression" dxfId="2327" priority="8297" stopIfTrue="1">
      <formula>OR($L$3240="F/S",$L$3240="")</formula>
    </cfRule>
    <cfRule type="cellIs" dxfId="2326" priority="8298" stopIfTrue="1" operator="notEqual">
      <formula>0</formula>
    </cfRule>
  </conditionalFormatting>
  <conditionalFormatting sqref="O3240">
    <cfRule type="expression" dxfId="2325" priority="8299" stopIfTrue="1">
      <formula>OR($O$3240="F/S",$O$3240="")</formula>
    </cfRule>
    <cfRule type="cellIs" dxfId="2324" priority="8300" stopIfTrue="1" operator="notEqual">
      <formula>0</formula>
    </cfRule>
  </conditionalFormatting>
  <conditionalFormatting sqref="L3256">
    <cfRule type="expression" dxfId="2323" priority="8301" stopIfTrue="1">
      <formula>OR($L$3256="F/S",$L$3256="")</formula>
    </cfRule>
    <cfRule type="cellIs" dxfId="2322" priority="8302" stopIfTrue="1" operator="notEqual">
      <formula>0</formula>
    </cfRule>
  </conditionalFormatting>
  <conditionalFormatting sqref="O3256">
    <cfRule type="expression" dxfId="2321" priority="8303" stopIfTrue="1">
      <formula>OR($O$3256="F/S",$O$3256="")</formula>
    </cfRule>
    <cfRule type="cellIs" dxfId="2320" priority="8304" stopIfTrue="1" operator="notEqual">
      <formula>0</formula>
    </cfRule>
  </conditionalFormatting>
  <conditionalFormatting sqref="L3269">
    <cfRule type="expression" dxfId="2319" priority="8305" stopIfTrue="1">
      <formula>OR($L$3269="F/S",$L$3269="")</formula>
    </cfRule>
    <cfRule type="cellIs" dxfId="2318" priority="8306" stopIfTrue="1" operator="notEqual">
      <formula>0</formula>
    </cfRule>
  </conditionalFormatting>
  <conditionalFormatting sqref="O3269">
    <cfRule type="expression" dxfId="2317" priority="8307" stopIfTrue="1">
      <formula>OR($O$3269="F/S",$O$3269="")</formula>
    </cfRule>
    <cfRule type="cellIs" dxfId="2316" priority="8308" stopIfTrue="1" operator="notEqual">
      <formula>0</formula>
    </cfRule>
  </conditionalFormatting>
  <conditionalFormatting sqref="L3276">
    <cfRule type="expression" dxfId="2315" priority="8309" stopIfTrue="1">
      <formula>OR($L$3276="F/S",$L$3276="")</formula>
    </cfRule>
    <cfRule type="cellIs" dxfId="2314" priority="8310" stopIfTrue="1" operator="notEqual">
      <formula>0</formula>
    </cfRule>
  </conditionalFormatting>
  <conditionalFormatting sqref="O3276">
    <cfRule type="expression" dxfId="2313" priority="8311" stopIfTrue="1">
      <formula>OR($O$3276="F/S",$O$3276="")</formula>
    </cfRule>
    <cfRule type="cellIs" dxfId="2312" priority="8312" stopIfTrue="1" operator="notEqual">
      <formula>0</formula>
    </cfRule>
  </conditionalFormatting>
  <conditionalFormatting sqref="L3286">
    <cfRule type="expression" dxfId="2311" priority="8313" stopIfTrue="1">
      <formula>OR($L$3286="F/S",$L$3286="")</formula>
    </cfRule>
    <cfRule type="cellIs" dxfId="2310" priority="8314" stopIfTrue="1" operator="notEqual">
      <formula>0</formula>
    </cfRule>
  </conditionalFormatting>
  <conditionalFormatting sqref="O3286">
    <cfRule type="expression" dxfId="2309" priority="8315" stopIfTrue="1">
      <formula>OR($O$3286="F/S",$O$3286="")</formula>
    </cfRule>
    <cfRule type="cellIs" dxfId="2308" priority="8316" stopIfTrue="1" operator="notEqual">
      <formula>0</formula>
    </cfRule>
  </conditionalFormatting>
  <conditionalFormatting sqref="L3306">
    <cfRule type="expression" dxfId="2307" priority="8317" stopIfTrue="1">
      <formula>OR($L$3306="F/S",$L$3306="")</formula>
    </cfRule>
    <cfRule type="cellIs" dxfId="2306" priority="8318" stopIfTrue="1" operator="notEqual">
      <formula>0</formula>
    </cfRule>
  </conditionalFormatting>
  <conditionalFormatting sqref="O3306">
    <cfRule type="expression" dxfId="2305" priority="8319" stopIfTrue="1">
      <formula>OR($O$3306="F/S",$O$3306="")</formula>
    </cfRule>
    <cfRule type="cellIs" dxfId="2304" priority="8320" stopIfTrue="1" operator="notEqual">
      <formula>0</formula>
    </cfRule>
  </conditionalFormatting>
  <conditionalFormatting sqref="L5208">
    <cfRule type="expression" dxfId="2303" priority="8321" stopIfTrue="1">
      <formula>OR($L$5208="F/S",$L$5208="")</formula>
    </cfRule>
    <cfRule type="cellIs" dxfId="2302" priority="8322" stopIfTrue="1" operator="notEqual">
      <formula>0</formula>
    </cfRule>
  </conditionalFormatting>
  <conditionalFormatting sqref="O5208">
    <cfRule type="expression" dxfId="2301" priority="8323" stopIfTrue="1">
      <formula>OR($O$5208="F/S",$O$5208="")</formula>
    </cfRule>
    <cfRule type="cellIs" dxfId="2300" priority="8324" stopIfTrue="1" operator="notEqual">
      <formula>0</formula>
    </cfRule>
  </conditionalFormatting>
  <conditionalFormatting sqref="L5194">
    <cfRule type="expression" dxfId="2299" priority="8325" stopIfTrue="1">
      <formula>OR($L$5194="F/S",$L$5194="")</formula>
    </cfRule>
    <cfRule type="cellIs" dxfId="2298" priority="8326" stopIfTrue="1" operator="notEqual">
      <formula>0</formula>
    </cfRule>
  </conditionalFormatting>
  <conditionalFormatting sqref="O5194">
    <cfRule type="expression" dxfId="2297" priority="8327" stopIfTrue="1">
      <formula>OR($O$5194="F/S",$O$5194="")</formula>
    </cfRule>
    <cfRule type="cellIs" dxfId="2296" priority="8328" stopIfTrue="1" operator="notEqual">
      <formula>0</formula>
    </cfRule>
  </conditionalFormatting>
  <conditionalFormatting sqref="L3319">
    <cfRule type="expression" dxfId="2295" priority="8329" stopIfTrue="1">
      <formula>OR($L$3319="F/S",$L$3319="")</formula>
    </cfRule>
    <cfRule type="cellIs" dxfId="2294" priority="8330" stopIfTrue="1" operator="notEqual">
      <formula>0</formula>
    </cfRule>
  </conditionalFormatting>
  <conditionalFormatting sqref="O3319">
    <cfRule type="expression" dxfId="2293" priority="8331" stopIfTrue="1">
      <formula>OR($O$3319="F/S",$O$3319="")</formula>
    </cfRule>
    <cfRule type="cellIs" dxfId="2292" priority="8332" stopIfTrue="1" operator="notEqual">
      <formula>0</formula>
    </cfRule>
  </conditionalFormatting>
  <conditionalFormatting sqref="L3359">
    <cfRule type="expression" dxfId="2291" priority="8333" stopIfTrue="1">
      <formula>OR($L$3359="F/S",$L$3359="")</formula>
    </cfRule>
    <cfRule type="cellIs" dxfId="2290" priority="8334" stopIfTrue="1" operator="notEqual">
      <formula>0</formula>
    </cfRule>
  </conditionalFormatting>
  <conditionalFormatting sqref="O3359">
    <cfRule type="expression" dxfId="2289" priority="8335" stopIfTrue="1">
      <formula>OR($O$3359="F/S",$O$3359="")</formula>
    </cfRule>
    <cfRule type="cellIs" dxfId="2288" priority="8336" stopIfTrue="1" operator="notEqual">
      <formula>0</formula>
    </cfRule>
  </conditionalFormatting>
  <conditionalFormatting sqref="L3329">
    <cfRule type="expression" dxfId="2287" priority="8337" stopIfTrue="1">
      <formula>OR($L$3329="F/S",$L$3329="")</formula>
    </cfRule>
    <cfRule type="cellIs" dxfId="2286" priority="8338" stopIfTrue="1" operator="notEqual">
      <formula>0</formula>
    </cfRule>
  </conditionalFormatting>
  <conditionalFormatting sqref="O3329">
    <cfRule type="expression" dxfId="2285" priority="8339" stopIfTrue="1">
      <formula>OR($O$3329="F/S",$O$3329="")</formula>
    </cfRule>
    <cfRule type="cellIs" dxfId="2284" priority="8340" stopIfTrue="1" operator="notEqual">
      <formula>0</formula>
    </cfRule>
  </conditionalFormatting>
  <conditionalFormatting sqref="L3339">
    <cfRule type="expression" dxfId="2283" priority="8341" stopIfTrue="1">
      <formula>OR($L$3339="F/S",$L$3339="")</formula>
    </cfRule>
    <cfRule type="cellIs" dxfId="2282" priority="8342" stopIfTrue="1" operator="notEqual">
      <formula>0</formula>
    </cfRule>
  </conditionalFormatting>
  <conditionalFormatting sqref="O3339">
    <cfRule type="expression" dxfId="2281" priority="8343" stopIfTrue="1">
      <formula>OR($O$3339="F/S",$O$3339="")</formula>
    </cfRule>
    <cfRule type="cellIs" dxfId="2280" priority="8344" stopIfTrue="1" operator="notEqual">
      <formula>0</formula>
    </cfRule>
  </conditionalFormatting>
  <conditionalFormatting sqref="L3349">
    <cfRule type="expression" dxfId="2279" priority="8345" stopIfTrue="1">
      <formula>OR($L$3349="F/S",$L$3349="")</formula>
    </cfRule>
    <cfRule type="cellIs" dxfId="2278" priority="8346" stopIfTrue="1" operator="notEqual">
      <formula>0</formula>
    </cfRule>
  </conditionalFormatting>
  <conditionalFormatting sqref="O3349">
    <cfRule type="expression" dxfId="2277" priority="8347" stopIfTrue="1">
      <formula>OR($O$3349="F/S",$O$3349="")</formula>
    </cfRule>
    <cfRule type="cellIs" dxfId="2276" priority="8348" stopIfTrue="1" operator="notEqual">
      <formula>0</formula>
    </cfRule>
  </conditionalFormatting>
  <conditionalFormatting sqref="L3370">
    <cfRule type="expression" dxfId="2275" priority="8349" stopIfTrue="1">
      <formula>OR($L$3370="F/S",$L$3370="")</formula>
    </cfRule>
    <cfRule type="cellIs" dxfId="2274" priority="8350" stopIfTrue="1" operator="notEqual">
      <formula>0</formula>
    </cfRule>
  </conditionalFormatting>
  <conditionalFormatting sqref="O3370">
    <cfRule type="expression" dxfId="2273" priority="8351" stopIfTrue="1">
      <formula>OR($O$3370="F/S",$O$3370="")</formula>
    </cfRule>
    <cfRule type="cellIs" dxfId="2272" priority="8352" stopIfTrue="1" operator="notEqual">
      <formula>0</formula>
    </cfRule>
  </conditionalFormatting>
  <conditionalFormatting sqref="L3409">
    <cfRule type="expression" dxfId="2271" priority="8353" stopIfTrue="1">
      <formula>OR($L$3409="F/S",$L$3409="")</formula>
    </cfRule>
    <cfRule type="cellIs" dxfId="2270" priority="8354" stopIfTrue="1" operator="notEqual">
      <formula>0</formula>
    </cfRule>
  </conditionalFormatting>
  <conditionalFormatting sqref="O3409">
    <cfRule type="expression" dxfId="2269" priority="8355" stopIfTrue="1">
      <formula>OR($O$3409="F/S",$O$3409="")</formula>
    </cfRule>
    <cfRule type="cellIs" dxfId="2268" priority="8356" stopIfTrue="1" operator="notEqual">
      <formula>0</formula>
    </cfRule>
  </conditionalFormatting>
  <conditionalFormatting sqref="L3381">
    <cfRule type="expression" dxfId="2267" priority="8357" stopIfTrue="1">
      <formula>OR($L$3381="F/S",$L$3381="")</formula>
    </cfRule>
    <cfRule type="cellIs" dxfId="2266" priority="8358" stopIfTrue="1" operator="notEqual">
      <formula>0</formula>
    </cfRule>
  </conditionalFormatting>
  <conditionalFormatting sqref="O3381">
    <cfRule type="expression" dxfId="2265" priority="8359" stopIfTrue="1">
      <formula>OR($O$3381="F/S",$O$3381="")</formula>
    </cfRule>
    <cfRule type="cellIs" dxfId="2264" priority="8360" stopIfTrue="1" operator="notEqual">
      <formula>0</formula>
    </cfRule>
  </conditionalFormatting>
  <conditionalFormatting sqref="L3394">
    <cfRule type="expression" dxfId="2263" priority="8361" stopIfTrue="1">
      <formula>OR($L$3394="F/S",$L$3394="")</formula>
    </cfRule>
    <cfRule type="cellIs" dxfId="2262" priority="8362" stopIfTrue="1" operator="notEqual">
      <formula>0</formula>
    </cfRule>
  </conditionalFormatting>
  <conditionalFormatting sqref="O3394">
    <cfRule type="expression" dxfId="2261" priority="8363" stopIfTrue="1">
      <formula>OR($O$3394="F/S",$O$3394="")</formula>
    </cfRule>
    <cfRule type="cellIs" dxfId="2260" priority="8364" stopIfTrue="1" operator="notEqual">
      <formula>0</formula>
    </cfRule>
  </conditionalFormatting>
  <conditionalFormatting sqref="L3421">
    <cfRule type="expression" dxfId="2259" priority="8365" stopIfTrue="1">
      <formula>OR($L$3421="F/S",$L$3421="")</formula>
    </cfRule>
    <cfRule type="cellIs" dxfId="2258" priority="8366" stopIfTrue="1" operator="notEqual">
      <formula>0</formula>
    </cfRule>
  </conditionalFormatting>
  <conditionalFormatting sqref="O3421">
    <cfRule type="expression" dxfId="2257" priority="8367" stopIfTrue="1">
      <formula>OR($O$3421="F/S",$O$3421="")</formula>
    </cfRule>
    <cfRule type="cellIs" dxfId="2256" priority="8368" stopIfTrue="1" operator="notEqual">
      <formula>0</formula>
    </cfRule>
  </conditionalFormatting>
  <conditionalFormatting sqref="L3432">
    <cfRule type="expression" dxfId="2255" priority="8369" stopIfTrue="1">
      <formula>OR($L$3432="F/S",$L$3432="")</formula>
    </cfRule>
    <cfRule type="cellIs" dxfId="2254" priority="8370" stopIfTrue="1" operator="notEqual">
      <formula>0</formula>
    </cfRule>
  </conditionalFormatting>
  <conditionalFormatting sqref="O3432">
    <cfRule type="expression" dxfId="2253" priority="8371" stopIfTrue="1">
      <formula>OR($O$3432="F/S",$O$3432="")</formula>
    </cfRule>
    <cfRule type="cellIs" dxfId="2252" priority="8372" stopIfTrue="1" operator="notEqual">
      <formula>0</formula>
    </cfRule>
  </conditionalFormatting>
  <conditionalFormatting sqref="L3443">
    <cfRule type="expression" dxfId="2251" priority="8373" stopIfTrue="1">
      <formula>OR($L$3443="F/S",$L$3443="")</formula>
    </cfRule>
    <cfRule type="cellIs" dxfId="2250" priority="8374" stopIfTrue="1" operator="notEqual">
      <formula>0</formula>
    </cfRule>
  </conditionalFormatting>
  <conditionalFormatting sqref="O3443">
    <cfRule type="expression" dxfId="2249" priority="8375" stopIfTrue="1">
      <formula>OR($O$3443="F/S",$O$3443="")</formula>
    </cfRule>
    <cfRule type="cellIs" dxfId="2248" priority="8376" stopIfTrue="1" operator="notEqual">
      <formula>0</formula>
    </cfRule>
  </conditionalFormatting>
  <conditionalFormatting sqref="L3471">
    <cfRule type="expression" dxfId="2247" priority="8377" stopIfTrue="1">
      <formula>OR($L$3471="F/S",$L$3471="")</formula>
    </cfRule>
    <cfRule type="cellIs" dxfId="2246" priority="8378" stopIfTrue="1" operator="notEqual">
      <formula>0</formula>
    </cfRule>
  </conditionalFormatting>
  <conditionalFormatting sqref="O3471">
    <cfRule type="expression" dxfId="2245" priority="8379" stopIfTrue="1">
      <formula>OR($O$3471="F/S",$O$3471="")</formula>
    </cfRule>
    <cfRule type="cellIs" dxfId="2244" priority="8380" stopIfTrue="1" operator="notEqual">
      <formula>0</formula>
    </cfRule>
  </conditionalFormatting>
  <conditionalFormatting sqref="L3454">
    <cfRule type="expression" dxfId="2243" priority="8381" stopIfTrue="1">
      <formula>OR($L$3454="F/S",$L$3454="")</formula>
    </cfRule>
    <cfRule type="cellIs" dxfId="2242" priority="8382" stopIfTrue="1" operator="notEqual">
      <formula>0</formula>
    </cfRule>
  </conditionalFormatting>
  <conditionalFormatting sqref="O3454">
    <cfRule type="expression" dxfId="2241" priority="8383" stopIfTrue="1">
      <formula>OR($O$3454="F/S",$O$3454="")</formula>
    </cfRule>
    <cfRule type="cellIs" dxfId="2240" priority="8384" stopIfTrue="1" operator="notEqual">
      <formula>0</formula>
    </cfRule>
  </conditionalFormatting>
  <conditionalFormatting sqref="L3491">
    <cfRule type="expression" dxfId="2239" priority="8385" stopIfTrue="1">
      <formula>OR($L$3491="F/S",$L$3491="")</formula>
    </cfRule>
    <cfRule type="cellIs" dxfId="2238" priority="8386" stopIfTrue="1" operator="notEqual">
      <formula>0</formula>
    </cfRule>
  </conditionalFormatting>
  <conditionalFormatting sqref="O3491">
    <cfRule type="expression" dxfId="2237" priority="8387" stopIfTrue="1">
      <formula>OR($O$3491="F/S",$O$3491="")</formula>
    </cfRule>
    <cfRule type="cellIs" dxfId="2236" priority="8388" stopIfTrue="1" operator="notEqual">
      <formula>0</formula>
    </cfRule>
  </conditionalFormatting>
  <conditionalFormatting sqref="L3481">
    <cfRule type="expression" dxfId="2235" priority="8389" stopIfTrue="1">
      <formula>OR($L$3481="F/S",$L$3481="")</formula>
    </cfRule>
    <cfRule type="cellIs" dxfId="2234" priority="8390" stopIfTrue="1" operator="notEqual">
      <formula>0</formula>
    </cfRule>
  </conditionalFormatting>
  <conditionalFormatting sqref="O3481">
    <cfRule type="expression" dxfId="2233" priority="8391" stopIfTrue="1">
      <formula>OR($O$3481="F/S",$O$3481="")</formula>
    </cfRule>
    <cfRule type="cellIs" dxfId="2232" priority="8392" stopIfTrue="1" operator="notEqual">
      <formula>0</formula>
    </cfRule>
  </conditionalFormatting>
  <conditionalFormatting sqref="L3501">
    <cfRule type="expression" dxfId="2231" priority="8393" stopIfTrue="1">
      <formula>OR($L$3501="F/S",$L$3501="")</formula>
    </cfRule>
    <cfRule type="cellIs" dxfId="2230" priority="8394" stopIfTrue="1" operator="notEqual">
      <formula>0</formula>
    </cfRule>
  </conditionalFormatting>
  <conditionalFormatting sqref="O3501">
    <cfRule type="expression" dxfId="2229" priority="8395" stopIfTrue="1">
      <formula>OR($O$3501="F/S",$O$3501="")</formula>
    </cfRule>
    <cfRule type="cellIs" dxfId="2228" priority="8396" stopIfTrue="1" operator="notEqual">
      <formula>0</formula>
    </cfRule>
  </conditionalFormatting>
  <conditionalFormatting sqref="L3511">
    <cfRule type="expression" dxfId="2227" priority="8397" stopIfTrue="1">
      <formula>OR($L$3511="F/S",$L$3511="")</formula>
    </cfRule>
    <cfRule type="cellIs" dxfId="2226" priority="8398" stopIfTrue="1" operator="notEqual">
      <formula>0</formula>
    </cfRule>
  </conditionalFormatting>
  <conditionalFormatting sqref="O3511">
    <cfRule type="expression" dxfId="2225" priority="8399" stopIfTrue="1">
      <formula>OR($O$3511="F/S",$O$3511="")</formula>
    </cfRule>
    <cfRule type="cellIs" dxfId="2224" priority="8400" stopIfTrue="1" operator="notEqual">
      <formula>0</formula>
    </cfRule>
  </conditionalFormatting>
  <conditionalFormatting sqref="L3531">
    <cfRule type="expression" dxfId="2223" priority="8405" stopIfTrue="1">
      <formula>OR($L$3531="F/S",$L$3531="")</formula>
    </cfRule>
    <cfRule type="cellIs" dxfId="2222" priority="8406" stopIfTrue="1" operator="notEqual">
      <formula>0</formula>
    </cfRule>
  </conditionalFormatting>
  <conditionalFormatting sqref="O3531">
    <cfRule type="expression" dxfId="2221" priority="8407" stopIfTrue="1">
      <formula>OR($O$3531="F/S",$O$3531="")</formula>
    </cfRule>
    <cfRule type="cellIs" dxfId="2220" priority="8408" stopIfTrue="1" operator="notEqual">
      <formula>0</formula>
    </cfRule>
  </conditionalFormatting>
  <conditionalFormatting sqref="L3558">
    <cfRule type="expression" dxfId="2219" priority="8409" stopIfTrue="1">
      <formula>OR($L$3558="F/S",$L$3558="")</formula>
    </cfRule>
    <cfRule type="cellIs" dxfId="2218" priority="8410" stopIfTrue="1" operator="notEqual">
      <formula>0</formula>
    </cfRule>
  </conditionalFormatting>
  <conditionalFormatting sqref="O3558">
    <cfRule type="expression" dxfId="2217" priority="8411" stopIfTrue="1">
      <formula>OR($O$3558="F/S",$O$3558="")</formula>
    </cfRule>
    <cfRule type="cellIs" dxfId="2216" priority="8412" stopIfTrue="1" operator="notEqual">
      <formula>0</formula>
    </cfRule>
  </conditionalFormatting>
  <conditionalFormatting sqref="L3568">
    <cfRule type="expression" dxfId="2215" priority="8413" stopIfTrue="1">
      <formula>OR($L$3568="F/S",$L$3568="")</formula>
    </cfRule>
    <cfRule type="cellIs" dxfId="2214" priority="8414" stopIfTrue="1" operator="notEqual">
      <formula>0</formula>
    </cfRule>
  </conditionalFormatting>
  <conditionalFormatting sqref="O3568">
    <cfRule type="expression" dxfId="2213" priority="8415" stopIfTrue="1">
      <formula>OR($O$3568="F/S",$O$3568="")</formula>
    </cfRule>
    <cfRule type="cellIs" dxfId="2212" priority="8416" stopIfTrue="1" operator="notEqual">
      <formula>0</formula>
    </cfRule>
  </conditionalFormatting>
  <conditionalFormatting sqref="L3588">
    <cfRule type="expression" dxfId="2211" priority="8417" stopIfTrue="1">
      <formula>OR($L$3588="F/S",$L$3588="")</formula>
    </cfRule>
    <cfRule type="cellIs" dxfId="2210" priority="8418" stopIfTrue="1" operator="notEqual">
      <formula>0</formula>
    </cfRule>
  </conditionalFormatting>
  <conditionalFormatting sqref="O3588">
    <cfRule type="expression" dxfId="2209" priority="8419" stopIfTrue="1">
      <formula>OR($O$3588="F/S",$O$3588="")</formula>
    </cfRule>
    <cfRule type="cellIs" dxfId="2208" priority="8420" stopIfTrue="1" operator="notEqual">
      <formula>0</formula>
    </cfRule>
  </conditionalFormatting>
  <conditionalFormatting sqref="L3578">
    <cfRule type="expression" dxfId="2207" priority="8425" stopIfTrue="1">
      <formula>OR($L$3578="F/S",$L$3578="")</formula>
    </cfRule>
    <cfRule type="cellIs" dxfId="2206" priority="8426" stopIfTrue="1" operator="notEqual">
      <formula>0</formula>
    </cfRule>
  </conditionalFormatting>
  <conditionalFormatting sqref="O3578">
    <cfRule type="expression" dxfId="2205" priority="8427" stopIfTrue="1">
      <formula>OR($O$3578="F/S",$O$3578="")</formula>
    </cfRule>
    <cfRule type="cellIs" dxfId="2204" priority="8428" stopIfTrue="1" operator="notEqual">
      <formula>0</formula>
    </cfRule>
  </conditionalFormatting>
  <conditionalFormatting sqref="L3541">
    <cfRule type="expression" dxfId="2203" priority="8429" stopIfTrue="1">
      <formula>OR($L$3541="F/S",$L$3541="")</formula>
    </cfRule>
    <cfRule type="cellIs" dxfId="2202" priority="8430" stopIfTrue="1" operator="notEqual">
      <formula>0</formula>
    </cfRule>
  </conditionalFormatting>
  <conditionalFormatting sqref="O3541">
    <cfRule type="expression" dxfId="2201" priority="8431" stopIfTrue="1">
      <formula>OR($O$3541="F/S",$O$3541="")</formula>
    </cfRule>
    <cfRule type="cellIs" dxfId="2200" priority="8432" stopIfTrue="1" operator="notEqual">
      <formula>0</formula>
    </cfRule>
  </conditionalFormatting>
  <conditionalFormatting sqref="L3598">
    <cfRule type="expression" dxfId="2199" priority="8433" stopIfTrue="1">
      <formula>OR($L$3598="F/S",$L$3598="")</formula>
    </cfRule>
    <cfRule type="cellIs" dxfId="2198" priority="8434" stopIfTrue="1" operator="notEqual">
      <formula>0</formula>
    </cfRule>
  </conditionalFormatting>
  <conditionalFormatting sqref="O3598">
    <cfRule type="expression" dxfId="2197" priority="8435" stopIfTrue="1">
      <formula>OR($O$3598="F/S",$O$3598="")</formula>
    </cfRule>
    <cfRule type="cellIs" dxfId="2196" priority="8436" stopIfTrue="1" operator="notEqual">
      <formula>0</formula>
    </cfRule>
  </conditionalFormatting>
  <conditionalFormatting sqref="L3618">
    <cfRule type="expression" dxfId="2195" priority="8437" stopIfTrue="1">
      <formula>OR($L$3618="F/S",$L$3618="")</formula>
    </cfRule>
    <cfRule type="cellIs" dxfId="2194" priority="8438" stopIfTrue="1" operator="notEqual">
      <formula>0</formula>
    </cfRule>
  </conditionalFormatting>
  <conditionalFormatting sqref="O3618">
    <cfRule type="expression" dxfId="2193" priority="8439" stopIfTrue="1">
      <formula>OR($O$3618="F/S",$O$3618="")</formula>
    </cfRule>
    <cfRule type="cellIs" dxfId="2192" priority="8440" stopIfTrue="1" operator="notEqual">
      <formula>0</formula>
    </cfRule>
  </conditionalFormatting>
  <conditionalFormatting sqref="L3628">
    <cfRule type="expression" dxfId="2191" priority="8441" stopIfTrue="1">
      <formula>OR($L$3628="F/S",$L$3628="")</formula>
    </cfRule>
    <cfRule type="cellIs" dxfId="2190" priority="8442" stopIfTrue="1" operator="notEqual">
      <formula>0</formula>
    </cfRule>
  </conditionalFormatting>
  <conditionalFormatting sqref="O3628">
    <cfRule type="expression" dxfId="2189" priority="8443" stopIfTrue="1">
      <formula>OR($O$3628="F/S",$O$3628="")</formula>
    </cfRule>
    <cfRule type="cellIs" dxfId="2188" priority="8444" stopIfTrue="1" operator="notEqual">
      <formula>0</formula>
    </cfRule>
  </conditionalFormatting>
  <conditionalFormatting sqref="L3657">
    <cfRule type="expression" dxfId="2187" priority="8445" stopIfTrue="1">
      <formula>OR($L$3657="F/S",$L$3657="")</formula>
    </cfRule>
    <cfRule type="cellIs" dxfId="2186" priority="8446" stopIfTrue="1" operator="notEqual">
      <formula>0</formula>
    </cfRule>
  </conditionalFormatting>
  <conditionalFormatting sqref="O3657">
    <cfRule type="expression" dxfId="2185" priority="8447" stopIfTrue="1">
      <formula>OR($O$3657="F/S",$O$3657="")</formula>
    </cfRule>
    <cfRule type="cellIs" dxfId="2184" priority="8448" stopIfTrue="1" operator="notEqual">
      <formula>0</formula>
    </cfRule>
  </conditionalFormatting>
  <conditionalFormatting sqref="L3681">
    <cfRule type="expression" dxfId="2183" priority="8449" stopIfTrue="1">
      <formula>OR($L$3681="F/S",$L$3681="")</formula>
    </cfRule>
    <cfRule type="cellIs" dxfId="2182" priority="8450" stopIfTrue="1" operator="notEqual">
      <formula>0</formula>
    </cfRule>
  </conditionalFormatting>
  <conditionalFormatting sqref="O3681">
    <cfRule type="expression" dxfId="2181" priority="8451" stopIfTrue="1">
      <formula>OR($O$3681="F/S",$O$3681="")</formula>
    </cfRule>
    <cfRule type="cellIs" dxfId="2180" priority="8452" stopIfTrue="1" operator="notEqual">
      <formula>0</formula>
    </cfRule>
  </conditionalFormatting>
  <conditionalFormatting sqref="L3713">
    <cfRule type="expression" dxfId="2179" priority="8453" stopIfTrue="1">
      <formula>OR($L$3713="F/S",$L$3713="")</formula>
    </cfRule>
    <cfRule type="cellIs" dxfId="2178" priority="8454" stopIfTrue="1" operator="notEqual">
      <formula>0</formula>
    </cfRule>
  </conditionalFormatting>
  <conditionalFormatting sqref="O3713">
    <cfRule type="expression" dxfId="2177" priority="8455" stopIfTrue="1">
      <formula>OR($O$3713="F/S",$O$3713="")</formula>
    </cfRule>
    <cfRule type="cellIs" dxfId="2176" priority="8456" stopIfTrue="1" operator="notEqual">
      <formula>0</formula>
    </cfRule>
  </conditionalFormatting>
  <conditionalFormatting sqref="L3727">
    <cfRule type="expression" dxfId="2175" priority="8461" stopIfTrue="1">
      <formula>OR($L$3727="F/S",$L$3727="")</formula>
    </cfRule>
    <cfRule type="cellIs" dxfId="2174" priority="8462" stopIfTrue="1" operator="notEqual">
      <formula>0</formula>
    </cfRule>
  </conditionalFormatting>
  <conditionalFormatting sqref="O3727">
    <cfRule type="expression" dxfId="2173" priority="8463" stopIfTrue="1">
      <formula>OR($O$3727="F/S",$O$3727="")</formula>
    </cfRule>
    <cfRule type="cellIs" dxfId="2172" priority="8464" stopIfTrue="1" operator="notEqual">
      <formula>0</formula>
    </cfRule>
  </conditionalFormatting>
  <conditionalFormatting sqref="L3746">
    <cfRule type="expression" dxfId="2171" priority="8465" stopIfTrue="1">
      <formula>OR($L$3746="F/S",$L$3746="")</formula>
    </cfRule>
    <cfRule type="cellIs" dxfId="2170" priority="8466" stopIfTrue="1" operator="notEqual">
      <formula>0</formula>
    </cfRule>
  </conditionalFormatting>
  <conditionalFormatting sqref="O3746">
    <cfRule type="expression" dxfId="2169" priority="8467" stopIfTrue="1">
      <formula>OR($O$3746="F/S",$O$3746="")</formula>
    </cfRule>
    <cfRule type="cellIs" dxfId="2168" priority="8468" stopIfTrue="1" operator="notEqual">
      <formula>0</formula>
    </cfRule>
  </conditionalFormatting>
  <conditionalFormatting sqref="L3770">
    <cfRule type="expression" dxfId="2167" priority="8469" stopIfTrue="1">
      <formula>OR($L$3770="F/S",$L$3770="")</formula>
    </cfRule>
    <cfRule type="cellIs" dxfId="2166" priority="8470" stopIfTrue="1" operator="notEqual">
      <formula>0</formula>
    </cfRule>
  </conditionalFormatting>
  <conditionalFormatting sqref="O3770">
    <cfRule type="expression" dxfId="2165" priority="8471" stopIfTrue="1">
      <formula>OR($O$3770="F/S",$O$3770="")</formula>
    </cfRule>
    <cfRule type="cellIs" dxfId="2164" priority="8472" stopIfTrue="1" operator="notEqual">
      <formula>0</formula>
    </cfRule>
  </conditionalFormatting>
  <conditionalFormatting sqref="L3790">
    <cfRule type="expression" dxfId="2163" priority="8473" stopIfTrue="1">
      <formula>OR($L$3790="F/S",$L$3790="")</formula>
    </cfRule>
    <cfRule type="cellIs" dxfId="2162" priority="8474" stopIfTrue="1" operator="notEqual">
      <formula>0</formula>
    </cfRule>
  </conditionalFormatting>
  <conditionalFormatting sqref="O3790">
    <cfRule type="expression" dxfId="2161" priority="8475" stopIfTrue="1">
      <formula>OR($O$3790="F/S",$O$3790="")</formula>
    </cfRule>
    <cfRule type="cellIs" dxfId="2160" priority="8476" stopIfTrue="1" operator="notEqual">
      <formula>0</formula>
    </cfRule>
  </conditionalFormatting>
  <conditionalFormatting sqref="L3801">
    <cfRule type="expression" dxfId="2159" priority="8477" stopIfTrue="1">
      <formula>OR($L$3801="F/S",$L$3801="")</formula>
    </cfRule>
    <cfRule type="cellIs" dxfId="2158" priority="8478" stopIfTrue="1" operator="notEqual">
      <formula>0</formula>
    </cfRule>
  </conditionalFormatting>
  <conditionalFormatting sqref="O3801">
    <cfRule type="expression" dxfId="2157" priority="8479" stopIfTrue="1">
      <formula>OR($O$3801="F/S",$O$3801="")</formula>
    </cfRule>
    <cfRule type="cellIs" dxfId="2156" priority="8480" stopIfTrue="1" operator="notEqual">
      <formula>0</formula>
    </cfRule>
  </conditionalFormatting>
  <conditionalFormatting sqref="L3818">
    <cfRule type="expression" dxfId="2155" priority="8481" stopIfTrue="1">
      <formula>OR($L$3818="F/S",$L$3818="")</formula>
    </cfRule>
    <cfRule type="cellIs" dxfId="2154" priority="8482" stopIfTrue="1" operator="notEqual">
      <formula>0</formula>
    </cfRule>
  </conditionalFormatting>
  <conditionalFormatting sqref="O3818">
    <cfRule type="expression" dxfId="2153" priority="8483" stopIfTrue="1">
      <formula>OR($O$3818="F/S",$O$3818="")</formula>
    </cfRule>
    <cfRule type="cellIs" dxfId="2152" priority="8484" stopIfTrue="1" operator="notEqual">
      <formula>0</formula>
    </cfRule>
  </conditionalFormatting>
  <conditionalFormatting sqref="L3829">
    <cfRule type="expression" dxfId="2151" priority="8485" stopIfTrue="1">
      <formula>OR($L$3829="F/S",$L$3829="")</formula>
    </cfRule>
    <cfRule type="cellIs" dxfId="2150" priority="8486" stopIfTrue="1" operator="notEqual">
      <formula>0</formula>
    </cfRule>
  </conditionalFormatting>
  <conditionalFormatting sqref="O3829">
    <cfRule type="expression" dxfId="2149" priority="8487" stopIfTrue="1">
      <formula>OR($O$3829="F/S",$O$3829="")</formula>
    </cfRule>
    <cfRule type="cellIs" dxfId="2148" priority="8488" stopIfTrue="1" operator="notEqual">
      <formula>0</formula>
    </cfRule>
  </conditionalFormatting>
  <conditionalFormatting sqref="L3856">
    <cfRule type="expression" dxfId="2147" priority="8489" stopIfTrue="1">
      <formula>OR($L$3856="F/S",$L$3856="")</formula>
    </cfRule>
    <cfRule type="cellIs" dxfId="2146" priority="8490" stopIfTrue="1" operator="notEqual">
      <formula>0</formula>
    </cfRule>
  </conditionalFormatting>
  <conditionalFormatting sqref="O3856">
    <cfRule type="expression" dxfId="2145" priority="8491" stopIfTrue="1">
      <formula>OR($O$3856="F/S",$O$3856="")</formula>
    </cfRule>
    <cfRule type="cellIs" dxfId="2144" priority="8492" stopIfTrue="1" operator="notEqual">
      <formula>0</formula>
    </cfRule>
  </conditionalFormatting>
  <conditionalFormatting sqref="L3839">
    <cfRule type="expression" dxfId="2143" priority="8493" stopIfTrue="1">
      <formula>OR($L$3839="F/S",$L$3839="")</formula>
    </cfRule>
    <cfRule type="cellIs" dxfId="2142" priority="8494" stopIfTrue="1" operator="notEqual">
      <formula>0</formula>
    </cfRule>
  </conditionalFormatting>
  <conditionalFormatting sqref="O3839">
    <cfRule type="expression" dxfId="2141" priority="8495" stopIfTrue="1">
      <formula>OR($O$3839="F/S",$O$3839="")</formula>
    </cfRule>
    <cfRule type="cellIs" dxfId="2140" priority="8496" stopIfTrue="1" operator="notEqual">
      <formula>0</formula>
    </cfRule>
  </conditionalFormatting>
  <conditionalFormatting sqref="L3886">
    <cfRule type="expression" dxfId="2139" priority="8497" stopIfTrue="1">
      <formula>OR($L$3886="F/S",$L$3886="")</formula>
    </cfRule>
    <cfRule type="cellIs" dxfId="2138" priority="8498" stopIfTrue="1" operator="notEqual">
      <formula>0</formula>
    </cfRule>
  </conditionalFormatting>
  <conditionalFormatting sqref="O3886">
    <cfRule type="expression" dxfId="2137" priority="8499" stopIfTrue="1">
      <formula>OR($O$3886="F/S",$O$3886="")</formula>
    </cfRule>
    <cfRule type="cellIs" dxfId="2136" priority="8500" stopIfTrue="1" operator="notEqual">
      <formula>0</formula>
    </cfRule>
  </conditionalFormatting>
  <conditionalFormatting sqref="L3866">
    <cfRule type="expression" dxfId="2135" priority="8501" stopIfTrue="1">
      <formula>OR($L$3866="F/S",$L$3866="")</formula>
    </cfRule>
    <cfRule type="cellIs" dxfId="2134" priority="8502" stopIfTrue="1" operator="notEqual">
      <formula>0</formula>
    </cfRule>
  </conditionalFormatting>
  <conditionalFormatting sqref="O3866">
    <cfRule type="expression" dxfId="2133" priority="8503" stopIfTrue="1">
      <formula>OR($O$3866="F/S",$O$3866="")</formula>
    </cfRule>
    <cfRule type="cellIs" dxfId="2132" priority="8504" stopIfTrue="1" operator="notEqual">
      <formula>0</formula>
    </cfRule>
  </conditionalFormatting>
  <conditionalFormatting sqref="L3876">
    <cfRule type="expression" dxfId="2131" priority="8505" stopIfTrue="1">
      <formula>OR($L$3876="F/S",$L$3876="")</formula>
    </cfRule>
    <cfRule type="cellIs" dxfId="2130" priority="8506" stopIfTrue="1" operator="notEqual">
      <formula>0</formula>
    </cfRule>
  </conditionalFormatting>
  <conditionalFormatting sqref="O3876">
    <cfRule type="expression" dxfId="2129" priority="8507" stopIfTrue="1">
      <formula>OR($O$3876="F/S",$O$3876="")</formula>
    </cfRule>
    <cfRule type="cellIs" dxfId="2128" priority="8508" stopIfTrue="1" operator="notEqual">
      <formula>0</formula>
    </cfRule>
  </conditionalFormatting>
  <conditionalFormatting sqref="L3896">
    <cfRule type="expression" dxfId="2127" priority="8509" stopIfTrue="1">
      <formula>OR($L$3896="F/S",$L$3896="")</formula>
    </cfRule>
    <cfRule type="cellIs" dxfId="2126" priority="8510" stopIfTrue="1" operator="notEqual">
      <formula>0</formula>
    </cfRule>
  </conditionalFormatting>
  <conditionalFormatting sqref="O3896">
    <cfRule type="expression" dxfId="2125" priority="8511" stopIfTrue="1">
      <formula>OR($O$3896="F/S",$O$3896="")</formula>
    </cfRule>
    <cfRule type="cellIs" dxfId="2124" priority="8512" stopIfTrue="1" operator="notEqual">
      <formula>0</formula>
    </cfRule>
  </conditionalFormatting>
  <conditionalFormatting sqref="L3760">
    <cfRule type="expression" dxfId="2123" priority="8513" stopIfTrue="1">
      <formula>OR($L$3760="F/S",$L$3760="")</formula>
    </cfRule>
    <cfRule type="cellIs" dxfId="2122" priority="8514" stopIfTrue="1" operator="notEqual">
      <formula>0</formula>
    </cfRule>
  </conditionalFormatting>
  <conditionalFormatting sqref="O3760">
    <cfRule type="expression" dxfId="2121" priority="8515" stopIfTrue="1">
      <formula>OR($O$3760="F/S",$O$3760="")</formula>
    </cfRule>
    <cfRule type="cellIs" dxfId="2120" priority="8516" stopIfTrue="1" operator="notEqual">
      <formula>0</formula>
    </cfRule>
  </conditionalFormatting>
  <conditionalFormatting sqref="L3916">
    <cfRule type="expression" dxfId="2119" priority="8517" stopIfTrue="1">
      <formula>OR($L$3916="F/S",$L$3916="")</formula>
    </cfRule>
    <cfRule type="cellIs" dxfId="2118" priority="8518" stopIfTrue="1" operator="notEqual">
      <formula>0</formula>
    </cfRule>
  </conditionalFormatting>
  <conditionalFormatting sqref="O3916">
    <cfRule type="expression" dxfId="2117" priority="8519" stopIfTrue="1">
      <formula>OR($O$3916="F/S",$O$3916="")</formula>
    </cfRule>
    <cfRule type="cellIs" dxfId="2116" priority="8520" stopIfTrue="1" operator="notEqual">
      <formula>0</formula>
    </cfRule>
  </conditionalFormatting>
  <conditionalFormatting sqref="L3927">
    <cfRule type="expression" dxfId="2115" priority="8521" stopIfTrue="1">
      <formula>OR($L$3927="F/S",$L$3927="")</formula>
    </cfRule>
    <cfRule type="cellIs" dxfId="2114" priority="8522" stopIfTrue="1" operator="notEqual">
      <formula>0</formula>
    </cfRule>
  </conditionalFormatting>
  <conditionalFormatting sqref="O3927">
    <cfRule type="expression" dxfId="2113" priority="8523" stopIfTrue="1">
      <formula>OR($O$3927="F/S",$O$3927="")</formula>
    </cfRule>
    <cfRule type="cellIs" dxfId="2112" priority="8524" stopIfTrue="1" operator="notEqual">
      <formula>0</formula>
    </cfRule>
  </conditionalFormatting>
  <conditionalFormatting sqref="L3937">
    <cfRule type="expression" dxfId="2111" priority="8525" stopIfTrue="1">
      <formula>OR($L$3937="F/S",$L$3937="")</formula>
    </cfRule>
    <cfRule type="cellIs" dxfId="2110" priority="8526" stopIfTrue="1" operator="notEqual">
      <formula>0</formula>
    </cfRule>
  </conditionalFormatting>
  <conditionalFormatting sqref="O3937">
    <cfRule type="expression" dxfId="2109" priority="8527" stopIfTrue="1">
      <formula>OR($O$3937="F/S",$O$3937="")</formula>
    </cfRule>
    <cfRule type="cellIs" dxfId="2108" priority="8528" stopIfTrue="1" operator="notEqual">
      <formula>0</formula>
    </cfRule>
  </conditionalFormatting>
  <conditionalFormatting sqref="L3947">
    <cfRule type="expression" dxfId="2107" priority="8529" stopIfTrue="1">
      <formula>OR($L$3947="F/S",$L$3947="")</formula>
    </cfRule>
    <cfRule type="cellIs" dxfId="2106" priority="8530" stopIfTrue="1" operator="notEqual">
      <formula>0</formula>
    </cfRule>
  </conditionalFormatting>
  <conditionalFormatting sqref="O3947">
    <cfRule type="expression" dxfId="2105" priority="8531" stopIfTrue="1">
      <formula>OR($O$3947="F/S",$O$3947="")</formula>
    </cfRule>
    <cfRule type="cellIs" dxfId="2104" priority="8532" stopIfTrue="1" operator="notEqual">
      <formula>0</formula>
    </cfRule>
  </conditionalFormatting>
  <conditionalFormatting sqref="L3957">
    <cfRule type="expression" dxfId="2103" priority="8533" stopIfTrue="1">
      <formula>OR($L$3957="F/S",$L$3957="")</formula>
    </cfRule>
    <cfRule type="cellIs" dxfId="2102" priority="8534" stopIfTrue="1" operator="notEqual">
      <formula>0</formula>
    </cfRule>
  </conditionalFormatting>
  <conditionalFormatting sqref="O3957">
    <cfRule type="expression" dxfId="2101" priority="8535" stopIfTrue="1">
      <formula>OR($O$3957="F/S",$O$3957="")</formula>
    </cfRule>
    <cfRule type="cellIs" dxfId="2100" priority="8536" stopIfTrue="1" operator="notEqual">
      <formula>0</formula>
    </cfRule>
  </conditionalFormatting>
  <conditionalFormatting sqref="L3968">
    <cfRule type="expression" dxfId="2099" priority="8537" stopIfTrue="1">
      <formula>OR($L$3968="F/S",$L$3968="")</formula>
    </cfRule>
    <cfRule type="cellIs" dxfId="2098" priority="8538" stopIfTrue="1" operator="notEqual">
      <formula>0</formula>
    </cfRule>
  </conditionalFormatting>
  <conditionalFormatting sqref="O3968">
    <cfRule type="expression" dxfId="2097" priority="8539" stopIfTrue="1">
      <formula>OR($O$3968="F/S",$O$3968="")</formula>
    </cfRule>
    <cfRule type="cellIs" dxfId="2096" priority="8540" stopIfTrue="1" operator="notEqual">
      <formula>0</formula>
    </cfRule>
  </conditionalFormatting>
  <conditionalFormatting sqref="L3979">
    <cfRule type="expression" dxfId="2095" priority="8541" stopIfTrue="1">
      <formula>OR($L$3979="F/S",$L$3979="")</formula>
    </cfRule>
    <cfRule type="cellIs" dxfId="2094" priority="8542" stopIfTrue="1" operator="notEqual">
      <formula>0</formula>
    </cfRule>
  </conditionalFormatting>
  <conditionalFormatting sqref="O3979">
    <cfRule type="expression" dxfId="2093" priority="8543" stopIfTrue="1">
      <formula>OR($O$3979="F/S",$O$3979="")</formula>
    </cfRule>
    <cfRule type="cellIs" dxfId="2092" priority="8544" stopIfTrue="1" operator="notEqual">
      <formula>0</formula>
    </cfRule>
  </conditionalFormatting>
  <conditionalFormatting sqref="L3997">
    <cfRule type="expression" dxfId="2091" priority="8549" stopIfTrue="1">
      <formula>OR($L$3997="F/S",$L$3997="")</formula>
    </cfRule>
    <cfRule type="cellIs" dxfId="2090" priority="8550" stopIfTrue="1" operator="notEqual">
      <formula>0</formula>
    </cfRule>
  </conditionalFormatting>
  <conditionalFormatting sqref="O3997">
    <cfRule type="expression" dxfId="2089" priority="8551" stopIfTrue="1">
      <formula>OR($O$3997="F/S",$O$3997="")</formula>
    </cfRule>
    <cfRule type="cellIs" dxfId="2088" priority="8552" stopIfTrue="1" operator="notEqual">
      <formula>0</formula>
    </cfRule>
  </conditionalFormatting>
  <conditionalFormatting sqref="L4010">
    <cfRule type="expression" dxfId="2087" priority="8553" stopIfTrue="1">
      <formula>OR($L$4010="F/S",$L$4010="")</formula>
    </cfRule>
    <cfRule type="cellIs" dxfId="2086" priority="8554" stopIfTrue="1" operator="notEqual">
      <formula>0</formula>
    </cfRule>
  </conditionalFormatting>
  <conditionalFormatting sqref="O4010">
    <cfRule type="expression" dxfId="2085" priority="8555" stopIfTrue="1">
      <formula>OR($O$4010="F/S",$O$4010="")</formula>
    </cfRule>
    <cfRule type="cellIs" dxfId="2084" priority="8556" stopIfTrue="1" operator="notEqual">
      <formula>0</formula>
    </cfRule>
  </conditionalFormatting>
  <conditionalFormatting sqref="L4020">
    <cfRule type="expression" dxfId="2083" priority="8557" stopIfTrue="1">
      <formula>OR($L$4020="F/S",$L$4020="")</formula>
    </cfRule>
    <cfRule type="cellIs" dxfId="2082" priority="8558" stopIfTrue="1" operator="notEqual">
      <formula>0</formula>
    </cfRule>
  </conditionalFormatting>
  <conditionalFormatting sqref="O4020">
    <cfRule type="expression" dxfId="2081" priority="8559" stopIfTrue="1">
      <formula>OR($O$4020="F/S",$O$4020="")</formula>
    </cfRule>
    <cfRule type="cellIs" dxfId="2080" priority="8560" stopIfTrue="1" operator="notEqual">
      <formula>0</formula>
    </cfRule>
  </conditionalFormatting>
  <conditionalFormatting sqref="L4030">
    <cfRule type="expression" dxfId="2079" priority="8561" stopIfTrue="1">
      <formula>OR($L$4030="F/S",$L$4030="")</formula>
    </cfRule>
    <cfRule type="cellIs" dxfId="2078" priority="8562" stopIfTrue="1" operator="notEqual">
      <formula>0</formula>
    </cfRule>
  </conditionalFormatting>
  <conditionalFormatting sqref="O4030">
    <cfRule type="expression" dxfId="2077" priority="8563" stopIfTrue="1">
      <formula>OR($O$4030="F/S",$O$4030="")</formula>
    </cfRule>
    <cfRule type="cellIs" dxfId="2076" priority="8564" stopIfTrue="1" operator="notEqual">
      <formula>0</formula>
    </cfRule>
  </conditionalFormatting>
  <conditionalFormatting sqref="L4040">
    <cfRule type="expression" dxfId="2075" priority="8565" stopIfTrue="1">
      <formula>OR($L$4040="F/S",$L$4040="")</formula>
    </cfRule>
    <cfRule type="cellIs" dxfId="2074" priority="8566" stopIfTrue="1" operator="notEqual">
      <formula>0</formula>
    </cfRule>
  </conditionalFormatting>
  <conditionalFormatting sqref="O4040">
    <cfRule type="expression" dxfId="2073" priority="8567" stopIfTrue="1">
      <formula>OR($O$4040="F/S",$O$4040="")</formula>
    </cfRule>
    <cfRule type="cellIs" dxfId="2072" priority="8568" stopIfTrue="1" operator="notEqual">
      <formula>0</formula>
    </cfRule>
  </conditionalFormatting>
  <conditionalFormatting sqref="L4051">
    <cfRule type="expression" dxfId="2071" priority="8569" stopIfTrue="1">
      <formula>OR($L$4051="F/S",$L$4051="")</formula>
    </cfRule>
    <cfRule type="cellIs" dxfId="2070" priority="8570" stopIfTrue="1" operator="notEqual">
      <formula>0</formula>
    </cfRule>
  </conditionalFormatting>
  <conditionalFormatting sqref="O4051">
    <cfRule type="expression" dxfId="2069" priority="8571" stopIfTrue="1">
      <formula>OR($O$4051="F/S",$O$4051="")</formula>
    </cfRule>
    <cfRule type="cellIs" dxfId="2068" priority="8572" stopIfTrue="1" operator="notEqual">
      <formula>0</formula>
    </cfRule>
  </conditionalFormatting>
  <conditionalFormatting sqref="L4061">
    <cfRule type="expression" dxfId="2067" priority="8573" stopIfTrue="1">
      <formula>OR($L$4061="F/S",$L$4061="")</formula>
    </cfRule>
    <cfRule type="cellIs" dxfId="2066" priority="8574" stopIfTrue="1" operator="notEqual">
      <formula>0</formula>
    </cfRule>
  </conditionalFormatting>
  <conditionalFormatting sqref="O4061">
    <cfRule type="expression" dxfId="2065" priority="8575" stopIfTrue="1">
      <formula>OR($O$4061="F/S",$O$4061="")</formula>
    </cfRule>
    <cfRule type="cellIs" dxfId="2064" priority="8576" stopIfTrue="1" operator="notEqual">
      <formula>0</formula>
    </cfRule>
  </conditionalFormatting>
  <conditionalFormatting sqref="L4074">
    <cfRule type="expression" dxfId="2063" priority="8577" stopIfTrue="1">
      <formula>OR($L$4074="F/S",$L$4074="")</formula>
    </cfRule>
    <cfRule type="cellIs" dxfId="2062" priority="8578" stopIfTrue="1" operator="notEqual">
      <formula>0</formula>
    </cfRule>
  </conditionalFormatting>
  <conditionalFormatting sqref="O4074">
    <cfRule type="expression" dxfId="2061" priority="8579" stopIfTrue="1">
      <formula>OR($O$4074="F/S",$O$4074="")</formula>
    </cfRule>
    <cfRule type="cellIs" dxfId="2060" priority="8580" stopIfTrue="1" operator="notEqual">
      <formula>0</formula>
    </cfRule>
  </conditionalFormatting>
  <conditionalFormatting sqref="L4084">
    <cfRule type="expression" dxfId="2059" priority="8581" stopIfTrue="1">
      <formula>OR($L$4084="F/S",$L$4084="")</formula>
    </cfRule>
    <cfRule type="cellIs" dxfId="2058" priority="8582" stopIfTrue="1" operator="notEqual">
      <formula>0</formula>
    </cfRule>
  </conditionalFormatting>
  <conditionalFormatting sqref="O4084">
    <cfRule type="expression" dxfId="2057" priority="8583" stopIfTrue="1">
      <formula>OR($O$4084="F/S",$O$4084="")</formula>
    </cfRule>
    <cfRule type="cellIs" dxfId="2056" priority="8584" stopIfTrue="1" operator="notEqual">
      <formula>0</formula>
    </cfRule>
  </conditionalFormatting>
  <conditionalFormatting sqref="L4107">
    <cfRule type="expression" dxfId="2055" priority="8585" stopIfTrue="1">
      <formula>OR($L$4107="F/S",$L$4107="")</formula>
    </cfRule>
    <cfRule type="cellIs" dxfId="2054" priority="8586" stopIfTrue="1" operator="notEqual">
      <formula>0</formula>
    </cfRule>
  </conditionalFormatting>
  <conditionalFormatting sqref="O4107">
    <cfRule type="expression" dxfId="2053" priority="8587" stopIfTrue="1">
      <formula>OR($O$4107="F/S",$O$4107="")</formula>
    </cfRule>
    <cfRule type="cellIs" dxfId="2052" priority="8588" stopIfTrue="1" operator="notEqual">
      <formula>0</formula>
    </cfRule>
  </conditionalFormatting>
  <conditionalFormatting sqref="L4118">
    <cfRule type="expression" dxfId="2051" priority="8589" stopIfTrue="1">
      <formula>OR($L$4118="F/S",$L$4118="")</formula>
    </cfRule>
    <cfRule type="cellIs" dxfId="2050" priority="8590" stopIfTrue="1" operator="notEqual">
      <formula>0</formula>
    </cfRule>
  </conditionalFormatting>
  <conditionalFormatting sqref="O4118">
    <cfRule type="expression" dxfId="2049" priority="8591" stopIfTrue="1">
      <formula>OR($O$4118="F/S",$O$4118="")</formula>
    </cfRule>
    <cfRule type="cellIs" dxfId="2048" priority="8592" stopIfTrue="1" operator="notEqual">
      <formula>0</formula>
    </cfRule>
  </conditionalFormatting>
  <conditionalFormatting sqref="L4136">
    <cfRule type="expression" dxfId="2047" priority="8593" stopIfTrue="1">
      <formula>OR($L$4136="F/S",$L$4136="")</formula>
    </cfRule>
    <cfRule type="cellIs" dxfId="2046" priority="8594" stopIfTrue="1" operator="notEqual">
      <formula>0</formula>
    </cfRule>
  </conditionalFormatting>
  <conditionalFormatting sqref="O4136">
    <cfRule type="expression" dxfId="2045" priority="8595" stopIfTrue="1">
      <formula>OR($O$4136="F/S",$O$4136="")</formula>
    </cfRule>
    <cfRule type="cellIs" dxfId="2044" priority="8596" stopIfTrue="1" operator="notEqual">
      <formula>0</formula>
    </cfRule>
  </conditionalFormatting>
  <conditionalFormatting sqref="L4147">
    <cfRule type="expression" dxfId="2043" priority="8597" stopIfTrue="1">
      <formula>OR($L$4147="F/S",$L$4147="")</formula>
    </cfRule>
    <cfRule type="cellIs" dxfId="2042" priority="8598" stopIfTrue="1" operator="notEqual">
      <formula>0</formula>
    </cfRule>
  </conditionalFormatting>
  <conditionalFormatting sqref="O4147">
    <cfRule type="expression" dxfId="2041" priority="8599" stopIfTrue="1">
      <formula>OR($O$4147="F/S",$O$4147="")</formula>
    </cfRule>
    <cfRule type="cellIs" dxfId="2040" priority="8600" stopIfTrue="1" operator="notEqual">
      <formula>0</formula>
    </cfRule>
  </conditionalFormatting>
  <conditionalFormatting sqref="L4157">
    <cfRule type="expression" dxfId="2039" priority="8601" stopIfTrue="1">
      <formula>OR($L$4157="F/S",$L$4157="")</formula>
    </cfRule>
    <cfRule type="cellIs" dxfId="2038" priority="8602" stopIfTrue="1" operator="notEqual">
      <formula>0</formula>
    </cfRule>
  </conditionalFormatting>
  <conditionalFormatting sqref="O4157">
    <cfRule type="expression" dxfId="2037" priority="8603" stopIfTrue="1">
      <formula>OR($O$4157="F/S",$O$4157="")</formula>
    </cfRule>
    <cfRule type="cellIs" dxfId="2036" priority="8604" stopIfTrue="1" operator="notEqual">
      <formula>0</formula>
    </cfRule>
  </conditionalFormatting>
  <conditionalFormatting sqref="L4168">
    <cfRule type="expression" dxfId="2035" priority="8605" stopIfTrue="1">
      <formula>OR($L$4168="F/S",$L$4168="")</formula>
    </cfRule>
    <cfRule type="cellIs" dxfId="2034" priority="8606" stopIfTrue="1" operator="notEqual">
      <formula>0</formula>
    </cfRule>
  </conditionalFormatting>
  <conditionalFormatting sqref="O4168">
    <cfRule type="expression" dxfId="2033" priority="8607" stopIfTrue="1">
      <formula>OR($O$4168="F/S",$O$4168="")</formula>
    </cfRule>
    <cfRule type="cellIs" dxfId="2032" priority="8608" stopIfTrue="1" operator="notEqual">
      <formula>0</formula>
    </cfRule>
  </conditionalFormatting>
  <conditionalFormatting sqref="L4178">
    <cfRule type="expression" dxfId="2031" priority="8609" stopIfTrue="1">
      <formula>OR($L$4178="F/S",$L$4178="")</formula>
    </cfRule>
    <cfRule type="cellIs" dxfId="2030" priority="8610" stopIfTrue="1" operator="notEqual">
      <formula>0</formula>
    </cfRule>
  </conditionalFormatting>
  <conditionalFormatting sqref="O4178">
    <cfRule type="expression" dxfId="2029" priority="8611" stopIfTrue="1">
      <formula>OR($O$4178="F/S",$O$4178="")</formula>
    </cfRule>
    <cfRule type="cellIs" dxfId="2028" priority="8612" stopIfTrue="1" operator="notEqual">
      <formula>0</formula>
    </cfRule>
  </conditionalFormatting>
  <conditionalFormatting sqref="L4198">
    <cfRule type="expression" dxfId="2027" priority="8613" stopIfTrue="1">
      <formula>OR($L$4198="F/S",$L$4198="")</formula>
    </cfRule>
    <cfRule type="cellIs" dxfId="2026" priority="8614" stopIfTrue="1" operator="notEqual">
      <formula>0</formula>
    </cfRule>
  </conditionalFormatting>
  <conditionalFormatting sqref="O4198">
    <cfRule type="expression" dxfId="2025" priority="8615" stopIfTrue="1">
      <formula>OR($O$4198="F/S",$O$4198="")</formula>
    </cfRule>
    <cfRule type="cellIs" dxfId="2024" priority="8616" stopIfTrue="1" operator="notEqual">
      <formula>0</formula>
    </cfRule>
  </conditionalFormatting>
  <conditionalFormatting sqref="L4213">
    <cfRule type="expression" dxfId="2023" priority="8617" stopIfTrue="1">
      <formula>OR($L$4213="F/S",$L$4213="")</formula>
    </cfRule>
    <cfRule type="cellIs" dxfId="2022" priority="8618" stopIfTrue="1" operator="notEqual">
      <formula>0</formula>
    </cfRule>
  </conditionalFormatting>
  <conditionalFormatting sqref="O4213">
    <cfRule type="expression" dxfId="2021" priority="8619" stopIfTrue="1">
      <formula>OR($O$4213="F/S",$O$4213="")</formula>
    </cfRule>
    <cfRule type="cellIs" dxfId="2020" priority="8620" stopIfTrue="1" operator="notEqual">
      <formula>0</formula>
    </cfRule>
  </conditionalFormatting>
  <conditionalFormatting sqref="L4222">
    <cfRule type="expression" dxfId="2019" priority="8629" stopIfTrue="1">
      <formula>OR($L$4222="F/S",$L$4222="")</formula>
    </cfRule>
    <cfRule type="cellIs" dxfId="2018" priority="8630" stopIfTrue="1" operator="notEqual">
      <formula>0</formula>
    </cfRule>
  </conditionalFormatting>
  <conditionalFormatting sqref="O4222">
    <cfRule type="expression" dxfId="2017" priority="8631" stopIfTrue="1">
      <formula>OR($O$4222="F/S",$O$4222="")</formula>
    </cfRule>
    <cfRule type="cellIs" dxfId="2016" priority="8632" stopIfTrue="1" operator="notEqual">
      <formula>0</formula>
    </cfRule>
  </conditionalFormatting>
  <conditionalFormatting sqref="L4233">
    <cfRule type="expression" dxfId="2015" priority="8633" stopIfTrue="1">
      <formula>OR($L$4233="F/S",$L$4233="")</formula>
    </cfRule>
    <cfRule type="cellIs" dxfId="2014" priority="8634" stopIfTrue="1" operator="notEqual">
      <formula>0</formula>
    </cfRule>
  </conditionalFormatting>
  <conditionalFormatting sqref="O4233">
    <cfRule type="expression" dxfId="2013" priority="8635" stopIfTrue="1">
      <formula>OR($O$4233="F/S",$O$4233="")</formula>
    </cfRule>
    <cfRule type="cellIs" dxfId="2012" priority="8636" stopIfTrue="1" operator="notEqual">
      <formula>0</formula>
    </cfRule>
  </conditionalFormatting>
  <conditionalFormatting sqref="L4247">
    <cfRule type="expression" dxfId="2011" priority="8637" stopIfTrue="1">
      <formula>OR($L$4247="F/S",$L$4247="")</formula>
    </cfRule>
    <cfRule type="cellIs" dxfId="2010" priority="8638" stopIfTrue="1" operator="notEqual">
      <formula>0</formula>
    </cfRule>
  </conditionalFormatting>
  <conditionalFormatting sqref="O4247">
    <cfRule type="expression" dxfId="2009" priority="8639" stopIfTrue="1">
      <formula>OR($O$4247="F/S",$O$4247="")</formula>
    </cfRule>
    <cfRule type="cellIs" dxfId="2008" priority="8640" stopIfTrue="1" operator="notEqual">
      <formula>0</formula>
    </cfRule>
  </conditionalFormatting>
  <conditionalFormatting sqref="L4261">
    <cfRule type="expression" dxfId="2007" priority="8641" stopIfTrue="1">
      <formula>OR($L$4261="F/S",$L$4261="")</formula>
    </cfRule>
    <cfRule type="cellIs" dxfId="2006" priority="8642" stopIfTrue="1" operator="notEqual">
      <formula>0</formula>
    </cfRule>
  </conditionalFormatting>
  <conditionalFormatting sqref="O4261">
    <cfRule type="expression" dxfId="2005" priority="8643" stopIfTrue="1">
      <formula>OR($O$4261="F/S",$O$4261="")</formula>
    </cfRule>
    <cfRule type="cellIs" dxfId="2004" priority="8644" stopIfTrue="1" operator="notEqual">
      <formula>0</formula>
    </cfRule>
  </conditionalFormatting>
  <conditionalFormatting sqref="L4269">
    <cfRule type="expression" dxfId="2003" priority="8645" stopIfTrue="1">
      <formula>OR($L$4269="F/S",$L$4269="")</formula>
    </cfRule>
    <cfRule type="cellIs" dxfId="2002" priority="8646" stopIfTrue="1" operator="notEqual">
      <formula>0</formula>
    </cfRule>
  </conditionalFormatting>
  <conditionalFormatting sqref="O4269">
    <cfRule type="expression" dxfId="2001" priority="8647" stopIfTrue="1">
      <formula>OR($O$4269="F/S",$O$4269="")</formula>
    </cfRule>
    <cfRule type="cellIs" dxfId="2000" priority="8648" stopIfTrue="1" operator="notEqual">
      <formula>0</formula>
    </cfRule>
  </conditionalFormatting>
  <conditionalFormatting sqref="L4287 L4297">
    <cfRule type="expression" dxfId="1999" priority="8649" stopIfTrue="1">
      <formula>OR($L$4287="F/S",$L$4287="")</formula>
    </cfRule>
    <cfRule type="cellIs" dxfId="1998" priority="8650" stopIfTrue="1" operator="notEqual">
      <formula>0</formula>
    </cfRule>
  </conditionalFormatting>
  <conditionalFormatting sqref="O4287 O4297">
    <cfRule type="expression" dxfId="1997" priority="8651" stopIfTrue="1">
      <formula>OR($O$4287="F/S",$O$4287="")</formula>
    </cfRule>
    <cfRule type="cellIs" dxfId="1996" priority="8652" stopIfTrue="1" operator="notEqual">
      <formula>0</formula>
    </cfRule>
  </conditionalFormatting>
  <conditionalFormatting sqref="L4297">
    <cfRule type="expression" dxfId="1995" priority="8653" stopIfTrue="1">
      <formula>OR($L$4297="F/S",$L$4297="")</formula>
    </cfRule>
    <cfRule type="cellIs" dxfId="1994" priority="8654" stopIfTrue="1" operator="notEqual">
      <formula>0</formula>
    </cfRule>
  </conditionalFormatting>
  <conditionalFormatting sqref="O4297">
    <cfRule type="expression" dxfId="1993" priority="8655" stopIfTrue="1">
      <formula>OR($O$4297="F/S",$O$4297="")</formula>
    </cfRule>
    <cfRule type="cellIs" dxfId="1992" priority="8656" stopIfTrue="1" operator="notEqual">
      <formula>0</formula>
    </cfRule>
  </conditionalFormatting>
  <conditionalFormatting sqref="L4308">
    <cfRule type="expression" dxfId="1991" priority="8657" stopIfTrue="1">
      <formula>OR($L$4308="F/S",$L$4308="")</formula>
    </cfRule>
    <cfRule type="cellIs" dxfId="1990" priority="8658" stopIfTrue="1" operator="notEqual">
      <formula>0</formula>
    </cfRule>
  </conditionalFormatting>
  <conditionalFormatting sqref="O4308">
    <cfRule type="expression" dxfId="1989" priority="8659" stopIfTrue="1">
      <formula>OR($O$4308="F/S",$O$4308="")</formula>
    </cfRule>
    <cfRule type="cellIs" dxfId="1988" priority="8660" stopIfTrue="1" operator="notEqual">
      <formula>0</formula>
    </cfRule>
  </conditionalFormatting>
  <conditionalFormatting sqref="L4317">
    <cfRule type="expression" dxfId="1987" priority="8661" stopIfTrue="1">
      <formula>OR($L$4317="F/S",$L$4317="")</formula>
    </cfRule>
    <cfRule type="cellIs" dxfId="1986" priority="8662" stopIfTrue="1" operator="notEqual">
      <formula>0</formula>
    </cfRule>
  </conditionalFormatting>
  <conditionalFormatting sqref="O4317">
    <cfRule type="expression" dxfId="1985" priority="8663" stopIfTrue="1">
      <formula>OR($O$4317="F/S",$O$4317="")</formula>
    </cfRule>
    <cfRule type="cellIs" dxfId="1984" priority="8664" stopIfTrue="1" operator="notEqual">
      <formula>0</formula>
    </cfRule>
  </conditionalFormatting>
  <conditionalFormatting sqref="L4351">
    <cfRule type="expression" dxfId="1983" priority="8665" stopIfTrue="1">
      <formula>OR($L$4351="F/S",$L$4351="")</formula>
    </cfRule>
    <cfRule type="cellIs" dxfId="1982" priority="8666" stopIfTrue="1" operator="notEqual">
      <formula>0</formula>
    </cfRule>
  </conditionalFormatting>
  <conditionalFormatting sqref="O4351">
    <cfRule type="expression" dxfId="1981" priority="8667" stopIfTrue="1">
      <formula>OR($O$4351="F/S",$O$4351="")</formula>
    </cfRule>
    <cfRule type="cellIs" dxfId="1980" priority="8668" stopIfTrue="1" operator="notEqual">
      <formula>0</formula>
    </cfRule>
  </conditionalFormatting>
  <conditionalFormatting sqref="L4330">
    <cfRule type="expression" dxfId="1979" priority="8669" stopIfTrue="1">
      <formula>OR($L$4330="F/S",$L$4330="")</formula>
    </cfRule>
    <cfRule type="cellIs" dxfId="1978" priority="8670" stopIfTrue="1" operator="notEqual">
      <formula>0</formula>
    </cfRule>
  </conditionalFormatting>
  <conditionalFormatting sqref="O4330">
    <cfRule type="expression" dxfId="1977" priority="8671" stopIfTrue="1">
      <formula>OR($O$4330="F/S",$O$4330="")</formula>
    </cfRule>
    <cfRule type="cellIs" dxfId="1976" priority="8672" stopIfTrue="1" operator="notEqual">
      <formula>0</formula>
    </cfRule>
  </conditionalFormatting>
  <conditionalFormatting sqref="L4340">
    <cfRule type="expression" dxfId="1975" priority="8673" stopIfTrue="1">
      <formula>OR($L$4340="F/S",$L$4340="")</formula>
    </cfRule>
    <cfRule type="cellIs" dxfId="1974" priority="8674" stopIfTrue="1" operator="notEqual">
      <formula>0</formula>
    </cfRule>
  </conditionalFormatting>
  <conditionalFormatting sqref="O4340">
    <cfRule type="expression" dxfId="1973" priority="8675" stopIfTrue="1">
      <formula>OR($O$4340="F/S",$O$4340="")</formula>
    </cfRule>
    <cfRule type="cellIs" dxfId="1972" priority="8676" stopIfTrue="1" operator="notEqual">
      <formula>0</formula>
    </cfRule>
  </conditionalFormatting>
  <conditionalFormatting sqref="L4424">
    <cfRule type="expression" dxfId="1971" priority="8681" stopIfTrue="1">
      <formula>OR($L$4424="F/S",$L$4424="")</formula>
    </cfRule>
    <cfRule type="cellIs" dxfId="1970" priority="8682" stopIfTrue="1" operator="notEqual">
      <formula>0</formula>
    </cfRule>
  </conditionalFormatting>
  <conditionalFormatting sqref="O4424">
    <cfRule type="expression" dxfId="1969" priority="8683" stopIfTrue="1">
      <formula>OR($O$4424="F/S",$O$4424="")</formula>
    </cfRule>
    <cfRule type="cellIs" dxfId="1968" priority="8684" stopIfTrue="1" operator="notEqual">
      <formula>0</formula>
    </cfRule>
  </conditionalFormatting>
  <conditionalFormatting sqref="L4437">
    <cfRule type="expression" dxfId="1967" priority="8685" stopIfTrue="1">
      <formula>OR($L$4437="F/S",$L$4437="")</formula>
    </cfRule>
    <cfRule type="cellIs" dxfId="1966" priority="8686" stopIfTrue="1" operator="notEqual">
      <formula>0</formula>
    </cfRule>
  </conditionalFormatting>
  <conditionalFormatting sqref="O4437">
    <cfRule type="expression" dxfId="1965" priority="8687" stopIfTrue="1">
      <formula>OR($O$4437="F/S",$O$4437="")</formula>
    </cfRule>
    <cfRule type="cellIs" dxfId="1964" priority="8688" stopIfTrue="1" operator="notEqual">
      <formula>0</formula>
    </cfRule>
  </conditionalFormatting>
  <conditionalFormatting sqref="L4449">
    <cfRule type="expression" dxfId="1963" priority="8689" stopIfTrue="1">
      <formula>OR($L$4449="F/S",$L$4449="")</formula>
    </cfRule>
    <cfRule type="cellIs" dxfId="1962" priority="8690" stopIfTrue="1" operator="notEqual">
      <formula>0</formula>
    </cfRule>
  </conditionalFormatting>
  <conditionalFormatting sqref="O4449">
    <cfRule type="expression" dxfId="1961" priority="8691" stopIfTrue="1">
      <formula>OR($O$4449="F/S",$O$4449="")</formula>
    </cfRule>
    <cfRule type="cellIs" dxfId="1960" priority="8692" stopIfTrue="1" operator="notEqual">
      <formula>0</formula>
    </cfRule>
  </conditionalFormatting>
  <conditionalFormatting sqref="L4457">
    <cfRule type="expression" dxfId="1959" priority="8693" stopIfTrue="1">
      <formula>OR($L$4457="F/S",$L$4457="")</formula>
    </cfRule>
    <cfRule type="cellIs" dxfId="1958" priority="8694" stopIfTrue="1" operator="notEqual">
      <formula>0</formula>
    </cfRule>
  </conditionalFormatting>
  <conditionalFormatting sqref="O4457">
    <cfRule type="expression" dxfId="1957" priority="8695" stopIfTrue="1">
      <formula>OR($O$4457="F/S",$O$4457="")</formula>
    </cfRule>
    <cfRule type="cellIs" dxfId="1956" priority="8696" stopIfTrue="1" operator="notEqual">
      <formula>0</formula>
    </cfRule>
  </conditionalFormatting>
  <conditionalFormatting sqref="L4474">
    <cfRule type="expression" dxfId="1955" priority="8697" stopIfTrue="1">
      <formula>OR($L$4474="F/S",$L$4474="")</formula>
    </cfRule>
    <cfRule type="cellIs" dxfId="1954" priority="8698" stopIfTrue="1" operator="notEqual">
      <formula>0</formula>
    </cfRule>
  </conditionalFormatting>
  <conditionalFormatting sqref="O4474">
    <cfRule type="expression" dxfId="1953" priority="8699" stopIfTrue="1">
      <formula>OR($O$4474="F/S",$O$4474="")</formula>
    </cfRule>
    <cfRule type="cellIs" dxfId="1952" priority="8700" stopIfTrue="1" operator="notEqual">
      <formula>0</formula>
    </cfRule>
  </conditionalFormatting>
  <conditionalFormatting sqref="L4360">
    <cfRule type="expression" dxfId="1951" priority="8701" stopIfTrue="1">
      <formula>OR($L$4360="F/S",$L$4360="")</formula>
    </cfRule>
    <cfRule type="cellIs" dxfId="1950" priority="8702" stopIfTrue="1" operator="notEqual">
      <formula>0</formula>
    </cfRule>
  </conditionalFormatting>
  <conditionalFormatting sqref="O4360">
    <cfRule type="expression" dxfId="1949" priority="8703" stopIfTrue="1">
      <formula>OR($O$4360="F/S",$O$4360="")</formula>
    </cfRule>
    <cfRule type="cellIs" dxfId="1948" priority="8704" stopIfTrue="1" operator="notEqual">
      <formula>0</formula>
    </cfRule>
  </conditionalFormatting>
  <conditionalFormatting sqref="L4367">
    <cfRule type="expression" dxfId="1947" priority="8705" stopIfTrue="1">
      <formula>OR($L$4367="F/S",$L$4367="")</formula>
    </cfRule>
    <cfRule type="cellIs" dxfId="1946" priority="8706" stopIfTrue="1" operator="notEqual">
      <formula>0</formula>
    </cfRule>
  </conditionalFormatting>
  <conditionalFormatting sqref="O4367">
    <cfRule type="expression" dxfId="1945" priority="8707" stopIfTrue="1">
      <formula>OR($O$4367="F/S",$O$4367="")</formula>
    </cfRule>
    <cfRule type="cellIs" dxfId="1944" priority="8708" stopIfTrue="1" operator="notEqual">
      <formula>0</formula>
    </cfRule>
  </conditionalFormatting>
  <conditionalFormatting sqref="L4392">
    <cfRule type="expression" dxfId="1943" priority="8709" stopIfTrue="1">
      <formula>OR($L$4392="F/S",$L$4392="")</formula>
    </cfRule>
    <cfRule type="cellIs" dxfId="1942" priority="8710" stopIfTrue="1" operator="notEqual">
      <formula>0</formula>
    </cfRule>
  </conditionalFormatting>
  <conditionalFormatting sqref="O4392">
    <cfRule type="expression" dxfId="1941" priority="8711" stopIfTrue="1">
      <formula>OR($O$4392="F/S",$O$4392="")</formula>
    </cfRule>
    <cfRule type="cellIs" dxfId="1940" priority="8712" stopIfTrue="1" operator="notEqual">
      <formula>0</formula>
    </cfRule>
  </conditionalFormatting>
  <conditionalFormatting sqref="L4413">
    <cfRule type="expression" dxfId="1939" priority="8713" stopIfTrue="1">
      <formula>OR($L$4413="F/S",$L$4413="")</formula>
    </cfRule>
    <cfRule type="cellIs" dxfId="1938" priority="8714" stopIfTrue="1" operator="notEqual">
      <formula>0</formula>
    </cfRule>
  </conditionalFormatting>
  <conditionalFormatting sqref="O4413">
    <cfRule type="expression" dxfId="1937" priority="8715" stopIfTrue="1">
      <formula>OR($O$4413="F/S",$O$4413="")</formula>
    </cfRule>
    <cfRule type="cellIs" dxfId="1936" priority="8716" stopIfTrue="1" operator="notEqual">
      <formula>0</formula>
    </cfRule>
  </conditionalFormatting>
  <conditionalFormatting sqref="L4612">
    <cfRule type="expression" dxfId="1935" priority="8717" stopIfTrue="1">
      <formula>OR($L$4612="F/S",$L$4612="")</formula>
    </cfRule>
    <cfRule type="cellIs" dxfId="1934" priority="8718" stopIfTrue="1" operator="notEqual">
      <formula>0</formula>
    </cfRule>
  </conditionalFormatting>
  <conditionalFormatting sqref="O4612">
    <cfRule type="expression" dxfId="1933" priority="8719" stopIfTrue="1">
      <formula>OR($O$4612="F/S",$O$4612="")</formula>
    </cfRule>
    <cfRule type="cellIs" dxfId="1932" priority="8720" stopIfTrue="1" operator="notEqual">
      <formula>0</formula>
    </cfRule>
  </conditionalFormatting>
  <conditionalFormatting sqref="L4488">
    <cfRule type="expression" dxfId="1931" priority="8721" stopIfTrue="1">
      <formula>OR($L$4488="F/S",$L$4488="")</formula>
    </cfRule>
    <cfRule type="cellIs" dxfId="1930" priority="8722" stopIfTrue="1" operator="notEqual">
      <formula>0</formula>
    </cfRule>
  </conditionalFormatting>
  <conditionalFormatting sqref="O4488">
    <cfRule type="expression" dxfId="1929" priority="8723" stopIfTrue="1">
      <formula>OR($O$4488="F/S",$O$4488="")</formula>
    </cfRule>
    <cfRule type="cellIs" dxfId="1928" priority="8724" stopIfTrue="1" operator="notEqual">
      <formula>0</formula>
    </cfRule>
  </conditionalFormatting>
  <conditionalFormatting sqref="L4498">
    <cfRule type="expression" dxfId="1927" priority="8725" stopIfTrue="1">
      <formula>OR($L$4498="F/S",$L$4498="")</formula>
    </cfRule>
    <cfRule type="cellIs" dxfId="1926" priority="8726" stopIfTrue="1" operator="notEqual">
      <formula>0</formula>
    </cfRule>
  </conditionalFormatting>
  <conditionalFormatting sqref="O4498">
    <cfRule type="expression" dxfId="1925" priority="8727" stopIfTrue="1">
      <formula>OR($O$4498="F/S",$O$4498="")</formula>
    </cfRule>
    <cfRule type="cellIs" dxfId="1924" priority="8728" stopIfTrue="1" operator="notEqual">
      <formula>0</formula>
    </cfRule>
  </conditionalFormatting>
  <conditionalFormatting sqref="L4507">
    <cfRule type="expression" dxfId="1923" priority="8729" stopIfTrue="1">
      <formula>OR($L$4507="F/S",$L$4507="")</formula>
    </cfRule>
    <cfRule type="cellIs" dxfId="1922" priority="8730" stopIfTrue="1" operator="notEqual">
      <formula>0</formula>
    </cfRule>
  </conditionalFormatting>
  <conditionalFormatting sqref="O4507">
    <cfRule type="expression" dxfId="1921" priority="8731" stopIfTrue="1">
      <formula>OR($O$4507="F/S",$O$4507="")</formula>
    </cfRule>
    <cfRule type="cellIs" dxfId="1920" priority="8732" stopIfTrue="1" operator="notEqual">
      <formula>0</formula>
    </cfRule>
  </conditionalFormatting>
  <conditionalFormatting sqref="L4516">
    <cfRule type="expression" dxfId="1919" priority="8733" stopIfTrue="1">
      <formula>OR($L$4516="F/S",$L$4516="")</formula>
    </cfRule>
    <cfRule type="cellIs" dxfId="1918" priority="8734" stopIfTrue="1" operator="notEqual">
      <formula>0</formula>
    </cfRule>
  </conditionalFormatting>
  <conditionalFormatting sqref="O4516">
    <cfRule type="expression" dxfId="1917" priority="8735" stopIfTrue="1">
      <formula>OR($O$4516="F/S",$O$4516="")</formula>
    </cfRule>
    <cfRule type="cellIs" dxfId="1916" priority="8736" stopIfTrue="1" operator="notEqual">
      <formula>0</formula>
    </cfRule>
  </conditionalFormatting>
  <conditionalFormatting sqref="L4540">
    <cfRule type="expression" dxfId="1915" priority="8737" stopIfTrue="1">
      <formula>OR($L$4540="F/S",$L$4540="")</formula>
    </cfRule>
    <cfRule type="cellIs" dxfId="1914" priority="8738" stopIfTrue="1" operator="notEqual">
      <formula>0</formula>
    </cfRule>
  </conditionalFormatting>
  <conditionalFormatting sqref="O4540">
    <cfRule type="expression" dxfId="1913" priority="8739" stopIfTrue="1">
      <formula>OR($O$4540="F/S",$O$4540="")</formula>
    </cfRule>
    <cfRule type="cellIs" dxfId="1912" priority="8740" stopIfTrue="1" operator="notEqual">
      <formula>0</formula>
    </cfRule>
  </conditionalFormatting>
  <conditionalFormatting sqref="L4563">
    <cfRule type="expression" dxfId="1911" priority="8741" stopIfTrue="1">
      <formula>OR($L$4563="F/S",$L$4563="")</formula>
    </cfRule>
    <cfRule type="cellIs" dxfId="1910" priority="8742" stopIfTrue="1" operator="notEqual">
      <formula>0</formula>
    </cfRule>
  </conditionalFormatting>
  <conditionalFormatting sqref="O4563">
    <cfRule type="expression" dxfId="1909" priority="8743" stopIfTrue="1">
      <formula>OR($O$4563="F/S",$O$4563="")</formula>
    </cfRule>
    <cfRule type="cellIs" dxfId="1908" priority="8744" stopIfTrue="1" operator="notEqual">
      <formula>0</formula>
    </cfRule>
  </conditionalFormatting>
  <conditionalFormatting sqref="L4582">
    <cfRule type="expression" dxfId="1907" priority="8745" stopIfTrue="1">
      <formula>OR($L$4582="F/S",$L$4582="")</formula>
    </cfRule>
    <cfRule type="cellIs" dxfId="1906" priority="8746" stopIfTrue="1" operator="notEqual">
      <formula>0</formula>
    </cfRule>
  </conditionalFormatting>
  <conditionalFormatting sqref="O4582">
    <cfRule type="expression" dxfId="1905" priority="8747" stopIfTrue="1">
      <formula>OR($O$4582="F/S",$O$4582="")</formula>
    </cfRule>
    <cfRule type="cellIs" dxfId="1904" priority="8748" stopIfTrue="1" operator="notEqual">
      <formula>0</formula>
    </cfRule>
  </conditionalFormatting>
  <conditionalFormatting sqref="L4597">
    <cfRule type="expression" dxfId="1903" priority="8749" stopIfTrue="1">
      <formula>OR($L$4597="F/S",$L$4597="")</formula>
    </cfRule>
    <cfRule type="cellIs" dxfId="1902" priority="8750" stopIfTrue="1" operator="notEqual">
      <formula>0</formula>
    </cfRule>
  </conditionalFormatting>
  <conditionalFormatting sqref="O4597">
    <cfRule type="expression" dxfId="1901" priority="8751" stopIfTrue="1">
      <formula>OR($O$4597="F/S",$O$4597="")</formula>
    </cfRule>
    <cfRule type="cellIs" dxfId="1900" priority="8752" stopIfTrue="1" operator="notEqual">
      <formula>0</formula>
    </cfRule>
  </conditionalFormatting>
  <conditionalFormatting sqref="L4848">
    <cfRule type="expression" dxfId="1899" priority="8753" stopIfTrue="1">
      <formula>OR($L$4848="F/S",$L$4848="")</formula>
    </cfRule>
    <cfRule type="cellIs" dxfId="1898" priority="8754" stopIfTrue="1" operator="notEqual">
      <formula>0</formula>
    </cfRule>
  </conditionalFormatting>
  <conditionalFormatting sqref="O4848">
    <cfRule type="expression" dxfId="1897" priority="8755" stopIfTrue="1">
      <formula>OR($O$4848="F/S",$O$4848="")</formula>
    </cfRule>
    <cfRule type="cellIs" dxfId="1896" priority="8756" stopIfTrue="1" operator="notEqual">
      <formula>0</formula>
    </cfRule>
  </conditionalFormatting>
  <conditionalFormatting sqref="L4821">
    <cfRule type="expression" dxfId="1895" priority="8757" stopIfTrue="1">
      <formula>OR($L$4821="F/S",$L$4821="")</formula>
    </cfRule>
    <cfRule type="cellIs" dxfId="1894" priority="8758" stopIfTrue="1" operator="notEqual">
      <formula>0</formula>
    </cfRule>
  </conditionalFormatting>
  <conditionalFormatting sqref="O4821">
    <cfRule type="expression" dxfId="1893" priority="8759" stopIfTrue="1">
      <formula>OR($O$4821="F/S",$O$4821="")</formula>
    </cfRule>
    <cfRule type="cellIs" dxfId="1892" priority="8760" stopIfTrue="1" operator="notEqual">
      <formula>0</formula>
    </cfRule>
  </conditionalFormatting>
  <conditionalFormatting sqref="L4799">
    <cfRule type="expression" dxfId="1891" priority="8761" stopIfTrue="1">
      <formula>OR($L$4799="F/S",$L$4799="")</formula>
    </cfRule>
    <cfRule type="cellIs" dxfId="1890" priority="8762" stopIfTrue="1" operator="notEqual">
      <formula>0</formula>
    </cfRule>
  </conditionalFormatting>
  <conditionalFormatting sqref="O4799">
    <cfRule type="expression" dxfId="1889" priority="8763" stopIfTrue="1">
      <formula>OR($O$4799="F/S",$O$4799="")</formula>
    </cfRule>
    <cfRule type="cellIs" dxfId="1888" priority="8764" stopIfTrue="1" operator="notEqual">
      <formula>0</formula>
    </cfRule>
  </conditionalFormatting>
  <conditionalFormatting sqref="L4898">
    <cfRule type="expression" dxfId="1887" priority="8765" stopIfTrue="1">
      <formula>OR($L$4898="F/S",$L$4898="")</formula>
    </cfRule>
    <cfRule type="cellIs" dxfId="1886" priority="8766" stopIfTrue="1" operator="notEqual">
      <formula>0</formula>
    </cfRule>
  </conditionalFormatting>
  <conditionalFormatting sqref="O4898">
    <cfRule type="expression" dxfId="1885" priority="8767" stopIfTrue="1">
      <formula>OR($O$4898="F/S",$O$4898="")</formula>
    </cfRule>
    <cfRule type="cellIs" dxfId="1884" priority="8768" stopIfTrue="1" operator="notEqual">
      <formula>0</formula>
    </cfRule>
  </conditionalFormatting>
  <conditionalFormatting sqref="L4776">
    <cfRule type="expression" dxfId="1883" priority="8769" stopIfTrue="1">
      <formula>OR($L$4776="F/S",$L$4776="")</formula>
    </cfRule>
    <cfRule type="cellIs" dxfId="1882" priority="8770" stopIfTrue="1" operator="notEqual">
      <formula>0</formula>
    </cfRule>
  </conditionalFormatting>
  <conditionalFormatting sqref="O4776">
    <cfRule type="expression" dxfId="1881" priority="8771" stopIfTrue="1">
      <formula>OR($O$4776="F/S",$O$4776="")</formula>
    </cfRule>
    <cfRule type="cellIs" dxfId="1880" priority="8772" stopIfTrue="1" operator="notEqual">
      <formula>0</formula>
    </cfRule>
  </conditionalFormatting>
  <conditionalFormatting sqref="L4622">
    <cfRule type="expression" dxfId="1879" priority="8773" stopIfTrue="1">
      <formula>OR($L$4622="F/S",$L$4622="")</formula>
    </cfRule>
    <cfRule type="cellIs" dxfId="1878" priority="8774" stopIfTrue="1" operator="notEqual">
      <formula>0</formula>
    </cfRule>
  </conditionalFormatting>
  <conditionalFormatting sqref="O4622">
    <cfRule type="expression" dxfId="1877" priority="8775" stopIfTrue="1">
      <formula>OR($O$4622="F/S",$O$4622="")</formula>
    </cfRule>
    <cfRule type="cellIs" dxfId="1876" priority="8776" stopIfTrue="1" operator="notEqual">
      <formula>0</formula>
    </cfRule>
  </conditionalFormatting>
  <conditionalFormatting sqref="L4633">
    <cfRule type="expression" dxfId="1875" priority="8777" stopIfTrue="1">
      <formula>OR($L$4633="F/S",$L$4633="")</formula>
    </cfRule>
    <cfRule type="cellIs" dxfId="1874" priority="8778" stopIfTrue="1" operator="notEqual">
      <formula>0</formula>
    </cfRule>
  </conditionalFormatting>
  <conditionalFormatting sqref="O4633">
    <cfRule type="expression" dxfId="1873" priority="8779" stopIfTrue="1">
      <formula>OR($O$4633="F/S",$O$4633="")</formula>
    </cfRule>
    <cfRule type="cellIs" dxfId="1872" priority="8780" stopIfTrue="1" operator="notEqual">
      <formula>0</formula>
    </cfRule>
  </conditionalFormatting>
  <conditionalFormatting sqref="L4652">
    <cfRule type="expression" dxfId="1871" priority="8781" stopIfTrue="1">
      <formula>OR($L$4652="F/S",$L$4652="")</formula>
    </cfRule>
    <cfRule type="cellIs" dxfId="1870" priority="8782" stopIfTrue="1" operator="notEqual">
      <formula>0</formula>
    </cfRule>
  </conditionalFormatting>
  <conditionalFormatting sqref="O4652">
    <cfRule type="expression" dxfId="1869" priority="8783" stopIfTrue="1">
      <formula>OR($O$4652="F/S",$O$4652="")</formula>
    </cfRule>
    <cfRule type="cellIs" dxfId="1868" priority="8784" stopIfTrue="1" operator="notEqual">
      <formula>0</formula>
    </cfRule>
  </conditionalFormatting>
  <conditionalFormatting sqref="L4663">
    <cfRule type="expression" dxfId="1867" priority="8785" stopIfTrue="1">
      <formula>OR($L$4663="F/S",$L$4663="")</formula>
    </cfRule>
    <cfRule type="cellIs" dxfId="1866" priority="8786" stopIfTrue="1" operator="notEqual">
      <formula>0</formula>
    </cfRule>
  </conditionalFormatting>
  <conditionalFormatting sqref="O4663">
    <cfRule type="expression" dxfId="1865" priority="8787" stopIfTrue="1">
      <formula>OR($O$4663="F/S",$O$4663="")</formula>
    </cfRule>
    <cfRule type="cellIs" dxfId="1864" priority="8788" stopIfTrue="1" operator="notEqual">
      <formula>0</formula>
    </cfRule>
  </conditionalFormatting>
  <conditionalFormatting sqref="L4683">
    <cfRule type="expression" dxfId="1863" priority="8789" stopIfTrue="1">
      <formula>OR($L$4683="F/S",$L$4683="")</formula>
    </cfRule>
    <cfRule type="cellIs" dxfId="1862" priority="8790" stopIfTrue="1" operator="notEqual">
      <formula>0</formula>
    </cfRule>
  </conditionalFormatting>
  <conditionalFormatting sqref="O4683">
    <cfRule type="expression" dxfId="1861" priority="8791" stopIfTrue="1">
      <formula>OR($O$4683="F/S",$O$4683="")</formula>
    </cfRule>
    <cfRule type="cellIs" dxfId="1860" priority="8792" stopIfTrue="1" operator="notEqual">
      <formula>0</formula>
    </cfRule>
  </conditionalFormatting>
  <conditionalFormatting sqref="L4694">
    <cfRule type="expression" dxfId="1859" priority="8793" stopIfTrue="1">
      <formula>OR($L$4694="F/S",$L$4694="")</formula>
    </cfRule>
    <cfRule type="cellIs" dxfId="1858" priority="8794" stopIfTrue="1" operator="notEqual">
      <formula>0</formula>
    </cfRule>
  </conditionalFormatting>
  <conditionalFormatting sqref="O4694">
    <cfRule type="expression" dxfId="1857" priority="8795" stopIfTrue="1">
      <formula>OR($O$4694="F/S",$O$4694="")</formula>
    </cfRule>
    <cfRule type="cellIs" dxfId="1856" priority="8796" stopIfTrue="1" operator="notEqual">
      <formula>0</formula>
    </cfRule>
  </conditionalFormatting>
  <conditionalFormatting sqref="L4714">
    <cfRule type="expression" dxfId="1855" priority="8797" stopIfTrue="1">
      <formula>OR($L$4714="F/S",$L$4714="")</formula>
    </cfRule>
    <cfRule type="cellIs" dxfId="1854" priority="8798" stopIfTrue="1" operator="notEqual">
      <formula>0</formula>
    </cfRule>
  </conditionalFormatting>
  <conditionalFormatting sqref="O4714">
    <cfRule type="expression" dxfId="1853" priority="8799" stopIfTrue="1">
      <formula>OR($O$4714="F/S",$O$4714="")</formula>
    </cfRule>
    <cfRule type="cellIs" dxfId="1852" priority="8800" stopIfTrue="1" operator="notEqual">
      <formula>0</formula>
    </cfRule>
  </conditionalFormatting>
  <conditionalFormatting sqref="L4750">
    <cfRule type="expression" dxfId="1851" priority="8801" stopIfTrue="1">
      <formula>OR($L$4750="F/S",$L$4750="")</formula>
    </cfRule>
    <cfRule type="cellIs" dxfId="1850" priority="8802" stopIfTrue="1" operator="notEqual">
      <formula>0</formula>
    </cfRule>
  </conditionalFormatting>
  <conditionalFormatting sqref="O4750">
    <cfRule type="expression" dxfId="1849" priority="8803" stopIfTrue="1">
      <formula>OR($O$4750="F/S",$O$4750="")</formula>
    </cfRule>
    <cfRule type="cellIs" dxfId="1848" priority="8804" stopIfTrue="1" operator="notEqual">
      <formula>0</formula>
    </cfRule>
  </conditionalFormatting>
  <conditionalFormatting sqref="L4765">
    <cfRule type="expression" dxfId="1847" priority="8805" stopIfTrue="1">
      <formula>OR($L$4765="F/S",$L$4765="")</formula>
    </cfRule>
    <cfRule type="cellIs" dxfId="1846" priority="8806" stopIfTrue="1" operator="notEqual">
      <formula>0</formula>
    </cfRule>
  </conditionalFormatting>
  <conditionalFormatting sqref="O4765">
    <cfRule type="expression" dxfId="1845" priority="8807" stopIfTrue="1">
      <formula>OR($O$4765="F/S",$O$4765="")</formula>
    </cfRule>
    <cfRule type="cellIs" dxfId="1844" priority="8808" stopIfTrue="1" operator="notEqual">
      <formula>0</formula>
    </cfRule>
  </conditionalFormatting>
  <conditionalFormatting sqref="L4725">
    <cfRule type="expression" dxfId="1843" priority="8809" stopIfTrue="1">
      <formula>OR($L$4725="F/S",$L$4725="")</formula>
    </cfRule>
    <cfRule type="cellIs" dxfId="1842" priority="8810" stopIfTrue="1" operator="notEqual">
      <formula>0</formula>
    </cfRule>
  </conditionalFormatting>
  <conditionalFormatting sqref="O4725">
    <cfRule type="expression" dxfId="1841" priority="8811" stopIfTrue="1">
      <formula>OR($O$4725="F/S",$O$4725="")</formula>
    </cfRule>
    <cfRule type="cellIs" dxfId="1840" priority="8812" stopIfTrue="1" operator="notEqual">
      <formula>0</formula>
    </cfRule>
  </conditionalFormatting>
  <conditionalFormatting sqref="L4876">
    <cfRule type="expression" dxfId="1839" priority="8813" stopIfTrue="1">
      <formula>OR($L$4876="F/S",$L$4876="")</formula>
    </cfRule>
    <cfRule type="cellIs" dxfId="1838" priority="8814" stopIfTrue="1" operator="notEqual">
      <formula>0</formula>
    </cfRule>
  </conditionalFormatting>
  <conditionalFormatting sqref="O4876">
    <cfRule type="expression" dxfId="1837" priority="8815" stopIfTrue="1">
      <formula>OR($O$4876="F/S",$O$4876="")</formula>
    </cfRule>
    <cfRule type="cellIs" dxfId="1836" priority="8816" stopIfTrue="1" operator="notEqual">
      <formula>0</formula>
    </cfRule>
  </conditionalFormatting>
  <conditionalFormatting sqref="L4862">
    <cfRule type="expression" dxfId="1835" priority="8817" stopIfTrue="1">
      <formula>OR($L$4862="F/S",$L$4862="")</formula>
    </cfRule>
    <cfRule type="cellIs" dxfId="1834" priority="8818" stopIfTrue="1" operator="notEqual">
      <formula>0</formula>
    </cfRule>
  </conditionalFormatting>
  <conditionalFormatting sqref="O4862">
    <cfRule type="expression" dxfId="1833" priority="8819" stopIfTrue="1">
      <formula>OR($O$4862="F/S",$O$4862="")</formula>
    </cfRule>
    <cfRule type="cellIs" dxfId="1832" priority="8820" stopIfTrue="1" operator="notEqual">
      <formula>0</formula>
    </cfRule>
  </conditionalFormatting>
  <conditionalFormatting sqref="L4913">
    <cfRule type="expression" dxfId="1831" priority="8821" stopIfTrue="1">
      <formula>OR($L$4913="F/S",$L$4913="")</formula>
    </cfRule>
    <cfRule type="cellIs" dxfId="1830" priority="8822" stopIfTrue="1" operator="notEqual">
      <formula>0</formula>
    </cfRule>
  </conditionalFormatting>
  <conditionalFormatting sqref="O4913">
    <cfRule type="expression" dxfId="1829" priority="8823" stopIfTrue="1">
      <formula>OR($O$4913="F/S",$O$4913="")</formula>
    </cfRule>
    <cfRule type="cellIs" dxfId="1828" priority="8824" stopIfTrue="1" operator="notEqual">
      <formula>0</formula>
    </cfRule>
  </conditionalFormatting>
  <conditionalFormatting sqref="L4926">
    <cfRule type="expression" dxfId="1827" priority="8825" stopIfTrue="1">
      <formula>OR($L$4926="F/S",$L$4926="")</formula>
    </cfRule>
    <cfRule type="cellIs" dxfId="1826" priority="8826" stopIfTrue="1" operator="notEqual">
      <formula>0</formula>
    </cfRule>
  </conditionalFormatting>
  <conditionalFormatting sqref="O4926">
    <cfRule type="expression" dxfId="1825" priority="8827" stopIfTrue="1">
      <formula>OR($O$4926="F/S",$O$4926="")</formula>
    </cfRule>
    <cfRule type="cellIs" dxfId="1824" priority="8828" stopIfTrue="1" operator="notEqual">
      <formula>0</formula>
    </cfRule>
  </conditionalFormatting>
  <conditionalFormatting sqref="L4944">
    <cfRule type="expression" dxfId="1823" priority="8829" stopIfTrue="1">
      <formula>OR($L$4944="F/S",$L$4944="")</formula>
    </cfRule>
    <cfRule type="cellIs" dxfId="1822" priority="8830" stopIfTrue="1" operator="notEqual">
      <formula>0</formula>
    </cfRule>
  </conditionalFormatting>
  <conditionalFormatting sqref="O4944">
    <cfRule type="expression" dxfId="1821" priority="8831" stopIfTrue="1">
      <formula>OR($O$4944="F/S",$O$4944="")</formula>
    </cfRule>
    <cfRule type="cellIs" dxfId="1820" priority="8832" stopIfTrue="1" operator="notEqual">
      <formula>0</formula>
    </cfRule>
  </conditionalFormatting>
  <conditionalFormatting sqref="L4957">
    <cfRule type="expression" dxfId="1819" priority="8833" stopIfTrue="1">
      <formula>OR($L$4957="F/S",$L$4957="")</formula>
    </cfRule>
    <cfRule type="cellIs" dxfId="1818" priority="8834" stopIfTrue="1" operator="notEqual">
      <formula>0</formula>
    </cfRule>
  </conditionalFormatting>
  <conditionalFormatting sqref="O4957">
    <cfRule type="expression" dxfId="1817" priority="8835" stopIfTrue="1">
      <formula>OR($O$4957="F/S",$O$4957="")</formula>
    </cfRule>
    <cfRule type="cellIs" dxfId="1816" priority="8836" stopIfTrue="1" operator="notEqual">
      <formula>0</formula>
    </cfRule>
  </conditionalFormatting>
  <conditionalFormatting sqref="L4965">
    <cfRule type="expression" dxfId="1815" priority="8837" stopIfTrue="1">
      <formula>OR($L$4965="F/S",$L$4965="")</formula>
    </cfRule>
    <cfRule type="cellIs" dxfId="1814" priority="8838" stopIfTrue="1" operator="notEqual">
      <formula>0</formula>
    </cfRule>
  </conditionalFormatting>
  <conditionalFormatting sqref="O4965">
    <cfRule type="expression" dxfId="1813" priority="8839" stopIfTrue="1">
      <formula>OR($O$4965="F/S",$O$4965="")</formula>
    </cfRule>
    <cfRule type="cellIs" dxfId="1812" priority="8840" stopIfTrue="1" operator="notEqual">
      <formula>0</formula>
    </cfRule>
  </conditionalFormatting>
  <conditionalFormatting sqref="L5868">
    <cfRule type="expression" dxfId="1811" priority="8841" stopIfTrue="1">
      <formula>OR($L$5868="F/S",$L$5868="")</formula>
    </cfRule>
    <cfRule type="cellIs" dxfId="1810" priority="8842" stopIfTrue="1" operator="notEqual">
      <formula>0</formula>
    </cfRule>
  </conditionalFormatting>
  <conditionalFormatting sqref="O5868">
    <cfRule type="expression" dxfId="1809" priority="8843" stopIfTrue="1">
      <formula>OR($O$5868="F/S",$O$5868="")</formula>
    </cfRule>
    <cfRule type="cellIs" dxfId="1808" priority="8844" stopIfTrue="1" operator="notEqual">
      <formula>0</formula>
    </cfRule>
  </conditionalFormatting>
  <conditionalFormatting sqref="L5020">
    <cfRule type="expression" dxfId="1807" priority="8845" stopIfTrue="1">
      <formula>OR($L$5020="F/S",$L$5020="")</formula>
    </cfRule>
    <cfRule type="cellIs" dxfId="1806" priority="8846" stopIfTrue="1" operator="notEqual">
      <formula>0</formula>
    </cfRule>
  </conditionalFormatting>
  <conditionalFormatting sqref="O5020">
    <cfRule type="expression" dxfId="1805" priority="8847" stopIfTrue="1">
      <formula>OR($O$5020="F/S",$O$5020="")</formula>
    </cfRule>
    <cfRule type="cellIs" dxfId="1804" priority="8848" stopIfTrue="1" operator="notEqual">
      <formula>0</formula>
    </cfRule>
  </conditionalFormatting>
  <conditionalFormatting sqref="L5879">
    <cfRule type="expression" dxfId="1803" priority="8849" stopIfTrue="1">
      <formula>OR($L$5879="F/S",$L$5879="")</formula>
    </cfRule>
    <cfRule type="cellIs" dxfId="1802" priority="8850" stopIfTrue="1" operator="notEqual">
      <formula>0</formula>
    </cfRule>
  </conditionalFormatting>
  <conditionalFormatting sqref="O5879">
    <cfRule type="expression" dxfId="1801" priority="8851" stopIfTrue="1">
      <formula>OR($O$5879="F/S",$O$5879="")</formula>
    </cfRule>
    <cfRule type="cellIs" dxfId="1800" priority="8852" stopIfTrue="1" operator="notEqual">
      <formula>0</formula>
    </cfRule>
  </conditionalFormatting>
  <conditionalFormatting sqref="L5890">
    <cfRule type="expression" dxfId="1799" priority="8853" stopIfTrue="1">
      <formula>OR($L$5890="F/S",$L$5890="")</formula>
    </cfRule>
    <cfRule type="cellIs" dxfId="1798" priority="8854" stopIfTrue="1" operator="notEqual">
      <formula>0</formula>
    </cfRule>
  </conditionalFormatting>
  <conditionalFormatting sqref="O5890">
    <cfRule type="expression" dxfId="1797" priority="8855" stopIfTrue="1">
      <formula>OR($O$5890="F/S",$O$5890="")</formula>
    </cfRule>
    <cfRule type="cellIs" dxfId="1796" priority="8856" stopIfTrue="1" operator="notEqual">
      <formula>0</formula>
    </cfRule>
  </conditionalFormatting>
  <conditionalFormatting sqref="L5901">
    <cfRule type="expression" dxfId="1795" priority="8857" stopIfTrue="1">
      <formula>OR($L$5901="F/S",$L$5901="")</formula>
    </cfRule>
    <cfRule type="cellIs" dxfId="1794" priority="8858" stopIfTrue="1" operator="notEqual">
      <formula>0</formula>
    </cfRule>
  </conditionalFormatting>
  <conditionalFormatting sqref="O5901">
    <cfRule type="expression" dxfId="1793" priority="8859" stopIfTrue="1">
      <formula>OR($O$5901="F/S",$O$5901="")</formula>
    </cfRule>
    <cfRule type="cellIs" dxfId="1792" priority="8860" stopIfTrue="1" operator="notEqual">
      <formula>0</formula>
    </cfRule>
  </conditionalFormatting>
  <conditionalFormatting sqref="L5912">
    <cfRule type="expression" dxfId="1791" priority="8861" stopIfTrue="1">
      <formula>OR($L$5912="F/S",$L$5912="")</formula>
    </cfRule>
    <cfRule type="cellIs" dxfId="1790" priority="8862" stopIfTrue="1" operator="notEqual">
      <formula>0</formula>
    </cfRule>
  </conditionalFormatting>
  <conditionalFormatting sqref="O5912">
    <cfRule type="expression" dxfId="1789" priority="8863" stopIfTrue="1">
      <formula>OR($O$5912="F/S",$O$5912="")</formula>
    </cfRule>
    <cfRule type="cellIs" dxfId="1788" priority="8864" stopIfTrue="1" operator="notEqual">
      <formula>0</formula>
    </cfRule>
  </conditionalFormatting>
  <conditionalFormatting sqref="L5036">
    <cfRule type="expression" dxfId="1787" priority="8865" stopIfTrue="1">
      <formula>OR($L$5036="F/S",$L$5036="")</formula>
    </cfRule>
    <cfRule type="cellIs" dxfId="1786" priority="8866" stopIfTrue="1" operator="notEqual">
      <formula>0</formula>
    </cfRule>
  </conditionalFormatting>
  <conditionalFormatting sqref="O5036">
    <cfRule type="expression" dxfId="1785" priority="8867" stopIfTrue="1">
      <formula>OR($O$5036="F/S",$O$5036="")</formula>
    </cfRule>
    <cfRule type="cellIs" dxfId="1784" priority="8868" stopIfTrue="1" operator="notEqual">
      <formula>0</formula>
    </cfRule>
  </conditionalFormatting>
  <conditionalFormatting sqref="L5923">
    <cfRule type="expression" dxfId="1783" priority="8869" stopIfTrue="1">
      <formula>OR($L$5923="F/S",$L$5923="")</formula>
    </cfRule>
    <cfRule type="cellIs" dxfId="1782" priority="8870" stopIfTrue="1" operator="notEqual">
      <formula>0</formula>
    </cfRule>
  </conditionalFormatting>
  <conditionalFormatting sqref="O5923">
    <cfRule type="expression" dxfId="1781" priority="8871" stopIfTrue="1">
      <formula>OR($O$5923="F/S",$O$5923="")</formula>
    </cfRule>
    <cfRule type="cellIs" dxfId="1780" priority="8872" stopIfTrue="1" operator="notEqual">
      <formula>0</formula>
    </cfRule>
  </conditionalFormatting>
  <conditionalFormatting sqref="L5934">
    <cfRule type="expression" dxfId="1779" priority="8873" stopIfTrue="1">
      <formula>OR($L$5934="F/S",$L$5934="")</formula>
    </cfRule>
    <cfRule type="cellIs" dxfId="1778" priority="8874" stopIfTrue="1" operator="notEqual">
      <formula>0</formula>
    </cfRule>
  </conditionalFormatting>
  <conditionalFormatting sqref="O5934">
    <cfRule type="expression" dxfId="1777" priority="8875" stopIfTrue="1">
      <formula>OR($O$5934="F/S",$O$5934="")</formula>
    </cfRule>
    <cfRule type="cellIs" dxfId="1776" priority="8876" stopIfTrue="1" operator="notEqual">
      <formula>0</formula>
    </cfRule>
  </conditionalFormatting>
  <conditionalFormatting sqref="L5945">
    <cfRule type="expression" dxfId="1775" priority="8877" stopIfTrue="1">
      <formula>OR($L$5945="F/S",$L$5945="")</formula>
    </cfRule>
    <cfRule type="cellIs" dxfId="1774" priority="8878" stopIfTrue="1" operator="notEqual">
      <formula>0</formula>
    </cfRule>
  </conditionalFormatting>
  <conditionalFormatting sqref="O5945">
    <cfRule type="expression" dxfId="1773" priority="8879" stopIfTrue="1">
      <formula>OR($O$5945="F/S",$O$5945="")</formula>
    </cfRule>
    <cfRule type="cellIs" dxfId="1772" priority="8880" stopIfTrue="1" operator="notEqual">
      <formula>0</formula>
    </cfRule>
  </conditionalFormatting>
  <conditionalFormatting sqref="L5956">
    <cfRule type="expression" dxfId="1771" priority="8881" stopIfTrue="1">
      <formula>OR($L$5956="F/S",$L$5956="")</formula>
    </cfRule>
    <cfRule type="cellIs" dxfId="1770" priority="8882" stopIfTrue="1" operator="notEqual">
      <formula>0</formula>
    </cfRule>
  </conditionalFormatting>
  <conditionalFormatting sqref="O5956">
    <cfRule type="expression" dxfId="1769" priority="8883" stopIfTrue="1">
      <formula>OR($O$5956="F/S",$O$5956="")</formula>
    </cfRule>
    <cfRule type="cellIs" dxfId="1768" priority="8884" stopIfTrue="1" operator="notEqual">
      <formula>0</formula>
    </cfRule>
  </conditionalFormatting>
  <conditionalFormatting sqref="L5052">
    <cfRule type="expression" dxfId="1767" priority="8885" stopIfTrue="1">
      <formula>OR($L$5052="F/S",$L$5052="")</formula>
    </cfRule>
    <cfRule type="cellIs" dxfId="1766" priority="8886" stopIfTrue="1" operator="notEqual">
      <formula>0</formula>
    </cfRule>
  </conditionalFormatting>
  <conditionalFormatting sqref="O5052">
    <cfRule type="expression" dxfId="1765" priority="8887" stopIfTrue="1">
      <formula>OR($O$5052="F/S",$O$5052="")</formula>
    </cfRule>
    <cfRule type="cellIs" dxfId="1764" priority="8888" stopIfTrue="1" operator="notEqual">
      <formula>0</formula>
    </cfRule>
  </conditionalFormatting>
  <conditionalFormatting sqref="L5975">
    <cfRule type="expression" dxfId="1763" priority="8889" stopIfTrue="1">
      <formula>OR($L$5975="F/S",$L$5975="")</formula>
    </cfRule>
    <cfRule type="cellIs" dxfId="1762" priority="8890" stopIfTrue="1" operator="notEqual">
      <formula>0</formula>
    </cfRule>
  </conditionalFormatting>
  <conditionalFormatting sqref="O5975">
    <cfRule type="expression" dxfId="1761" priority="8891" stopIfTrue="1">
      <formula>OR($O$5975="F/S",$O$5975="")</formula>
    </cfRule>
    <cfRule type="cellIs" dxfId="1760" priority="8892" stopIfTrue="1" operator="notEqual">
      <formula>0</formula>
    </cfRule>
  </conditionalFormatting>
  <conditionalFormatting sqref="L5996">
    <cfRule type="expression" dxfId="1759" priority="8893" stopIfTrue="1">
      <formula>OR($L$5996="F/S",$L$5996="")</formula>
    </cfRule>
    <cfRule type="cellIs" dxfId="1758" priority="8894" stopIfTrue="1" operator="notEqual">
      <formula>0</formula>
    </cfRule>
  </conditionalFormatting>
  <conditionalFormatting sqref="O5996">
    <cfRule type="expression" dxfId="1757" priority="8895" stopIfTrue="1">
      <formula>OR($O$5996="F/S",$O$5996="")</formula>
    </cfRule>
    <cfRule type="cellIs" dxfId="1756" priority="8896" stopIfTrue="1" operator="notEqual">
      <formula>0</formula>
    </cfRule>
  </conditionalFormatting>
  <conditionalFormatting sqref="L5063">
    <cfRule type="expression" dxfId="1755" priority="8897" stopIfTrue="1">
      <formula>OR($L$5063="F/S",$L$5063="")</formula>
    </cfRule>
    <cfRule type="cellIs" dxfId="1754" priority="8898" stopIfTrue="1" operator="notEqual">
      <formula>0</formula>
    </cfRule>
  </conditionalFormatting>
  <conditionalFormatting sqref="O5063">
    <cfRule type="expression" dxfId="1753" priority="8899" stopIfTrue="1">
      <formula>OR($O$5063="F/S",$O$5063="")</formula>
    </cfRule>
    <cfRule type="cellIs" dxfId="1752" priority="8900" stopIfTrue="1" operator="notEqual">
      <formula>0</formula>
    </cfRule>
  </conditionalFormatting>
  <conditionalFormatting sqref="L6007">
    <cfRule type="expression" dxfId="1751" priority="8901" stopIfTrue="1">
      <formula>OR($L$6007="F/S",$L$6007="")</formula>
    </cfRule>
    <cfRule type="cellIs" dxfId="1750" priority="8902" stopIfTrue="1" operator="notEqual">
      <formula>0</formula>
    </cfRule>
  </conditionalFormatting>
  <conditionalFormatting sqref="O6007">
    <cfRule type="expression" dxfId="1749" priority="8903" stopIfTrue="1">
      <formula>OR($O$6007="F/S",$O$6007="")</formula>
    </cfRule>
    <cfRule type="cellIs" dxfId="1748" priority="8904" stopIfTrue="1" operator="notEqual">
      <formula>0</formula>
    </cfRule>
  </conditionalFormatting>
  <conditionalFormatting sqref="L5074">
    <cfRule type="expression" dxfId="1747" priority="8905" stopIfTrue="1">
      <formula>OR($L$5074="F/S",$L$5074="")</formula>
    </cfRule>
    <cfRule type="cellIs" dxfId="1746" priority="8906" stopIfTrue="1" operator="notEqual">
      <formula>0</formula>
    </cfRule>
  </conditionalFormatting>
  <conditionalFormatting sqref="O5074">
    <cfRule type="expression" dxfId="1745" priority="8907" stopIfTrue="1">
      <formula>OR($O$5074="F/S",$O$5074="")</formula>
    </cfRule>
    <cfRule type="cellIs" dxfId="1744" priority="8908" stopIfTrue="1" operator="notEqual">
      <formula>0</formula>
    </cfRule>
  </conditionalFormatting>
  <conditionalFormatting sqref="L6019">
    <cfRule type="expression" dxfId="1743" priority="8909" stopIfTrue="1">
      <formula>OR($L$6019="F/S",$L$6019="")</formula>
    </cfRule>
    <cfRule type="cellIs" dxfId="1742" priority="8910" stopIfTrue="1" operator="notEqual">
      <formula>0</formula>
    </cfRule>
  </conditionalFormatting>
  <conditionalFormatting sqref="O6019">
    <cfRule type="expression" dxfId="1741" priority="8911" stopIfTrue="1">
      <formula>OR($O$6019="F/S",$O$6019="")</formula>
    </cfRule>
    <cfRule type="cellIs" dxfId="1740" priority="8912" stopIfTrue="1" operator="notEqual">
      <formula>0</formula>
    </cfRule>
  </conditionalFormatting>
  <conditionalFormatting sqref="L6031">
    <cfRule type="expression" dxfId="1739" priority="8913" stopIfTrue="1">
      <formula>OR($L$6031="F/S",$L$6031="")</formula>
    </cfRule>
    <cfRule type="cellIs" dxfId="1738" priority="8914" stopIfTrue="1" operator="notEqual">
      <formula>0</formula>
    </cfRule>
  </conditionalFormatting>
  <conditionalFormatting sqref="O6031">
    <cfRule type="expression" dxfId="1737" priority="8915" stopIfTrue="1">
      <formula>OR($O$6031="F/S",$O$6031="")</formula>
    </cfRule>
    <cfRule type="cellIs" dxfId="1736" priority="8916" stopIfTrue="1" operator="notEqual">
      <formula>0</formula>
    </cfRule>
  </conditionalFormatting>
  <conditionalFormatting sqref="L5085">
    <cfRule type="expression" dxfId="1735" priority="8917" stopIfTrue="1">
      <formula>OR($L$5085="F/S",$L$5085="")</formula>
    </cfRule>
    <cfRule type="cellIs" dxfId="1734" priority="8918" stopIfTrue="1" operator="notEqual">
      <formula>0</formula>
    </cfRule>
  </conditionalFormatting>
  <conditionalFormatting sqref="O5085">
    <cfRule type="expression" dxfId="1733" priority="8919" stopIfTrue="1">
      <formula>OR($O$5085="F/S",$O$5085="")</formula>
    </cfRule>
    <cfRule type="cellIs" dxfId="1732" priority="8920" stopIfTrue="1" operator="notEqual">
      <formula>0</formula>
    </cfRule>
  </conditionalFormatting>
  <conditionalFormatting sqref="L5096">
    <cfRule type="expression" dxfId="1731" priority="8921" stopIfTrue="1">
      <formula>OR($L$5096="F/S",$L$5096="")</formula>
    </cfRule>
    <cfRule type="cellIs" dxfId="1730" priority="8922" stopIfTrue="1" operator="notEqual">
      <formula>0</formula>
    </cfRule>
  </conditionalFormatting>
  <conditionalFormatting sqref="O5096">
    <cfRule type="expression" dxfId="1729" priority="8923" stopIfTrue="1">
      <formula>OR($O$5096="F/S",$O$5096="")</formula>
    </cfRule>
    <cfRule type="cellIs" dxfId="1728" priority="8924" stopIfTrue="1" operator="notEqual">
      <formula>0</formula>
    </cfRule>
  </conditionalFormatting>
  <conditionalFormatting sqref="L5119">
    <cfRule type="expression" dxfId="1727" priority="8925" stopIfTrue="1">
      <formula>OR($L$5119="F/S",$L$5119="")</formula>
    </cfRule>
    <cfRule type="cellIs" dxfId="1726" priority="8926" stopIfTrue="1" operator="notEqual">
      <formula>0</formula>
    </cfRule>
  </conditionalFormatting>
  <conditionalFormatting sqref="O5119">
    <cfRule type="expression" dxfId="1725" priority="8927" stopIfTrue="1">
      <formula>OR($O$5119="F/S",$O$5119="")</formula>
    </cfRule>
    <cfRule type="cellIs" dxfId="1724" priority="8928" stopIfTrue="1" operator="notEqual">
      <formula>0</formula>
    </cfRule>
  </conditionalFormatting>
  <conditionalFormatting sqref="L5127">
    <cfRule type="expression" dxfId="1723" priority="8929" stopIfTrue="1">
      <formula>OR($L$5127="F/S",$L$5127="")</formula>
    </cfRule>
    <cfRule type="cellIs" dxfId="1722" priority="8930" stopIfTrue="1" operator="notEqual">
      <formula>0</formula>
    </cfRule>
  </conditionalFormatting>
  <conditionalFormatting sqref="O5127">
    <cfRule type="expression" dxfId="1721" priority="8931" stopIfTrue="1">
      <formula>OR($O$5127="F/S",$O$5127="")</formula>
    </cfRule>
    <cfRule type="cellIs" dxfId="1720" priority="8932" stopIfTrue="1" operator="notEqual">
      <formula>0</formula>
    </cfRule>
  </conditionalFormatting>
  <conditionalFormatting sqref="L5156">
    <cfRule type="expression" dxfId="1719" priority="8937" stopIfTrue="1">
      <formula>OR($L$5156="F/S",$L$5156="")</formula>
    </cfRule>
    <cfRule type="cellIs" dxfId="1718" priority="8938" stopIfTrue="1" operator="notEqual">
      <formula>0</formula>
    </cfRule>
  </conditionalFormatting>
  <conditionalFormatting sqref="O5156">
    <cfRule type="expression" dxfId="1717" priority="8939" stopIfTrue="1">
      <formula>OR($O$5156="F/S",$O$5156="")</formula>
    </cfRule>
    <cfRule type="cellIs" dxfId="1716" priority="8940" stopIfTrue="1" operator="notEqual">
      <formula>0</formula>
    </cfRule>
  </conditionalFormatting>
  <conditionalFormatting sqref="L5172">
    <cfRule type="expression" dxfId="1715" priority="8941" stopIfTrue="1">
      <formula>OR($L$5172="F/S",$L$5172="")</formula>
    </cfRule>
    <cfRule type="cellIs" dxfId="1714" priority="8942" stopIfTrue="1" operator="notEqual">
      <formula>0</formula>
    </cfRule>
  </conditionalFormatting>
  <conditionalFormatting sqref="O5172">
    <cfRule type="expression" dxfId="1713" priority="8943" stopIfTrue="1">
      <formula>OR($O$5172="F/S",$O$5172="")</formula>
    </cfRule>
    <cfRule type="cellIs" dxfId="1712" priority="8944" stopIfTrue="1" operator="notEqual">
      <formula>0</formula>
    </cfRule>
  </conditionalFormatting>
  <conditionalFormatting sqref="L5136">
    <cfRule type="expression" dxfId="1711" priority="8945" stopIfTrue="1">
      <formula>OR($L$5136="F/S",$L$5136="")</formula>
    </cfRule>
    <cfRule type="cellIs" dxfId="1710" priority="8946" stopIfTrue="1" operator="notEqual">
      <formula>0</formula>
    </cfRule>
  </conditionalFormatting>
  <conditionalFormatting sqref="O5136">
    <cfRule type="expression" dxfId="1709" priority="8947" stopIfTrue="1">
      <formula>OR($O$5136="F/S",$O$5136="")</formula>
    </cfRule>
    <cfRule type="cellIs" dxfId="1708" priority="8948" stopIfTrue="1" operator="notEqual">
      <formula>0</formula>
    </cfRule>
  </conditionalFormatting>
  <conditionalFormatting sqref="L5146">
    <cfRule type="expression" dxfId="1707" priority="8949" stopIfTrue="1">
      <formula>OR($L$5146="F/S",$L$5146="")</formula>
    </cfRule>
    <cfRule type="cellIs" dxfId="1706" priority="8950" stopIfTrue="1" operator="notEqual">
      <formula>0</formula>
    </cfRule>
  </conditionalFormatting>
  <conditionalFormatting sqref="O5146">
    <cfRule type="expression" dxfId="1705" priority="8951" stopIfTrue="1">
      <formula>OR($O$5146="F/S",$O$5146="")</formula>
    </cfRule>
    <cfRule type="cellIs" dxfId="1704" priority="8952" stopIfTrue="1" operator="notEqual">
      <formula>0</formula>
    </cfRule>
  </conditionalFormatting>
  <conditionalFormatting sqref="L6054">
    <cfRule type="expression" dxfId="1703" priority="8953" stopIfTrue="1">
      <formula>OR($L$6054="F/S",$L$6054="")</formula>
    </cfRule>
    <cfRule type="cellIs" dxfId="1702" priority="8954" stopIfTrue="1" operator="notEqual">
      <formula>0</formula>
    </cfRule>
  </conditionalFormatting>
  <conditionalFormatting sqref="O6054">
    <cfRule type="expression" dxfId="1701" priority="8955" stopIfTrue="1">
      <formula>OR($O$6054="F/S",$O$6054="")</formula>
    </cfRule>
    <cfRule type="cellIs" dxfId="1700" priority="8956" stopIfTrue="1" operator="notEqual">
      <formula>0</formula>
    </cfRule>
  </conditionalFormatting>
  <conditionalFormatting sqref="L6063">
    <cfRule type="expression" dxfId="1699" priority="8957" stopIfTrue="1">
      <formula>OR($L$6063="F/S",$L$6063="")</formula>
    </cfRule>
    <cfRule type="cellIs" dxfId="1698" priority="8958" stopIfTrue="1" operator="notEqual">
      <formula>0</formula>
    </cfRule>
  </conditionalFormatting>
  <conditionalFormatting sqref="O6063">
    <cfRule type="expression" dxfId="1697" priority="8959" stopIfTrue="1">
      <formula>OR($O$6063="F/S",$O$6063="")</formula>
    </cfRule>
    <cfRule type="cellIs" dxfId="1696" priority="8960" stopIfTrue="1" operator="notEqual">
      <formula>0</formula>
    </cfRule>
  </conditionalFormatting>
  <conditionalFormatting sqref="L6074">
    <cfRule type="expression" dxfId="1695" priority="8961" stopIfTrue="1">
      <formula>OR($L$6074="F/S",$L$6074="")</formula>
    </cfRule>
    <cfRule type="cellIs" dxfId="1694" priority="8962" stopIfTrue="1" operator="notEqual">
      <formula>0</formula>
    </cfRule>
  </conditionalFormatting>
  <conditionalFormatting sqref="O6074">
    <cfRule type="expression" dxfId="1693" priority="8963" stopIfTrue="1">
      <formula>OR($O$6074="F/S",$O$6074="")</formula>
    </cfRule>
    <cfRule type="cellIs" dxfId="1692" priority="8964" stopIfTrue="1" operator="notEqual">
      <formula>0</formula>
    </cfRule>
  </conditionalFormatting>
  <conditionalFormatting sqref="L6083">
    <cfRule type="expression" dxfId="1691" priority="8965" stopIfTrue="1">
      <formula>OR($L$6083="F/S",$L$6083="")</formula>
    </cfRule>
    <cfRule type="cellIs" dxfId="1690" priority="8966" stopIfTrue="1" operator="notEqual">
      <formula>0</formula>
    </cfRule>
  </conditionalFormatting>
  <conditionalFormatting sqref="O6083">
    <cfRule type="expression" dxfId="1689" priority="8967" stopIfTrue="1">
      <formula>OR($O$6083="F/S",$O$6083="")</formula>
    </cfRule>
    <cfRule type="cellIs" dxfId="1688" priority="8968" stopIfTrue="1" operator="notEqual">
      <formula>0</formula>
    </cfRule>
  </conditionalFormatting>
  <conditionalFormatting sqref="L6092">
    <cfRule type="expression" dxfId="1687" priority="8969" stopIfTrue="1">
      <formula>OR($L$6092="F/S",$L$6092="")</formula>
    </cfRule>
    <cfRule type="cellIs" dxfId="1686" priority="8970" stopIfTrue="1" operator="notEqual">
      <formula>0</formula>
    </cfRule>
  </conditionalFormatting>
  <conditionalFormatting sqref="O6092">
    <cfRule type="expression" dxfId="1685" priority="8971" stopIfTrue="1">
      <formula>OR($O$6092="F/S",$O$6092="")</formula>
    </cfRule>
    <cfRule type="cellIs" dxfId="1684" priority="8972" stopIfTrue="1" operator="notEqual">
      <formula>0</formula>
    </cfRule>
  </conditionalFormatting>
  <conditionalFormatting sqref="L6106">
    <cfRule type="expression" dxfId="1683" priority="8973" stopIfTrue="1">
      <formula>OR($L$6106="F/S",$L$6106="")</formula>
    </cfRule>
    <cfRule type="cellIs" dxfId="1682" priority="8974" stopIfTrue="1" operator="notEqual">
      <formula>0</formula>
    </cfRule>
  </conditionalFormatting>
  <conditionalFormatting sqref="O6106">
    <cfRule type="expression" dxfId="1681" priority="8975" stopIfTrue="1">
      <formula>OR($O$6106="F/S",$O$6106="")</formula>
    </cfRule>
    <cfRule type="cellIs" dxfId="1680" priority="8976" stopIfTrue="1" operator="notEqual">
      <formula>0</formula>
    </cfRule>
  </conditionalFormatting>
  <conditionalFormatting sqref="L6116">
    <cfRule type="expression" dxfId="1679" priority="8977" stopIfTrue="1">
      <formula>OR($L$6116="F/S",$L$6116="")</formula>
    </cfRule>
    <cfRule type="cellIs" dxfId="1678" priority="8978" stopIfTrue="1" operator="notEqual">
      <formula>0</formula>
    </cfRule>
  </conditionalFormatting>
  <conditionalFormatting sqref="O6116">
    <cfRule type="expression" dxfId="1677" priority="8979" stopIfTrue="1">
      <formula>OR($O$6116="F/S",$O$6116="")</formula>
    </cfRule>
    <cfRule type="cellIs" dxfId="1676" priority="8980" stopIfTrue="1" operator="notEqual">
      <formula>0</formula>
    </cfRule>
  </conditionalFormatting>
  <conditionalFormatting sqref="L6125">
    <cfRule type="expression" dxfId="1675" priority="8981" stopIfTrue="1">
      <formula>OR($L$6125="F/S",$L$6125="")</formula>
    </cfRule>
    <cfRule type="cellIs" dxfId="1674" priority="8982" stopIfTrue="1" operator="notEqual">
      <formula>0</formula>
    </cfRule>
  </conditionalFormatting>
  <conditionalFormatting sqref="O6125">
    <cfRule type="expression" dxfId="1673" priority="8983" stopIfTrue="1">
      <formula>OR($O$6125="F/S",$O$6125="")</formula>
    </cfRule>
    <cfRule type="cellIs" dxfId="1672" priority="8984" stopIfTrue="1" operator="notEqual">
      <formula>0</formula>
    </cfRule>
  </conditionalFormatting>
  <conditionalFormatting sqref="L6136">
    <cfRule type="expression" dxfId="1671" priority="8985" stopIfTrue="1">
      <formula>OR($L$6136="F/S",$L$6136="")</formula>
    </cfRule>
    <cfRule type="cellIs" dxfId="1670" priority="8986" stopIfTrue="1" operator="notEqual">
      <formula>0</formula>
    </cfRule>
  </conditionalFormatting>
  <conditionalFormatting sqref="O6136">
    <cfRule type="expression" dxfId="1669" priority="8987" stopIfTrue="1">
      <formula>OR($O$6136="F/S",$O$6136="")</formula>
    </cfRule>
    <cfRule type="cellIs" dxfId="1668" priority="8988" stopIfTrue="1" operator="notEqual">
      <formula>0</formula>
    </cfRule>
  </conditionalFormatting>
  <conditionalFormatting sqref="L6145">
    <cfRule type="expression" dxfId="1667" priority="8989" stopIfTrue="1">
      <formula>OR($L$6145="F/S",$L$6145="")</formula>
    </cfRule>
    <cfRule type="cellIs" dxfId="1666" priority="8990" stopIfTrue="1" operator="notEqual">
      <formula>0</formula>
    </cfRule>
  </conditionalFormatting>
  <conditionalFormatting sqref="O6145">
    <cfRule type="expression" dxfId="1665" priority="8991" stopIfTrue="1">
      <formula>OR($O$6145="F/S",$O$6145="")</formula>
    </cfRule>
    <cfRule type="cellIs" dxfId="1664" priority="8992" stopIfTrue="1" operator="notEqual">
      <formula>0</formula>
    </cfRule>
  </conditionalFormatting>
  <conditionalFormatting sqref="L6154">
    <cfRule type="expression" dxfId="1663" priority="8993" stopIfTrue="1">
      <formula>OR($L$6154="F/S",$L$6154="")</formula>
    </cfRule>
    <cfRule type="cellIs" dxfId="1662" priority="8994" stopIfTrue="1" operator="notEqual">
      <formula>0</formula>
    </cfRule>
  </conditionalFormatting>
  <conditionalFormatting sqref="O6154">
    <cfRule type="expression" dxfId="1661" priority="8995" stopIfTrue="1">
      <formula>OR($O$6154="F/S",$O$6154="")</formula>
    </cfRule>
    <cfRule type="cellIs" dxfId="1660" priority="8996" stopIfTrue="1" operator="notEqual">
      <formula>0</formula>
    </cfRule>
  </conditionalFormatting>
  <conditionalFormatting sqref="L6163">
    <cfRule type="expression" dxfId="1659" priority="8997" stopIfTrue="1">
      <formula>OR($L$6163="F/S",$L$6163="")</formula>
    </cfRule>
    <cfRule type="cellIs" dxfId="1658" priority="8998" stopIfTrue="1" operator="notEqual">
      <formula>0</formula>
    </cfRule>
  </conditionalFormatting>
  <conditionalFormatting sqref="O6163">
    <cfRule type="expression" dxfId="1657" priority="8999" stopIfTrue="1">
      <formula>OR($O$6163="F/S",$O$6163="")</formula>
    </cfRule>
    <cfRule type="cellIs" dxfId="1656" priority="9000" stopIfTrue="1" operator="notEqual">
      <formula>0</formula>
    </cfRule>
  </conditionalFormatting>
  <conditionalFormatting sqref="L6185">
    <cfRule type="expression" dxfId="1655" priority="9001" stopIfTrue="1">
      <formula>OR($L$6185="F/S",$L$6185="")</formula>
    </cfRule>
    <cfRule type="cellIs" dxfId="1654" priority="9002" stopIfTrue="1" operator="notEqual">
      <formula>0</formula>
    </cfRule>
  </conditionalFormatting>
  <conditionalFormatting sqref="O6185">
    <cfRule type="expression" dxfId="1653" priority="9003" stopIfTrue="1">
      <formula>OR($O$6185="F/S",$O$6185="")</formula>
    </cfRule>
    <cfRule type="cellIs" dxfId="1652" priority="9004" stopIfTrue="1" operator="notEqual">
      <formula>0</formula>
    </cfRule>
  </conditionalFormatting>
  <conditionalFormatting sqref="L6212">
    <cfRule type="expression" dxfId="1651" priority="9005" stopIfTrue="1">
      <formula>OR($L$6212="F/S",$L$6212="")</formula>
    </cfRule>
    <cfRule type="cellIs" dxfId="1650" priority="9006" stopIfTrue="1" operator="notEqual">
      <formula>0</formula>
    </cfRule>
  </conditionalFormatting>
  <conditionalFormatting sqref="O6212">
    <cfRule type="expression" dxfId="1649" priority="9007" stopIfTrue="1">
      <formula>OR($O$6212="F/S",$O$6212="")</formula>
    </cfRule>
    <cfRule type="cellIs" dxfId="1648" priority="9008" stopIfTrue="1" operator="notEqual">
      <formula>0</formula>
    </cfRule>
  </conditionalFormatting>
  <conditionalFormatting sqref="L6241">
    <cfRule type="expression" dxfId="1647" priority="9009" stopIfTrue="1">
      <formula>OR($L$6241="F/S",$L$6241="")</formula>
    </cfRule>
    <cfRule type="cellIs" dxfId="1646" priority="9010" stopIfTrue="1" operator="notEqual">
      <formula>0</formula>
    </cfRule>
  </conditionalFormatting>
  <conditionalFormatting sqref="O6241">
    <cfRule type="expression" dxfId="1645" priority="9011" stopIfTrue="1">
      <formula>OR($O$6241="F/S",$O$6241="")</formula>
    </cfRule>
    <cfRule type="cellIs" dxfId="1644" priority="9012" stopIfTrue="1" operator="notEqual">
      <formula>0</formula>
    </cfRule>
  </conditionalFormatting>
  <conditionalFormatting sqref="L5621">
    <cfRule type="expression" dxfId="1643" priority="9013" stopIfTrue="1">
      <formula>OR($L$5621="F/S",$L$5621="")</formula>
    </cfRule>
    <cfRule type="cellIs" dxfId="1642" priority="9014" stopIfTrue="1" operator="notEqual">
      <formula>0</formula>
    </cfRule>
  </conditionalFormatting>
  <conditionalFormatting sqref="O5621">
    <cfRule type="expression" dxfId="1641" priority="9015" stopIfTrue="1">
      <formula>OR($O$5621="F/S",$O$5621="")</formula>
    </cfRule>
    <cfRule type="cellIs" dxfId="1640" priority="9016" stopIfTrue="1" operator="notEqual">
      <formula>0</formula>
    </cfRule>
  </conditionalFormatting>
  <conditionalFormatting sqref="L5634">
    <cfRule type="expression" dxfId="1639" priority="9017" stopIfTrue="1">
      <formula>OR($L$5634="F/S",$L$5634="")</formula>
    </cfRule>
    <cfRule type="cellIs" dxfId="1638" priority="9018" stopIfTrue="1" operator="notEqual">
      <formula>0</formula>
    </cfRule>
  </conditionalFormatting>
  <conditionalFormatting sqref="O5634">
    <cfRule type="expression" dxfId="1637" priority="9019" stopIfTrue="1">
      <formula>OR($O$5634="F/S",$O$5634="")</formula>
    </cfRule>
    <cfRule type="cellIs" dxfId="1636" priority="9020" stopIfTrue="1" operator="notEqual">
      <formula>0</formula>
    </cfRule>
  </conditionalFormatting>
  <conditionalFormatting sqref="L5647">
    <cfRule type="expression" dxfId="1635" priority="9021" stopIfTrue="1">
      <formula>OR($L$5647="F/S",$L$5647="")</formula>
    </cfRule>
    <cfRule type="cellIs" dxfId="1634" priority="9022" stopIfTrue="1" operator="notEqual">
      <formula>0</formula>
    </cfRule>
  </conditionalFormatting>
  <conditionalFormatting sqref="O5647">
    <cfRule type="expression" dxfId="1633" priority="9023" stopIfTrue="1">
      <formula>OR($O$5647="F/S",$O$5647="")</formula>
    </cfRule>
    <cfRule type="cellIs" dxfId="1632" priority="9024" stopIfTrue="1" operator="notEqual">
      <formula>0</formula>
    </cfRule>
  </conditionalFormatting>
  <conditionalFormatting sqref="L5657">
    <cfRule type="expression" dxfId="1631" priority="9025" stopIfTrue="1">
      <formula>OR($L$5657="F/S",$L$5657="")</formula>
    </cfRule>
    <cfRule type="cellIs" dxfId="1630" priority="9026" stopIfTrue="1" operator="notEqual">
      <formula>0</formula>
    </cfRule>
  </conditionalFormatting>
  <conditionalFormatting sqref="O5657">
    <cfRule type="expression" dxfId="1629" priority="9027" stopIfTrue="1">
      <formula>OR($O$5657="F/S",$O$5657="")</formula>
    </cfRule>
    <cfRule type="cellIs" dxfId="1628" priority="9028" stopIfTrue="1" operator="notEqual">
      <formula>0</formula>
    </cfRule>
  </conditionalFormatting>
  <conditionalFormatting sqref="L5667">
    <cfRule type="expression" dxfId="1627" priority="9029" stopIfTrue="1">
      <formula>OR($L$5667="F/S",$L$5667="")</formula>
    </cfRule>
    <cfRule type="cellIs" dxfId="1626" priority="9030" stopIfTrue="1" operator="notEqual">
      <formula>0</formula>
    </cfRule>
  </conditionalFormatting>
  <conditionalFormatting sqref="O5667">
    <cfRule type="expression" dxfId="1625" priority="9031" stopIfTrue="1">
      <formula>OR($O$5667="F/S",$O$5667="")</formula>
    </cfRule>
    <cfRule type="cellIs" dxfId="1624" priority="9032" stopIfTrue="1" operator="notEqual">
      <formula>0</formula>
    </cfRule>
  </conditionalFormatting>
  <conditionalFormatting sqref="L5677">
    <cfRule type="expression" dxfId="1623" priority="9033" stopIfTrue="1">
      <formula>OR($L$5677="F/S",$L$5677="")</formula>
    </cfRule>
    <cfRule type="cellIs" dxfId="1622" priority="9034" stopIfTrue="1" operator="notEqual">
      <formula>0</formula>
    </cfRule>
  </conditionalFormatting>
  <conditionalFormatting sqref="O5677">
    <cfRule type="expression" dxfId="1621" priority="9035" stopIfTrue="1">
      <formula>OR($O$5677="F/S",$O$5677="")</formula>
    </cfRule>
    <cfRule type="cellIs" dxfId="1620" priority="9036" stopIfTrue="1" operator="notEqual">
      <formula>0</formula>
    </cfRule>
  </conditionalFormatting>
  <conditionalFormatting sqref="L5687">
    <cfRule type="expression" dxfId="1619" priority="9037" stopIfTrue="1">
      <formula>OR($L$5687="F/S",$L$5687="")</formula>
    </cfRule>
    <cfRule type="cellIs" dxfId="1618" priority="9038" stopIfTrue="1" operator="notEqual">
      <formula>0</formula>
    </cfRule>
  </conditionalFormatting>
  <conditionalFormatting sqref="O5687">
    <cfRule type="expression" dxfId="1617" priority="9039" stopIfTrue="1">
      <formula>OR($O$5687="F/S",$O$5687="")</formula>
    </cfRule>
    <cfRule type="cellIs" dxfId="1616" priority="9040" stopIfTrue="1" operator="notEqual">
      <formula>0</formula>
    </cfRule>
  </conditionalFormatting>
  <conditionalFormatting sqref="L5697">
    <cfRule type="expression" dxfId="1615" priority="9041" stopIfTrue="1">
      <formula>OR($L$5697="F/S",$L$5697="")</formula>
    </cfRule>
    <cfRule type="cellIs" dxfId="1614" priority="9042" stopIfTrue="1" operator="notEqual">
      <formula>0</formula>
    </cfRule>
  </conditionalFormatting>
  <conditionalFormatting sqref="O5697">
    <cfRule type="expression" dxfId="1613" priority="9043" stopIfTrue="1">
      <formula>OR($O$5697="F/S",$O$5697="")</formula>
    </cfRule>
    <cfRule type="cellIs" dxfId="1612" priority="9044" stopIfTrue="1" operator="notEqual">
      <formula>0</formula>
    </cfRule>
  </conditionalFormatting>
  <conditionalFormatting sqref="L5707">
    <cfRule type="expression" dxfId="1611" priority="9045" stopIfTrue="1">
      <formula>OR($L$5707="F/S",$L$5707="")</formula>
    </cfRule>
    <cfRule type="cellIs" dxfId="1610" priority="9046" stopIfTrue="1" operator="notEqual">
      <formula>0</formula>
    </cfRule>
  </conditionalFormatting>
  <conditionalFormatting sqref="O5707">
    <cfRule type="expression" dxfId="1609" priority="9047" stopIfTrue="1">
      <formula>OR($O$5707="F/S",$O$5707="")</formula>
    </cfRule>
    <cfRule type="cellIs" dxfId="1608" priority="9048" stopIfTrue="1" operator="notEqual">
      <formula>0</formula>
    </cfRule>
  </conditionalFormatting>
  <conditionalFormatting sqref="L5717">
    <cfRule type="expression" dxfId="1607" priority="9049" stopIfTrue="1">
      <formula>OR($L$5717="F/S",$L$5717="")</formula>
    </cfRule>
    <cfRule type="cellIs" dxfId="1606" priority="9050" stopIfTrue="1" operator="notEqual">
      <formula>0</formula>
    </cfRule>
  </conditionalFormatting>
  <conditionalFormatting sqref="O5717">
    <cfRule type="expression" dxfId="1605" priority="9051" stopIfTrue="1">
      <formula>OR($O$5717="F/S",$O$5717="")</formula>
    </cfRule>
    <cfRule type="cellIs" dxfId="1604" priority="9052" stopIfTrue="1" operator="notEqual">
      <formula>0</formula>
    </cfRule>
  </conditionalFormatting>
  <conditionalFormatting sqref="L5727">
    <cfRule type="expression" dxfId="1603" priority="9053" stopIfTrue="1">
      <formula>OR($L$5727="F/S",$L$5727="")</formula>
    </cfRule>
    <cfRule type="cellIs" dxfId="1602" priority="9054" stopIfTrue="1" operator="notEqual">
      <formula>0</formula>
    </cfRule>
  </conditionalFormatting>
  <conditionalFormatting sqref="O5727">
    <cfRule type="expression" dxfId="1601" priority="9055" stopIfTrue="1">
      <formula>OR($O$5727="F/S",$O$5727="")</formula>
    </cfRule>
    <cfRule type="cellIs" dxfId="1600" priority="9056" stopIfTrue="1" operator="notEqual">
      <formula>0</formula>
    </cfRule>
  </conditionalFormatting>
  <conditionalFormatting sqref="L5737">
    <cfRule type="expression" dxfId="1599" priority="9057" stopIfTrue="1">
      <formula>OR($L$5737="F/S",$L$5737="")</formula>
    </cfRule>
    <cfRule type="cellIs" dxfId="1598" priority="9058" stopIfTrue="1" operator="notEqual">
      <formula>0</formula>
    </cfRule>
  </conditionalFormatting>
  <conditionalFormatting sqref="O5737">
    <cfRule type="expression" dxfId="1597" priority="9059" stopIfTrue="1">
      <formula>OR($O$5737="F/S",$O$5737="")</formula>
    </cfRule>
    <cfRule type="cellIs" dxfId="1596" priority="9060" stopIfTrue="1" operator="notEqual">
      <formula>0</formula>
    </cfRule>
  </conditionalFormatting>
  <conditionalFormatting sqref="L5745">
    <cfRule type="expression" dxfId="1595" priority="9061" stopIfTrue="1">
      <formula>OR($L$5745="F/S",$L$5745="")</formula>
    </cfRule>
    <cfRule type="cellIs" dxfId="1594" priority="9062" stopIfTrue="1" operator="notEqual">
      <formula>0</formula>
    </cfRule>
  </conditionalFormatting>
  <conditionalFormatting sqref="O5745">
    <cfRule type="expression" dxfId="1593" priority="9063" stopIfTrue="1">
      <formula>OR($O$5745="F/S",$O$5745="")</formula>
    </cfRule>
    <cfRule type="cellIs" dxfId="1592" priority="9064" stopIfTrue="1" operator="notEqual">
      <formula>0</formula>
    </cfRule>
  </conditionalFormatting>
  <conditionalFormatting sqref="L5760">
    <cfRule type="expression" dxfId="1591" priority="9065" stopIfTrue="1">
      <formula>OR($L$5760="F/S",$L$5760="")</formula>
    </cfRule>
    <cfRule type="cellIs" dxfId="1590" priority="9066" stopIfTrue="1" operator="notEqual">
      <formula>0</formula>
    </cfRule>
  </conditionalFormatting>
  <conditionalFormatting sqref="O5760">
    <cfRule type="expression" dxfId="1589" priority="9067" stopIfTrue="1">
      <formula>OR($O$5760="F/S",$O$5760="")</formula>
    </cfRule>
    <cfRule type="cellIs" dxfId="1588" priority="9068" stopIfTrue="1" operator="notEqual">
      <formula>0</formula>
    </cfRule>
  </conditionalFormatting>
  <conditionalFormatting sqref="L5183">
    <cfRule type="expression" dxfId="1587" priority="9069" stopIfTrue="1">
      <formula>OR($L$5183="F/S",$L$5183="")</formula>
    </cfRule>
    <cfRule type="cellIs" dxfId="1586" priority="9070" stopIfTrue="1" operator="notEqual">
      <formula>0</formula>
    </cfRule>
  </conditionalFormatting>
  <conditionalFormatting sqref="O5183">
    <cfRule type="expression" dxfId="1585" priority="9071" stopIfTrue="1">
      <formula>OR($O$5183="F/S",$O$5183="")</formula>
    </cfRule>
    <cfRule type="cellIs" dxfId="1584" priority="9072" stopIfTrue="1" operator="notEqual">
      <formula>0</formula>
    </cfRule>
  </conditionalFormatting>
  <conditionalFormatting sqref="L5319">
    <cfRule type="expression" dxfId="1583" priority="9085" stopIfTrue="1">
      <formula>OR($L$5319="F/S",$L$5319="")</formula>
    </cfRule>
    <cfRule type="cellIs" dxfId="1582" priority="9086" stopIfTrue="1" operator="notEqual">
      <formula>0</formula>
    </cfRule>
  </conditionalFormatting>
  <conditionalFormatting sqref="O5319">
    <cfRule type="expression" dxfId="1581" priority="9087" stopIfTrue="1">
      <formula>OR($O$5319="F/S",$O$5319="")</formula>
    </cfRule>
    <cfRule type="cellIs" dxfId="1580" priority="9088" stopIfTrue="1" operator="notEqual">
      <formula>0</formula>
    </cfRule>
  </conditionalFormatting>
  <conditionalFormatting sqref="L5336">
    <cfRule type="expression" dxfId="1579" priority="9089" stopIfTrue="1">
      <formula>OR($L$5336="F/S",$L$5336="")</formula>
    </cfRule>
    <cfRule type="cellIs" dxfId="1578" priority="9090" stopIfTrue="1" operator="notEqual">
      <formula>0</formula>
    </cfRule>
  </conditionalFormatting>
  <conditionalFormatting sqref="O5336">
    <cfRule type="expression" dxfId="1577" priority="9091" stopIfTrue="1">
      <formula>OR($O$5336="F/S",$O$5336="")</formula>
    </cfRule>
    <cfRule type="cellIs" dxfId="1576" priority="9092" stopIfTrue="1" operator="notEqual">
      <formula>0</formula>
    </cfRule>
  </conditionalFormatting>
  <conditionalFormatting sqref="L5353">
    <cfRule type="expression" dxfId="1575" priority="9093" stopIfTrue="1">
      <formula>OR($L$5353="F/S",$L$5353="")</formula>
    </cfRule>
    <cfRule type="cellIs" dxfId="1574" priority="9094" stopIfTrue="1" operator="notEqual">
      <formula>0</formula>
    </cfRule>
  </conditionalFormatting>
  <conditionalFormatting sqref="O5353">
    <cfRule type="expression" dxfId="1573" priority="9095" stopIfTrue="1">
      <formula>OR($O$5353="F/S",$O$5353="")</formula>
    </cfRule>
    <cfRule type="cellIs" dxfId="1572" priority="9096" stopIfTrue="1" operator="notEqual">
      <formula>0</formula>
    </cfRule>
  </conditionalFormatting>
  <conditionalFormatting sqref="L5369">
    <cfRule type="expression" dxfId="1571" priority="9097" stopIfTrue="1">
      <formula>OR($L$5369="F/S",$L$5369="")</formula>
    </cfRule>
    <cfRule type="cellIs" dxfId="1570" priority="9098" stopIfTrue="1" operator="notEqual">
      <formula>0</formula>
    </cfRule>
  </conditionalFormatting>
  <conditionalFormatting sqref="O5369">
    <cfRule type="expression" dxfId="1569" priority="9099" stopIfTrue="1">
      <formula>OR($O$5369="F/S",$O$5369="")</formula>
    </cfRule>
    <cfRule type="cellIs" dxfId="1568" priority="9100" stopIfTrue="1" operator="notEqual">
      <formula>0</formula>
    </cfRule>
  </conditionalFormatting>
  <conditionalFormatting sqref="L5385">
    <cfRule type="expression" dxfId="1567" priority="9101" stopIfTrue="1">
      <formula>OR($L$5385="F/S",$L$5385="")</formula>
    </cfRule>
    <cfRule type="cellIs" dxfId="1566" priority="9102" stopIfTrue="1" operator="notEqual">
      <formula>0</formula>
    </cfRule>
  </conditionalFormatting>
  <conditionalFormatting sqref="O5385">
    <cfRule type="expression" dxfId="1565" priority="9103" stopIfTrue="1">
      <formula>OR($O$5385="F/S",$O$5385="")</formula>
    </cfRule>
    <cfRule type="cellIs" dxfId="1564" priority="9104" stopIfTrue="1" operator="notEqual">
      <formula>0</formula>
    </cfRule>
  </conditionalFormatting>
  <conditionalFormatting sqref="L5419">
    <cfRule type="expression" dxfId="1563" priority="9105" stopIfTrue="1">
      <formula>OR($L$5419="F/S",$L$5419="")</formula>
    </cfRule>
    <cfRule type="cellIs" dxfId="1562" priority="9106" stopIfTrue="1" operator="notEqual">
      <formula>0</formula>
    </cfRule>
  </conditionalFormatting>
  <conditionalFormatting sqref="O5419">
    <cfRule type="expression" dxfId="1561" priority="9107" stopIfTrue="1">
      <formula>OR($O$5419="F/S",$O$5419="")</formula>
    </cfRule>
    <cfRule type="cellIs" dxfId="1560" priority="9108" stopIfTrue="1" operator="notEqual">
      <formula>0</formula>
    </cfRule>
  </conditionalFormatting>
  <conditionalFormatting sqref="L5454">
    <cfRule type="expression" dxfId="1559" priority="9109" stopIfTrue="1">
      <formula>OR($L$5454="F/S",$L$5454="")</formula>
    </cfRule>
    <cfRule type="cellIs" dxfId="1558" priority="9110" stopIfTrue="1" operator="notEqual">
      <formula>0</formula>
    </cfRule>
  </conditionalFormatting>
  <conditionalFormatting sqref="O5454">
    <cfRule type="expression" dxfId="1557" priority="9111" stopIfTrue="1">
      <formula>OR($O$5454="F/S",$O$5454="")</formula>
    </cfRule>
    <cfRule type="cellIs" dxfId="1556" priority="9112" stopIfTrue="1" operator="notEqual">
      <formula>0</formula>
    </cfRule>
  </conditionalFormatting>
  <conditionalFormatting sqref="L5601">
    <cfRule type="expression" dxfId="1555" priority="9113" stopIfTrue="1">
      <formula>OR($L$5601="F/S",$L$5601="")</formula>
    </cfRule>
    <cfRule type="cellIs" dxfId="1554" priority="9114" stopIfTrue="1" operator="notEqual">
      <formula>0</formula>
    </cfRule>
  </conditionalFormatting>
  <conditionalFormatting sqref="O5601">
    <cfRule type="expression" dxfId="1553" priority="9115" stopIfTrue="1">
      <formula>OR($O$5601="F/S",$O$5601="")</formula>
    </cfRule>
    <cfRule type="cellIs" dxfId="1552" priority="9116" stopIfTrue="1" operator="notEqual">
      <formula>0</formula>
    </cfRule>
  </conditionalFormatting>
  <conditionalFormatting sqref="L5575">
    <cfRule type="expression" dxfId="1551" priority="9133" stopIfTrue="1">
      <formula>OR($L$5575="F/S",$L$5575="")</formula>
    </cfRule>
    <cfRule type="cellIs" dxfId="1550" priority="9134" stopIfTrue="1" operator="notEqual">
      <formula>0</formula>
    </cfRule>
  </conditionalFormatting>
  <conditionalFormatting sqref="O5575">
    <cfRule type="expression" dxfId="1549" priority="9135" stopIfTrue="1">
      <formula>OR($O$5575="F/S",$O$5575="")</formula>
    </cfRule>
    <cfRule type="cellIs" dxfId="1548" priority="9136" stopIfTrue="1" operator="notEqual">
      <formula>0</formula>
    </cfRule>
  </conditionalFormatting>
  <conditionalFormatting sqref="L5774">
    <cfRule type="expression" dxfId="1547" priority="9141" stopIfTrue="1">
      <formula>OR($L$5774="F/S",$L$5774="")</formula>
    </cfRule>
    <cfRule type="cellIs" dxfId="1546" priority="9142" stopIfTrue="1" operator="notEqual">
      <formula>0</formula>
    </cfRule>
  </conditionalFormatting>
  <conditionalFormatting sqref="O5774">
    <cfRule type="expression" dxfId="1545" priority="9143" stopIfTrue="1">
      <formula>OR($O$5774="F/S",$O$5774="")</formula>
    </cfRule>
    <cfRule type="cellIs" dxfId="1544" priority="9144" stopIfTrue="1" operator="notEqual">
      <formula>0</formula>
    </cfRule>
  </conditionalFormatting>
  <conditionalFormatting sqref="L5275">
    <cfRule type="expression" dxfId="1543" priority="9145" stopIfTrue="1">
      <formula>OR($L$5275="F/S",$L$5275="")</formula>
    </cfRule>
    <cfRule type="cellIs" dxfId="1542" priority="9146" stopIfTrue="1" operator="notEqual">
      <formula>0</formula>
    </cfRule>
  </conditionalFormatting>
  <conditionalFormatting sqref="O5275">
    <cfRule type="expression" dxfId="1541" priority="9147" stopIfTrue="1">
      <formula>OR($O$5275="F/S",$O$5275="")</formula>
    </cfRule>
    <cfRule type="cellIs" dxfId="1540" priority="9148" stopIfTrue="1" operator="notEqual">
      <formula>0</formula>
    </cfRule>
  </conditionalFormatting>
  <conditionalFormatting sqref="L5548">
    <cfRule type="expression" dxfId="1539" priority="9149" stopIfTrue="1">
      <formula>OR($L$5548="F/S",$L$5548="")</formula>
    </cfRule>
    <cfRule type="cellIs" dxfId="1538" priority="9150" stopIfTrue="1" operator="notEqual">
      <formula>0</formula>
    </cfRule>
  </conditionalFormatting>
  <conditionalFormatting sqref="O5548">
    <cfRule type="expression" dxfId="1537" priority="9151" stopIfTrue="1">
      <formula>OR($O$5548="F/S",$O$5548="")</formula>
    </cfRule>
    <cfRule type="cellIs" dxfId="1536" priority="9152" stopIfTrue="1" operator="notEqual">
      <formula>0</formula>
    </cfRule>
  </conditionalFormatting>
  <conditionalFormatting sqref="L5557">
    <cfRule type="expression" dxfId="1535" priority="9153" stopIfTrue="1">
      <formula>OR($L$5557="F/S",$L$5557="")</formula>
    </cfRule>
    <cfRule type="cellIs" dxfId="1534" priority="9154" stopIfTrue="1" operator="notEqual">
      <formula>0</formula>
    </cfRule>
  </conditionalFormatting>
  <conditionalFormatting sqref="O5557">
    <cfRule type="expression" dxfId="1533" priority="9155" stopIfTrue="1">
      <formula>OR($O$5557="F/S",$O$5557="")</formula>
    </cfRule>
    <cfRule type="cellIs" dxfId="1532" priority="9156" stopIfTrue="1" operator="notEqual">
      <formula>0</formula>
    </cfRule>
  </conditionalFormatting>
  <conditionalFormatting sqref="L5290">
    <cfRule type="expression" dxfId="1531" priority="9181" stopIfTrue="1">
      <formula>OR($L$5290="F/S",$L$5290="")</formula>
    </cfRule>
    <cfRule type="cellIs" dxfId="1530" priority="9182" stopIfTrue="1" operator="notEqual">
      <formula>0</formula>
    </cfRule>
  </conditionalFormatting>
  <conditionalFormatting sqref="O5290">
    <cfRule type="expression" dxfId="1529" priority="9183" stopIfTrue="1">
      <formula>OR($O$5290="F/S",$O$5290="")</formula>
    </cfRule>
    <cfRule type="cellIs" dxfId="1528" priority="9184" stopIfTrue="1" operator="notEqual">
      <formula>0</formula>
    </cfRule>
  </conditionalFormatting>
  <conditionalFormatting sqref="L5305">
    <cfRule type="expression" dxfId="1527" priority="9185" stopIfTrue="1">
      <formula>OR($L$5305="F/S",$L$5305="")</formula>
    </cfRule>
    <cfRule type="cellIs" dxfId="1526" priority="9186" stopIfTrue="1" operator="notEqual">
      <formula>0</formula>
    </cfRule>
  </conditionalFormatting>
  <conditionalFormatting sqref="O5305">
    <cfRule type="expression" dxfId="1525" priority="9187" stopIfTrue="1">
      <formula>OR($O$5305="F/S",$O$5305="")</formula>
    </cfRule>
    <cfRule type="cellIs" dxfId="1524" priority="9188" stopIfTrue="1" operator="notEqual">
      <formula>0</formula>
    </cfRule>
  </conditionalFormatting>
  <conditionalFormatting sqref="L5804">
    <cfRule type="expression" dxfId="1523" priority="9189" stopIfTrue="1">
      <formula>OR($L$5804="F/S",$L$5804="")</formula>
    </cfRule>
    <cfRule type="cellIs" dxfId="1522" priority="9190" stopIfTrue="1" operator="notEqual">
      <formula>0</formula>
    </cfRule>
  </conditionalFormatting>
  <conditionalFormatting sqref="O5804">
    <cfRule type="expression" dxfId="1521" priority="9191" stopIfTrue="1">
      <formula>OR($O$5804="F/S",$O$5804="")</formula>
    </cfRule>
    <cfRule type="cellIs" dxfId="1520" priority="9192" stopIfTrue="1" operator="notEqual">
      <formula>0</formula>
    </cfRule>
  </conditionalFormatting>
  <conditionalFormatting sqref="L5846">
    <cfRule type="expression" dxfId="1519" priority="9193" stopIfTrue="1">
      <formula>OR($L$5846="F/S",$L$5846="")</formula>
    </cfRule>
    <cfRule type="cellIs" dxfId="1518" priority="9194" stopIfTrue="1" operator="notEqual">
      <formula>0</formula>
    </cfRule>
  </conditionalFormatting>
  <conditionalFormatting sqref="O5846">
    <cfRule type="expression" dxfId="1517" priority="9195" stopIfTrue="1">
      <formula>OR($O$5846="F/S",$O$5846="")</formula>
    </cfRule>
    <cfRule type="cellIs" dxfId="1516" priority="9196" stopIfTrue="1" operator="notEqual">
      <formula>0</formula>
    </cfRule>
  </conditionalFormatting>
  <conditionalFormatting sqref="L5836">
    <cfRule type="expression" dxfId="1515" priority="9197" stopIfTrue="1">
      <formula>OR($L$5836="F/S",$L$5836="")</formula>
    </cfRule>
    <cfRule type="cellIs" dxfId="1514" priority="9198" stopIfTrue="1" operator="notEqual">
      <formula>0</formula>
    </cfRule>
  </conditionalFormatting>
  <conditionalFormatting sqref="O5836">
    <cfRule type="expression" dxfId="1513" priority="9199" stopIfTrue="1">
      <formula>OR($O$5836="F/S",$O$5836="")</formula>
    </cfRule>
    <cfRule type="cellIs" dxfId="1512" priority="9200" stopIfTrue="1" operator="notEqual">
      <formula>0</formula>
    </cfRule>
  </conditionalFormatting>
  <conditionalFormatting sqref="L5856">
    <cfRule type="expression" dxfId="1511" priority="9201" stopIfTrue="1">
      <formula>OR($L$5856="F/S",$L$5856="")</formula>
    </cfRule>
    <cfRule type="cellIs" dxfId="1510" priority="9202" stopIfTrue="1" operator="notEqual">
      <formula>0</formula>
    </cfRule>
  </conditionalFormatting>
  <conditionalFormatting sqref="O5856">
    <cfRule type="expression" dxfId="1509" priority="9203" stopIfTrue="1">
      <formula>OR($O$5856="F/S",$O$5856="")</formula>
    </cfRule>
    <cfRule type="cellIs" dxfId="1508" priority="9204" stopIfTrue="1" operator="notEqual">
      <formula>0</formula>
    </cfRule>
  </conditionalFormatting>
  <conditionalFormatting sqref="L4984">
    <cfRule type="expression" dxfId="1507" priority="9205" stopIfTrue="1">
      <formula>OR($L$4984="F/S",$L$4984="")</formula>
    </cfRule>
    <cfRule type="cellIs" dxfId="1506" priority="9206" stopIfTrue="1" operator="notEqual">
      <formula>0</formula>
    </cfRule>
  </conditionalFormatting>
  <conditionalFormatting sqref="O4984">
    <cfRule type="expression" dxfId="1505" priority="9207" stopIfTrue="1">
      <formula>OR($O$4984="F/S",$O$4984="")</formula>
    </cfRule>
    <cfRule type="cellIs" dxfId="1504" priority="9208" stopIfTrue="1" operator="notEqual">
      <formula>0</formula>
    </cfRule>
  </conditionalFormatting>
  <conditionalFormatting sqref="L4998">
    <cfRule type="expression" dxfId="1503" priority="9209" stopIfTrue="1">
      <formula>OR($L$4998="F/S",$L$4998="")</formula>
    </cfRule>
    <cfRule type="cellIs" dxfId="1502" priority="9210" stopIfTrue="1" operator="notEqual">
      <formula>0</formula>
    </cfRule>
  </conditionalFormatting>
  <conditionalFormatting sqref="O4998">
    <cfRule type="expression" dxfId="1501" priority="9211" stopIfTrue="1">
      <formula>OR($O$4998="F/S",$O$4998="")</formula>
    </cfRule>
    <cfRule type="cellIs" dxfId="1500" priority="9212" stopIfTrue="1" operator="notEqual">
      <formula>0</formula>
    </cfRule>
  </conditionalFormatting>
  <conditionalFormatting sqref="L5008">
    <cfRule type="expression" dxfId="1499" priority="9213" stopIfTrue="1">
      <formula>OR($L$5008="F/S",$L$5008="")</formula>
    </cfRule>
    <cfRule type="cellIs" dxfId="1498" priority="9214" stopIfTrue="1" operator="notEqual">
      <formula>0</formula>
    </cfRule>
  </conditionalFormatting>
  <conditionalFormatting sqref="O5008">
    <cfRule type="expression" dxfId="1497" priority="9215" stopIfTrue="1">
      <formula>OR($O$5008="F/S",$O$5008="")</formula>
    </cfRule>
    <cfRule type="cellIs" dxfId="1496" priority="9216" stopIfTrue="1" operator="notEqual">
      <formula>0</formula>
    </cfRule>
  </conditionalFormatting>
  <conditionalFormatting sqref="H2701">
    <cfRule type="expression" dxfId="1495" priority="9221">
      <formula>AND(H$2701&lt;&gt;0,H$2701&lt;&gt;"")</formula>
    </cfRule>
    <cfRule type="expression" dxfId="1494" priority="9222" stopIfTrue="1">
      <formula>H$2702&lt;&gt;"√"</formula>
    </cfRule>
  </conditionalFormatting>
  <conditionalFormatting sqref="P2701">
    <cfRule type="expression" dxfId="1493" priority="9223">
      <formula>AND(P$2701&lt;&gt;0,P$2701&lt;&gt;"")</formula>
    </cfRule>
    <cfRule type="expression" dxfId="1492" priority="9224" stopIfTrue="1">
      <formula>P$2702&lt;&gt;"√"</formula>
    </cfRule>
  </conditionalFormatting>
  <conditionalFormatting sqref="K2703">
    <cfRule type="expression" dxfId="1491" priority="9225">
      <formula>AND($K$2703&lt;&gt;0,$K$2703&lt;&gt;"")</formula>
    </cfRule>
    <cfRule type="expression" dxfId="1490" priority="9226" stopIfTrue="1">
      <formula>$L$2703&lt;&gt;"√"</formula>
    </cfRule>
  </conditionalFormatting>
  <conditionalFormatting sqref="H3109">
    <cfRule type="expression" dxfId="1489" priority="9227">
      <formula>AND(H$3109&lt;&gt;0,H$3109&lt;&gt;"")</formula>
    </cfRule>
    <cfRule type="expression" dxfId="1488" priority="9228" stopIfTrue="1">
      <formula>H$3110&lt;&gt;"√"</formula>
    </cfRule>
  </conditionalFormatting>
  <conditionalFormatting sqref="P3109">
    <cfRule type="expression" dxfId="1487" priority="9229">
      <formula>AND(P$3109&lt;&gt;0,P$3109&lt;&gt;"")</formula>
    </cfRule>
    <cfRule type="expression" dxfId="1486" priority="9230" stopIfTrue="1">
      <formula>P$3110&lt;&gt;"√"</formula>
    </cfRule>
  </conditionalFormatting>
  <conditionalFormatting sqref="K3111">
    <cfRule type="expression" dxfId="1485" priority="9231">
      <formula>AND($K$3111&lt;&gt;0,$K$3111&lt;&gt;"")</formula>
    </cfRule>
    <cfRule type="expression" dxfId="1484" priority="9232" stopIfTrue="1">
      <formula>$L$3111&lt;&gt;"√"</formula>
    </cfRule>
  </conditionalFormatting>
  <conditionalFormatting sqref="G4372:G4390">
    <cfRule type="expression" dxfId="1483" priority="9236">
      <formula>$D4372&gt;1</formula>
    </cfRule>
    <cfRule type="expression" dxfId="1482" priority="9237">
      <formula>$C4372="%IN"</formula>
    </cfRule>
    <cfRule type="expression" dxfId="1481" priority="9238" stopIfTrue="1">
      <formula>$E4372=0</formula>
    </cfRule>
  </conditionalFormatting>
  <conditionalFormatting sqref="G5871:G5876">
    <cfRule type="expression" dxfId="1480" priority="9239">
      <formula>$D5871&gt;1</formula>
    </cfRule>
    <cfRule type="expression" dxfId="1479" priority="9240">
      <formula>$C5871="%IN"</formula>
    </cfRule>
    <cfRule type="expression" dxfId="1478" priority="9241" stopIfTrue="1">
      <formula>$E5871=0</formula>
    </cfRule>
  </conditionalFormatting>
  <conditionalFormatting sqref="G5882:G5887">
    <cfRule type="expression" dxfId="1477" priority="9242">
      <formula>$D5882&gt;1</formula>
    </cfRule>
    <cfRule type="expression" dxfId="1476" priority="9243">
      <formula>$C5882="%IN"</formula>
    </cfRule>
    <cfRule type="expression" dxfId="1475" priority="9244" stopIfTrue="1">
      <formula>$E5882=0</formula>
    </cfRule>
  </conditionalFormatting>
  <conditionalFormatting sqref="G5893:G5898">
    <cfRule type="expression" dxfId="1474" priority="9245">
      <formula>$D5893&gt;1</formula>
    </cfRule>
    <cfRule type="expression" dxfId="1473" priority="9246">
      <formula>$C5893="%IN"</formula>
    </cfRule>
    <cfRule type="expression" dxfId="1472" priority="9247" stopIfTrue="1">
      <formula>$E5893=0</formula>
    </cfRule>
  </conditionalFormatting>
  <conditionalFormatting sqref="G5904:G5909">
    <cfRule type="expression" dxfId="1471" priority="9248">
      <formula>$D5904&gt;1</formula>
    </cfRule>
    <cfRule type="expression" dxfId="1470" priority="9249">
      <formula>$C5904="%IN"</formula>
    </cfRule>
    <cfRule type="expression" dxfId="1469" priority="9250" stopIfTrue="1">
      <formula>$E5904=0</formula>
    </cfRule>
  </conditionalFormatting>
  <conditionalFormatting sqref="G5915:G5920">
    <cfRule type="expression" dxfId="1468" priority="9251">
      <formula>$D5915&gt;1</formula>
    </cfRule>
    <cfRule type="expression" dxfId="1467" priority="9252">
      <formula>$C5915="%IN"</formula>
    </cfRule>
    <cfRule type="expression" dxfId="1466" priority="9253" stopIfTrue="1">
      <formula>$E5915=0</formula>
    </cfRule>
  </conditionalFormatting>
  <conditionalFormatting sqref="G5926:G5931">
    <cfRule type="expression" dxfId="1465" priority="9254">
      <formula>$D5926&gt;1</formula>
    </cfRule>
    <cfRule type="expression" dxfId="1464" priority="9255">
      <formula>$C5926="%IN"</formula>
    </cfRule>
    <cfRule type="expression" dxfId="1463" priority="9256" stopIfTrue="1">
      <formula>$E5926=0</formula>
    </cfRule>
  </conditionalFormatting>
  <conditionalFormatting sqref="G5937:G5942">
    <cfRule type="expression" dxfId="1462" priority="9257">
      <formula>$D5937&gt;1</formula>
    </cfRule>
    <cfRule type="expression" dxfId="1461" priority="9258">
      <formula>$C5937="%IN"</formula>
    </cfRule>
    <cfRule type="expression" dxfId="1460" priority="9259" stopIfTrue="1">
      <formula>$E5937=0</formula>
    </cfRule>
  </conditionalFormatting>
  <conditionalFormatting sqref="G5948:G5953">
    <cfRule type="expression" dxfId="1459" priority="9260">
      <formula>$D5948&gt;1</formula>
    </cfRule>
    <cfRule type="expression" dxfId="1458" priority="9261">
      <formula>$C5948="%IN"</formula>
    </cfRule>
    <cfRule type="expression" dxfId="1457" priority="9262" stopIfTrue="1">
      <formula>$E5948=0</formula>
    </cfRule>
  </conditionalFormatting>
  <conditionalFormatting sqref="G5959:G5972">
    <cfRule type="expression" dxfId="1456" priority="9263">
      <formula>$D5959&gt;1</formula>
    </cfRule>
    <cfRule type="expression" dxfId="1455" priority="9264">
      <formula>$C5959="%IN"</formula>
    </cfRule>
    <cfRule type="expression" dxfId="1454" priority="9265" stopIfTrue="1">
      <formula>$E5959=0</formula>
    </cfRule>
  </conditionalFormatting>
  <conditionalFormatting sqref="G5978:G5993">
    <cfRule type="expression" dxfId="1453" priority="9266">
      <formula>$D5978&gt;1</formula>
    </cfRule>
    <cfRule type="expression" dxfId="1452" priority="9267">
      <formula>$C5978="%IN"</formula>
    </cfRule>
    <cfRule type="expression" dxfId="1451" priority="9268" stopIfTrue="1">
      <formula>$E5978=0</formula>
    </cfRule>
  </conditionalFormatting>
  <conditionalFormatting sqref="G5999:G6004">
    <cfRule type="expression" dxfId="1450" priority="9269">
      <formula>$D5999&gt;1</formula>
    </cfRule>
    <cfRule type="expression" dxfId="1449" priority="9270">
      <formula>$C5999="%IN"</formula>
    </cfRule>
    <cfRule type="expression" dxfId="1448" priority="9271" stopIfTrue="1">
      <formula>$E5999=0</formula>
    </cfRule>
  </conditionalFormatting>
  <conditionalFormatting sqref="G6010:G6016">
    <cfRule type="expression" dxfId="1447" priority="9272">
      <formula>$D6010&gt;1</formula>
    </cfRule>
    <cfRule type="expression" dxfId="1446" priority="9273">
      <formula>$C6010="%IN"</formula>
    </cfRule>
    <cfRule type="expression" dxfId="1445" priority="9274" stopIfTrue="1">
      <formula>$E6010=0</formula>
    </cfRule>
  </conditionalFormatting>
  <conditionalFormatting sqref="G6022:G6028">
    <cfRule type="expression" dxfId="1444" priority="9275">
      <formula>$D6022&gt;1</formula>
    </cfRule>
    <cfRule type="expression" dxfId="1443" priority="9276">
      <formula>$C6022="%IN"</formula>
    </cfRule>
    <cfRule type="expression" dxfId="1442" priority="9277" stopIfTrue="1">
      <formula>$E6022=0</formula>
    </cfRule>
  </conditionalFormatting>
  <conditionalFormatting sqref="G6034:G6050">
    <cfRule type="expression" dxfId="1441" priority="9278">
      <formula>$D6034&gt;1</formula>
    </cfRule>
    <cfRule type="expression" dxfId="1440" priority="9279">
      <formula>$C6034="%IN"</formula>
    </cfRule>
    <cfRule type="expression" dxfId="1439" priority="9280" stopIfTrue="1">
      <formula>$E6034=0</formula>
    </cfRule>
  </conditionalFormatting>
  <conditionalFormatting sqref="G6057:G6060">
    <cfRule type="expression" dxfId="1438" priority="9281">
      <formula>$D6057&gt;1</formula>
    </cfRule>
    <cfRule type="expression" dxfId="1437" priority="9282">
      <formula>$C6057="%IN"</formula>
    </cfRule>
    <cfRule type="expression" dxfId="1436" priority="9283" stopIfTrue="1">
      <formula>$E6057=0</formula>
    </cfRule>
  </conditionalFormatting>
  <conditionalFormatting sqref="G6066:G6071">
    <cfRule type="expression" dxfId="1435" priority="9284">
      <formula>$D6066&gt;1</formula>
    </cfRule>
    <cfRule type="expression" dxfId="1434" priority="9285">
      <formula>$C6066="%IN"</formula>
    </cfRule>
    <cfRule type="expression" dxfId="1433" priority="9286" stopIfTrue="1">
      <formula>$E6066=0</formula>
    </cfRule>
  </conditionalFormatting>
  <conditionalFormatting sqref="G6077:G6080">
    <cfRule type="expression" dxfId="1432" priority="9287">
      <formula>$D6077&gt;1</formula>
    </cfRule>
    <cfRule type="expression" dxfId="1431" priority="9288">
      <formula>$C6077="%IN"</formula>
    </cfRule>
    <cfRule type="expression" dxfId="1430" priority="9289" stopIfTrue="1">
      <formula>$E6077=0</formula>
    </cfRule>
  </conditionalFormatting>
  <conditionalFormatting sqref="G6086:G6089">
    <cfRule type="expression" dxfId="1429" priority="9290">
      <formula>$D6086&gt;1</formula>
    </cfRule>
    <cfRule type="expression" dxfId="1428" priority="9291">
      <formula>$C6086="%IN"</formula>
    </cfRule>
    <cfRule type="expression" dxfId="1427" priority="9292" stopIfTrue="1">
      <formula>$E6086=0</formula>
    </cfRule>
  </conditionalFormatting>
  <conditionalFormatting sqref="G6109:G6113">
    <cfRule type="expression" dxfId="1426" priority="9296">
      <formula>$D6109&gt;1</formula>
    </cfRule>
    <cfRule type="expression" dxfId="1425" priority="9297">
      <formula>$C6109="%IN"</formula>
    </cfRule>
    <cfRule type="expression" dxfId="1424" priority="9298" stopIfTrue="1">
      <formula>$E6109=0</formula>
    </cfRule>
  </conditionalFormatting>
  <conditionalFormatting sqref="G6119:G6122">
    <cfRule type="expression" dxfId="1423" priority="9299">
      <formula>$D6119&gt;1</formula>
    </cfRule>
    <cfRule type="expression" dxfId="1422" priority="9300">
      <formula>$C6119="%IN"</formula>
    </cfRule>
    <cfRule type="expression" dxfId="1421" priority="9301" stopIfTrue="1">
      <formula>$E6119=0</formula>
    </cfRule>
  </conditionalFormatting>
  <conditionalFormatting sqref="G6128:G6133">
    <cfRule type="expression" dxfId="1420" priority="9302">
      <formula>$D6128&gt;1</formula>
    </cfRule>
    <cfRule type="expression" dxfId="1419" priority="9303">
      <formula>$C6128="%IN"</formula>
    </cfRule>
    <cfRule type="expression" dxfId="1418" priority="9304" stopIfTrue="1">
      <formula>$E6128=0</formula>
    </cfRule>
  </conditionalFormatting>
  <conditionalFormatting sqref="G6139:G6142">
    <cfRule type="expression" dxfId="1417" priority="9305">
      <formula>$D6139&gt;1</formula>
    </cfRule>
    <cfRule type="expression" dxfId="1416" priority="9306">
      <formula>$C6139="%IN"</formula>
    </cfRule>
    <cfRule type="expression" dxfId="1415" priority="9307" stopIfTrue="1">
      <formula>$E6139=0</formula>
    </cfRule>
  </conditionalFormatting>
  <conditionalFormatting sqref="G6148:G6151">
    <cfRule type="expression" dxfId="1414" priority="9308">
      <formula>$D6148&gt;1</formula>
    </cfRule>
    <cfRule type="expression" dxfId="1413" priority="9309">
      <formula>$C6148="%IN"</formula>
    </cfRule>
    <cfRule type="expression" dxfId="1412" priority="9310" stopIfTrue="1">
      <formula>$E6148=0</formula>
    </cfRule>
  </conditionalFormatting>
  <conditionalFormatting sqref="G6157:G6160">
    <cfRule type="expression" dxfId="1411" priority="9311">
      <formula>$D6157&gt;1</formula>
    </cfRule>
    <cfRule type="expression" dxfId="1410" priority="9312">
      <formula>$C6157="%IN"</formula>
    </cfRule>
    <cfRule type="expression" dxfId="1409" priority="9313" stopIfTrue="1">
      <formula>$E6157=0</formula>
    </cfRule>
  </conditionalFormatting>
  <conditionalFormatting sqref="G6188:G6209">
    <cfRule type="expression" dxfId="1408" priority="9317">
      <formula>$D6188&gt;1</formula>
    </cfRule>
    <cfRule type="expression" dxfId="1407" priority="9318">
      <formula>$C6188="%IN"</formula>
    </cfRule>
    <cfRule type="expression" dxfId="1406" priority="9319" stopIfTrue="1">
      <formula>$E6188=0</formula>
    </cfRule>
  </conditionalFormatting>
  <conditionalFormatting sqref="G6215:G6238">
    <cfRule type="expression" dxfId="1405" priority="9320">
      <formula>$D6215&gt;1</formula>
    </cfRule>
    <cfRule type="expression" dxfId="1404" priority="9321">
      <formula>$C6215="%IN"</formula>
    </cfRule>
    <cfRule type="expression" dxfId="1403" priority="9322" stopIfTrue="1">
      <formula>$E6215=0</formula>
    </cfRule>
  </conditionalFormatting>
  <conditionalFormatting sqref="G6244:G6247">
    <cfRule type="expression" dxfId="1402" priority="9323">
      <formula>$D6244&gt;1</formula>
    </cfRule>
    <cfRule type="expression" dxfId="1401" priority="9324">
      <formula>$C6244="%IN"</formula>
    </cfRule>
    <cfRule type="expression" dxfId="1400" priority="9325" stopIfTrue="1">
      <formula>$E6244=0</formula>
    </cfRule>
  </conditionalFormatting>
  <conditionalFormatting sqref="G13:G17">
    <cfRule type="expression" dxfId="1399" priority="9326">
      <formula>$D13&gt;1</formula>
    </cfRule>
    <cfRule type="expression" dxfId="1398" priority="9327">
      <formula>$C13="%IN"</formula>
    </cfRule>
    <cfRule type="expression" dxfId="1397" priority="9328" stopIfTrue="1">
      <formula>$E13=0</formula>
    </cfRule>
  </conditionalFormatting>
  <conditionalFormatting sqref="I448">
    <cfRule type="expression" dxfId="1396" priority="421" stopIfTrue="1">
      <formula>$I448="适用"</formula>
    </cfRule>
    <cfRule type="expression" dxfId="1395" priority="422" stopIfTrue="1">
      <formula>$I448="不适用"</formula>
    </cfRule>
  </conditionalFormatting>
  <conditionalFormatting sqref="I762">
    <cfRule type="expression" dxfId="1394" priority="404" stopIfTrue="1">
      <formula>$I762="适用"</formula>
    </cfRule>
    <cfRule type="expression" dxfId="1393" priority="405" stopIfTrue="1">
      <formula>$I762="不适用"</formula>
    </cfRule>
  </conditionalFormatting>
  <conditionalFormatting sqref="Q762:Q777">
    <cfRule type="expression" dxfId="1392" priority="403" stopIfTrue="1">
      <formula>$Q762="请输入"</formula>
    </cfRule>
  </conditionalFormatting>
  <conditionalFormatting sqref="L1057">
    <cfRule type="expression" dxfId="1391" priority="9335" stopIfTrue="1">
      <formula>OR($L$1057="F/S",$L$1057="")</formula>
    </cfRule>
    <cfRule type="cellIs" dxfId="1390" priority="9336" stopIfTrue="1" operator="notEqual">
      <formula>0</formula>
    </cfRule>
  </conditionalFormatting>
  <conditionalFormatting sqref="O1057">
    <cfRule type="expression" dxfId="1389" priority="9337" stopIfTrue="1">
      <formula>OR($O$1057="F/S",$O$1057="")</formula>
    </cfRule>
    <cfRule type="cellIs" dxfId="1388" priority="9338" stopIfTrue="1" operator="notEqual">
      <formula>0</formula>
    </cfRule>
  </conditionalFormatting>
  <conditionalFormatting sqref="G4987:G4996">
    <cfRule type="expression" dxfId="1387" priority="9342">
      <formula>$D4987&gt;1</formula>
    </cfRule>
    <cfRule type="expression" dxfId="1386" priority="9343">
      <formula>$C4987="%IN"</formula>
    </cfRule>
    <cfRule type="expression" dxfId="1385" priority="9344" stopIfTrue="1">
      <formula>$E4987=0</formula>
    </cfRule>
  </conditionalFormatting>
  <conditionalFormatting sqref="G6095:G6103">
    <cfRule type="expression" dxfId="1384" priority="9345">
      <formula>$D6095&gt;1</formula>
    </cfRule>
    <cfRule type="expression" dxfId="1383" priority="9346">
      <formula>$C6095="%IN"</formula>
    </cfRule>
    <cfRule type="expression" dxfId="1382" priority="9347" stopIfTrue="1">
      <formula>$E6095=0</formula>
    </cfRule>
  </conditionalFormatting>
  <conditionalFormatting sqref="G5390:G5417">
    <cfRule type="expression" dxfId="1381" priority="9348">
      <formula>$D5390&gt;1</formula>
    </cfRule>
    <cfRule type="expression" dxfId="1380" priority="9349">
      <formula>$C5390="%IN"</formula>
    </cfRule>
    <cfRule type="expression" dxfId="1379" priority="9350" stopIfTrue="1">
      <formula>$E5390=0</formula>
    </cfRule>
  </conditionalFormatting>
  <conditionalFormatting sqref="G5424:G5451">
    <cfRule type="expression" dxfId="1378" priority="9351">
      <formula>$D5424&gt;1</formula>
    </cfRule>
    <cfRule type="expression" dxfId="1377" priority="9352">
      <formula>$C5424="%IN"</formula>
    </cfRule>
    <cfRule type="expression" dxfId="1376" priority="9353" stopIfTrue="1">
      <formula>$E5424=0</formula>
    </cfRule>
  </conditionalFormatting>
  <conditionalFormatting sqref="G3735">
    <cfRule type="expression" dxfId="1375" priority="386">
      <formula>$D3735&gt;1</formula>
    </cfRule>
    <cfRule type="expression" dxfId="1374" priority="387">
      <formula>$C3735="%IN"</formula>
    </cfRule>
    <cfRule type="expression" dxfId="1373" priority="388" stopIfTrue="1">
      <formula>$E3735=0</formula>
    </cfRule>
  </conditionalFormatting>
  <conditionalFormatting sqref="L1079:L1100">
    <cfRule type="expression" dxfId="1372" priority="9357" stopIfTrue="1">
      <formula>OR($L$1079="F/S",$L$1079="")</formula>
    </cfRule>
    <cfRule type="cellIs" dxfId="1371" priority="9358" stopIfTrue="1" operator="notEqual">
      <formula>0</formula>
    </cfRule>
  </conditionalFormatting>
  <conditionalFormatting sqref="O1079:O1100">
    <cfRule type="expression" dxfId="1370" priority="9359" stopIfTrue="1">
      <formula>OR($O$1079="F/S",$O$1079="")</formula>
    </cfRule>
    <cfRule type="cellIs" dxfId="1369" priority="9360" stopIfTrue="1" operator="notEqual">
      <formula>0</formula>
    </cfRule>
  </conditionalFormatting>
  <conditionalFormatting sqref="L1101:L1115">
    <cfRule type="expression" dxfId="1368" priority="9364" stopIfTrue="1">
      <formula>OR($L$1101="F/S",$L$1101="")</formula>
    </cfRule>
    <cfRule type="cellIs" dxfId="1367" priority="9365" stopIfTrue="1" operator="notEqual">
      <formula>0</formula>
    </cfRule>
  </conditionalFormatting>
  <conditionalFormatting sqref="O1101:O1115">
    <cfRule type="expression" dxfId="1366" priority="9366" stopIfTrue="1">
      <formula>OR($O$1101="F/S",$O$1101="")</formula>
    </cfRule>
    <cfRule type="cellIs" dxfId="1365" priority="9367" stopIfTrue="1" operator="notEqual">
      <formula>0</formula>
    </cfRule>
  </conditionalFormatting>
  <conditionalFormatting sqref="L415">
    <cfRule type="expression" dxfId="1364" priority="9377" stopIfTrue="1">
      <formula>OR($L$415="F/S",$L$415="")</formula>
    </cfRule>
    <cfRule type="cellIs" dxfId="1363" priority="9378" stopIfTrue="1" operator="notEqual">
      <formula>0</formula>
    </cfRule>
  </conditionalFormatting>
  <conditionalFormatting sqref="O415">
    <cfRule type="expression" dxfId="1362" priority="9379" stopIfTrue="1">
      <formula>OR($O$415="F/S",$O$415="")</formula>
    </cfRule>
    <cfRule type="cellIs" dxfId="1361" priority="9380" stopIfTrue="1" operator="notEqual">
      <formula>0</formula>
    </cfRule>
  </conditionalFormatting>
  <conditionalFormatting sqref="I415">
    <cfRule type="expression" dxfId="1360" priority="370" stopIfTrue="1">
      <formula>$I415="适用"</formula>
    </cfRule>
    <cfRule type="expression" dxfId="1359" priority="371" stopIfTrue="1">
      <formula>$I415="不适用"</formula>
    </cfRule>
  </conditionalFormatting>
  <conditionalFormatting sqref="Q415">
    <cfRule type="expression" dxfId="1358" priority="369" stopIfTrue="1">
      <formula>$Q415="请输入"</formula>
    </cfRule>
  </conditionalFormatting>
  <conditionalFormatting sqref="G3457:G3462">
    <cfRule type="expression" dxfId="1357" priority="9384">
      <formula>$D3457&gt;1</formula>
    </cfRule>
    <cfRule type="expression" dxfId="1356" priority="9385">
      <formula>$C3457="%IN"</formula>
    </cfRule>
    <cfRule type="expression" dxfId="1355" priority="9386" stopIfTrue="1">
      <formula>$E3457=0</formula>
    </cfRule>
  </conditionalFormatting>
  <conditionalFormatting sqref="G3842:G3847">
    <cfRule type="expression" dxfId="1354" priority="9390">
      <formula>$D3842&gt;1</formula>
    </cfRule>
    <cfRule type="expression" dxfId="1353" priority="9391">
      <formula>$C3842="%IN"</formula>
    </cfRule>
    <cfRule type="expression" dxfId="1352" priority="9392" stopIfTrue="1">
      <formula>$E3842=0</formula>
    </cfRule>
  </conditionalFormatting>
  <conditionalFormatting sqref="G62:G67">
    <cfRule type="expression" dxfId="1351" priority="9393">
      <formula>$D62&gt;1</formula>
    </cfRule>
    <cfRule type="expression" dxfId="1350" priority="9394">
      <formula>$C62="%IN"</formula>
    </cfRule>
    <cfRule type="expression" dxfId="1349" priority="9395" stopIfTrue="1">
      <formula>$E62=0</formula>
    </cfRule>
  </conditionalFormatting>
  <conditionalFormatting sqref="G671:G676">
    <cfRule type="expression" dxfId="1348" priority="9396">
      <formula>$D671&gt;1</formula>
    </cfRule>
    <cfRule type="expression" dxfId="1347" priority="9397">
      <formula>$C671="%IN"</formula>
    </cfRule>
    <cfRule type="expression" dxfId="1346" priority="9398" stopIfTrue="1">
      <formula>$E671=0</formula>
    </cfRule>
  </conditionalFormatting>
  <conditionalFormatting sqref="G3373:G3378">
    <cfRule type="expression" dxfId="1345" priority="9399">
      <formula>$D3373&gt;1</formula>
    </cfRule>
    <cfRule type="expression" dxfId="1344" priority="9400">
      <formula>$C3373="%IN"</formula>
    </cfRule>
    <cfRule type="expression" dxfId="1343" priority="9401" stopIfTrue="1">
      <formula>$E3373=0</formula>
    </cfRule>
  </conditionalFormatting>
  <conditionalFormatting sqref="G3484:G3489">
    <cfRule type="expression" dxfId="1342" priority="9402">
      <formula>$D3484&gt;1</formula>
    </cfRule>
    <cfRule type="expression" dxfId="1341" priority="9403">
      <formula>$C3484="%IN"</formula>
    </cfRule>
    <cfRule type="expression" dxfId="1340" priority="9404" stopIfTrue="1">
      <formula>$E3484=0</formula>
    </cfRule>
  </conditionalFormatting>
  <conditionalFormatting sqref="G3879:G3884">
    <cfRule type="expression" dxfId="1339" priority="9405">
      <formula>$D3879&gt;1</formula>
    </cfRule>
    <cfRule type="expression" dxfId="1338" priority="9406">
      <formula>$C3879="%IN"</formula>
    </cfRule>
    <cfRule type="expression" dxfId="1337" priority="9407" stopIfTrue="1">
      <formula>$E3879=0</formula>
    </cfRule>
  </conditionalFormatting>
  <conditionalFormatting sqref="G2194:G2199">
    <cfRule type="expression" dxfId="1336" priority="9408">
      <formula>$D2194&gt;1</formula>
    </cfRule>
    <cfRule type="expression" dxfId="1335" priority="9409">
      <formula>$C2194="%IN"</formula>
    </cfRule>
    <cfRule type="expression" dxfId="1334" priority="9410" stopIfTrue="1">
      <formula>$E2194=0</formula>
    </cfRule>
  </conditionalFormatting>
  <conditionalFormatting sqref="G4139:G4144">
    <cfRule type="expression" dxfId="1333" priority="9411">
      <formula>$D4139&gt;1</formula>
    </cfRule>
    <cfRule type="expression" dxfId="1332" priority="9412">
      <formula>$C4139="%IN"</formula>
    </cfRule>
    <cfRule type="expression" dxfId="1331" priority="9413" stopIfTrue="1">
      <formula>$E4139=0</formula>
    </cfRule>
  </conditionalFormatting>
  <conditionalFormatting sqref="G4160:G4165">
    <cfRule type="expression" dxfId="1330" priority="9414">
      <formula>$D4160&gt;1</formula>
    </cfRule>
    <cfRule type="expression" dxfId="1329" priority="9415">
      <formula>$C4160="%IN"</formula>
    </cfRule>
    <cfRule type="expression" dxfId="1328" priority="9416" stopIfTrue="1">
      <formula>$E4160=0</formula>
    </cfRule>
  </conditionalFormatting>
  <conditionalFormatting sqref="G2404:G2409">
    <cfRule type="expression" dxfId="1327" priority="9417">
      <formula>$D2404&gt;1</formula>
    </cfRule>
    <cfRule type="expression" dxfId="1326" priority="9418">
      <formula>$C2404="%IN"</formula>
    </cfRule>
    <cfRule type="expression" dxfId="1325" priority="9419" stopIfTrue="1">
      <formula>$E2404=0</formula>
    </cfRule>
  </conditionalFormatting>
  <conditionalFormatting sqref="L306:L307 L310:L315">
    <cfRule type="expression" dxfId="1324" priority="9420" stopIfTrue="1">
      <formula>OR($L$306="F/S",$L$306="")</formula>
    </cfRule>
    <cfRule type="cellIs" dxfId="1323" priority="9421" stopIfTrue="1" operator="notEqual">
      <formula>0</formula>
    </cfRule>
  </conditionalFormatting>
  <conditionalFormatting sqref="O306:O315">
    <cfRule type="expression" dxfId="1322" priority="9422" stopIfTrue="1">
      <formula>OR($O$306="F/S",$O$306="")</formula>
    </cfRule>
    <cfRule type="cellIs" dxfId="1321" priority="9423" stopIfTrue="1" operator="notEqual">
      <formula>0</formula>
    </cfRule>
  </conditionalFormatting>
  <conditionalFormatting sqref="I306">
    <cfRule type="expression" dxfId="1320" priority="351" stopIfTrue="1">
      <formula>$I306="适用"</formula>
    </cfRule>
    <cfRule type="expression" dxfId="1319" priority="352" stopIfTrue="1">
      <formula>$I306="不适用"</formula>
    </cfRule>
  </conditionalFormatting>
  <conditionalFormatting sqref="G309:G314">
    <cfRule type="expression" dxfId="1318" priority="9424">
      <formula>$D309&gt;1</formula>
    </cfRule>
    <cfRule type="expression" dxfId="1317" priority="9425">
      <formula>$C309="%IN"</formula>
    </cfRule>
    <cfRule type="expression" dxfId="1316" priority="9426" stopIfTrue="1">
      <formula>$E309=0</formula>
    </cfRule>
  </conditionalFormatting>
  <conditionalFormatting sqref="L2191:L2192 L2195:L2200">
    <cfRule type="expression" dxfId="1315" priority="9427" stopIfTrue="1">
      <formula>OR($L$2191="F/S",$L$2191="")</formula>
    </cfRule>
    <cfRule type="cellIs" dxfId="1314" priority="9428" stopIfTrue="1" operator="notEqual">
      <formula>0</formula>
    </cfRule>
  </conditionalFormatting>
  <conditionalFormatting sqref="O2191:O2200">
    <cfRule type="expression" dxfId="1313" priority="9429" stopIfTrue="1">
      <formula>OR($O$2191="F/S",$O$2191="")</formula>
    </cfRule>
    <cfRule type="cellIs" dxfId="1312" priority="9430" stopIfTrue="1" operator="notEqual">
      <formula>0</formula>
    </cfRule>
  </conditionalFormatting>
  <conditionalFormatting sqref="L4096:L4098 L4100:L4105">
    <cfRule type="expression" dxfId="1311" priority="9431" stopIfTrue="1">
      <formula>OR($L$4096="F/S",$L$4096="")</formula>
    </cfRule>
    <cfRule type="cellIs" dxfId="1310" priority="9432" stopIfTrue="1" operator="notEqual">
      <formula>0</formula>
    </cfRule>
  </conditionalFormatting>
  <conditionalFormatting sqref="O4096:O4105">
    <cfRule type="expression" dxfId="1309" priority="9433" stopIfTrue="1">
      <formula>OR($O$4096="F/S",$O$4096="")</formula>
    </cfRule>
    <cfRule type="cellIs" dxfId="1308" priority="9434" stopIfTrue="1" operator="notEqual">
      <formula>0</formula>
    </cfRule>
  </conditionalFormatting>
  <conditionalFormatting sqref="I4096">
    <cfRule type="expression" dxfId="1307" priority="331" stopIfTrue="1">
      <formula>$I4096="适用"</formula>
    </cfRule>
    <cfRule type="expression" dxfId="1306" priority="332" stopIfTrue="1">
      <formula>$I4096="不适用"</formula>
    </cfRule>
  </conditionalFormatting>
  <conditionalFormatting sqref="G4099:G4104">
    <cfRule type="expression" dxfId="1305" priority="9435">
      <formula>$D4099&gt;1</formula>
    </cfRule>
    <cfRule type="expression" dxfId="1304" priority="9436">
      <formula>$C4099="%IN"</formula>
    </cfRule>
    <cfRule type="expression" dxfId="1303" priority="9437" stopIfTrue="1">
      <formula>$E4099=0</formula>
    </cfRule>
  </conditionalFormatting>
  <conditionalFormatting sqref="G681:G686">
    <cfRule type="expression" dxfId="1302" priority="9438">
      <formula>$D681&gt;1</formula>
    </cfRule>
    <cfRule type="expression" dxfId="1301" priority="9439">
      <formula>$C681="%IN"</formula>
    </cfRule>
    <cfRule type="expression" dxfId="1300" priority="9440" stopIfTrue="1">
      <formula>$E681=0</formula>
    </cfRule>
  </conditionalFormatting>
  <conditionalFormatting sqref="G1590:G1595">
    <cfRule type="expression" dxfId="1299" priority="9444">
      <formula>$D1590&gt;1</formula>
    </cfRule>
    <cfRule type="expression" dxfId="1298" priority="9445">
      <formula>$C1590="%IN"</formula>
    </cfRule>
    <cfRule type="expression" dxfId="1297" priority="9446" stopIfTrue="1">
      <formula>$E1590=0</formula>
    </cfRule>
  </conditionalFormatting>
  <conditionalFormatting sqref="G1600:G1605">
    <cfRule type="expression" dxfId="1296" priority="9447">
      <formula>$D1600&gt;1</formula>
    </cfRule>
    <cfRule type="expression" dxfId="1295" priority="9448">
      <formula>$C1600="%IN"</formula>
    </cfRule>
    <cfRule type="expression" dxfId="1294" priority="9449" stopIfTrue="1">
      <formula>$E1600=0</formula>
    </cfRule>
  </conditionalFormatting>
  <conditionalFormatting sqref="G3494:G3499">
    <cfRule type="expression" dxfId="1293" priority="9450">
      <formula>$D3494&gt;1</formula>
    </cfRule>
    <cfRule type="expression" dxfId="1292" priority="9451">
      <formula>$C3494="%IN"</formula>
    </cfRule>
    <cfRule type="expression" dxfId="1291" priority="9452" stopIfTrue="1">
      <formula>$E3494=0</formula>
    </cfRule>
  </conditionalFormatting>
  <conditionalFormatting sqref="G3591:G3596">
    <cfRule type="expression" dxfId="1290" priority="9453">
      <formula>$D3591&gt;1</formula>
    </cfRule>
    <cfRule type="expression" dxfId="1289" priority="9454">
      <formula>$C3591="%IN"</formula>
    </cfRule>
    <cfRule type="expression" dxfId="1288" priority="9455" stopIfTrue="1">
      <formula>$E3591=0</formula>
    </cfRule>
  </conditionalFormatting>
  <conditionalFormatting sqref="G3889:G3894">
    <cfRule type="expression" dxfId="1287" priority="9456">
      <formula>$D3889&gt;1</formula>
    </cfRule>
    <cfRule type="expression" dxfId="1286" priority="9457">
      <formula>$C3889="%IN"</formula>
    </cfRule>
    <cfRule type="expression" dxfId="1285" priority="9458" stopIfTrue="1">
      <formula>$E3889=0</formula>
    </cfRule>
  </conditionalFormatting>
  <conditionalFormatting sqref="I2530">
    <cfRule type="expression" dxfId="1284" priority="321" stopIfTrue="1">
      <formula>$I2530="适用"</formula>
    </cfRule>
    <cfRule type="expression" dxfId="1283" priority="322" stopIfTrue="1">
      <formula>$I2530="不适用"</formula>
    </cfRule>
  </conditionalFormatting>
  <conditionalFormatting sqref="Q2530:Q2555">
    <cfRule type="expression" dxfId="1282" priority="320" stopIfTrue="1">
      <formula>$Q2530="请输入"</formula>
    </cfRule>
  </conditionalFormatting>
  <conditionalFormatting sqref="L2543:L2544 L2546:L2555">
    <cfRule type="expression" dxfId="1281" priority="9462" stopIfTrue="1">
      <formula>OR($L$2543="F/S",$L$2543="")</formula>
    </cfRule>
    <cfRule type="cellIs" dxfId="1280" priority="9463" stopIfTrue="1" operator="notEqual">
      <formula>0</formula>
    </cfRule>
  </conditionalFormatting>
  <conditionalFormatting sqref="O2543:O2555">
    <cfRule type="expression" dxfId="1279" priority="9464" stopIfTrue="1">
      <formula>OR($O$2543="F/S",$O$2543="")</formula>
    </cfRule>
    <cfRule type="cellIs" dxfId="1278" priority="9465" stopIfTrue="1" operator="notEqual">
      <formula>0</formula>
    </cfRule>
  </conditionalFormatting>
  <conditionalFormatting sqref="I2543">
    <cfRule type="expression" dxfId="1277" priority="314" stopIfTrue="1">
      <formula>$I2543="适用"</formula>
    </cfRule>
    <cfRule type="expression" dxfId="1276" priority="315" stopIfTrue="1">
      <formula>$I2543="不适用"</formula>
    </cfRule>
  </conditionalFormatting>
  <conditionalFormatting sqref="Q2543:Q2555">
    <cfRule type="expression" dxfId="1275" priority="313" stopIfTrue="1">
      <formula>$Q2543="请输入"</formula>
    </cfRule>
  </conditionalFormatting>
  <conditionalFormatting sqref="G2533:G2541">
    <cfRule type="expression" dxfId="1274" priority="9469">
      <formula>$D2533&gt;1</formula>
    </cfRule>
    <cfRule type="expression" dxfId="1273" priority="9470">
      <formula>$C2533="%IN"</formula>
    </cfRule>
    <cfRule type="expression" dxfId="1272" priority="9471" stopIfTrue="1">
      <formula>$E2533=0</formula>
    </cfRule>
  </conditionalFormatting>
  <conditionalFormatting sqref="G2546:G2554">
    <cfRule type="expression" dxfId="1271" priority="9472">
      <formula>$D2546&gt;1</formula>
    </cfRule>
    <cfRule type="expression" dxfId="1270" priority="9473">
      <formula>$C2546="%IN"</formula>
    </cfRule>
    <cfRule type="expression" dxfId="1269" priority="9474" stopIfTrue="1">
      <formula>$E2546=0</formula>
    </cfRule>
  </conditionalFormatting>
  <conditionalFormatting sqref="L1502:L1509 L1491:L1493 L1496:L1497">
    <cfRule type="expression" dxfId="1268" priority="9478" stopIfTrue="1">
      <formula>OR($L$1491="F/S",$L$1491="")</formula>
    </cfRule>
    <cfRule type="cellIs" dxfId="1267" priority="9479" stopIfTrue="1" operator="notEqual">
      <formula>0</formula>
    </cfRule>
  </conditionalFormatting>
  <conditionalFormatting sqref="O1491:O1509">
    <cfRule type="expression" dxfId="1266" priority="9480" stopIfTrue="1">
      <formula>OR($O$1491="F/S",$O$1491="")</formula>
    </cfRule>
    <cfRule type="cellIs" dxfId="1265" priority="9481" stopIfTrue="1" operator="notEqual">
      <formula>0</formula>
    </cfRule>
  </conditionalFormatting>
  <conditionalFormatting sqref="L2412">
    <cfRule type="expression" dxfId="1264" priority="9485" stopIfTrue="1">
      <formula>OR($L$2412="F/S",$L$2412="")</formula>
    </cfRule>
    <cfRule type="cellIs" dxfId="1263" priority="9486" stopIfTrue="1" operator="notEqual">
      <formula>0</formula>
    </cfRule>
  </conditionalFormatting>
  <conditionalFormatting sqref="O2412:O2430">
    <cfRule type="expression" dxfId="1262" priority="9487" stopIfTrue="1">
      <formula>OR($O$2412="F/S",$O$2412="")</formula>
    </cfRule>
    <cfRule type="cellIs" dxfId="1261" priority="9488" stopIfTrue="1" operator="notEqual">
      <formula>0</formula>
    </cfRule>
  </conditionalFormatting>
  <conditionalFormatting sqref="I2412">
    <cfRule type="expression" dxfId="1260" priority="294" stopIfTrue="1">
      <formula>$I2412="适用"</formula>
    </cfRule>
    <cfRule type="expression" dxfId="1259" priority="295" stopIfTrue="1">
      <formula>$I2412="不适用"</formula>
    </cfRule>
  </conditionalFormatting>
  <conditionalFormatting sqref="G2417:G2422">
    <cfRule type="expression" dxfId="1258" priority="9489">
      <formula>$D2417&gt;1</formula>
    </cfRule>
    <cfRule type="expression" dxfId="1257" priority="9490">
      <formula>$C2417="%IN"</formula>
    </cfRule>
    <cfRule type="expression" dxfId="1256" priority="9491" stopIfTrue="1">
      <formula>$E2417=0</formula>
    </cfRule>
  </conditionalFormatting>
  <conditionalFormatting sqref="L2431">
    <cfRule type="expression" dxfId="1255" priority="9492" stopIfTrue="1">
      <formula>OR($L$2431="F/S",$L$2431="")</formula>
    </cfRule>
    <cfRule type="cellIs" dxfId="1254" priority="9493" stopIfTrue="1" operator="notEqual">
      <formula>0</formula>
    </cfRule>
  </conditionalFormatting>
  <conditionalFormatting sqref="O2431:O2462">
    <cfRule type="expression" dxfId="1253" priority="9494" stopIfTrue="1">
      <formula>OR($O$2431="F/S",$O$2431="")</formula>
    </cfRule>
    <cfRule type="cellIs" dxfId="1252" priority="9495" stopIfTrue="1" operator="notEqual">
      <formula>0</formula>
    </cfRule>
  </conditionalFormatting>
  <conditionalFormatting sqref="I2431">
    <cfRule type="expression" dxfId="1251" priority="287" stopIfTrue="1">
      <formula>$I2431="适用"</formula>
    </cfRule>
    <cfRule type="expression" dxfId="1250" priority="288" stopIfTrue="1">
      <formula>$I2431="不适用"</formula>
    </cfRule>
  </conditionalFormatting>
  <conditionalFormatting sqref="G2434:G2454">
    <cfRule type="expression" dxfId="1249" priority="9496">
      <formula>$D2434&gt;1</formula>
    </cfRule>
    <cfRule type="expression" dxfId="1248" priority="9497">
      <formula>$C2434="%IN"</formula>
    </cfRule>
    <cfRule type="expression" dxfId="1247" priority="9498" stopIfTrue="1">
      <formula>$E2434=0</formula>
    </cfRule>
  </conditionalFormatting>
  <conditionalFormatting sqref="L1027:L1028 L1036:L1042">
    <cfRule type="expression" dxfId="1246" priority="9502" stopIfTrue="1">
      <formula>OR($L$1027="F/S",$L$1027="")</formula>
    </cfRule>
    <cfRule type="cellIs" dxfId="1245" priority="9503" stopIfTrue="1" operator="notEqual">
      <formula>0</formula>
    </cfRule>
  </conditionalFormatting>
  <conditionalFormatting sqref="O1027:O1042">
    <cfRule type="expression" dxfId="1244" priority="9504" stopIfTrue="1">
      <formula>OR($O$1027="F/S",$O$1027="")</formula>
    </cfRule>
    <cfRule type="cellIs" dxfId="1243" priority="9505" stopIfTrue="1" operator="notEqual">
      <formula>0</formula>
    </cfRule>
  </conditionalFormatting>
  <conditionalFormatting sqref="I1027">
    <cfRule type="expression" dxfId="1242" priority="280" stopIfTrue="1">
      <formula>$I1027="适用"</formula>
    </cfRule>
    <cfRule type="expression" dxfId="1241" priority="281" stopIfTrue="1">
      <formula>$I1027="不适用"</formula>
    </cfRule>
  </conditionalFormatting>
  <conditionalFormatting sqref="I1131">
    <cfRule type="expression" dxfId="1240" priority="273" stopIfTrue="1">
      <formula>$I1131="适用"</formula>
    </cfRule>
    <cfRule type="expression" dxfId="1239" priority="274" stopIfTrue="1">
      <formula>$I1131="不适用"</formula>
    </cfRule>
  </conditionalFormatting>
  <conditionalFormatting sqref="Q1131:Q1218">
    <cfRule type="expression" dxfId="1238" priority="272" stopIfTrue="1">
      <formula>$Q1131="请输入"</formula>
    </cfRule>
  </conditionalFormatting>
  <conditionalFormatting sqref="L1145:L1147 L1149:L1166 L1237 L1234:L1235">
    <cfRule type="expression" dxfId="1237" priority="9518" stopIfTrue="1">
      <formula>OR($L$1145="F/S",$L$1145="")</formula>
    </cfRule>
    <cfRule type="cellIs" dxfId="1236" priority="9519" stopIfTrue="1" operator="notEqual">
      <formula>0</formula>
    </cfRule>
  </conditionalFormatting>
  <conditionalFormatting sqref="O1145:O1166">
    <cfRule type="expression" dxfId="1235" priority="9520" stopIfTrue="1">
      <formula>OR($O$1145="F/S",$O$1145="")</formula>
    </cfRule>
    <cfRule type="cellIs" dxfId="1234" priority="9521" stopIfTrue="1" operator="notEqual">
      <formula>0</formula>
    </cfRule>
  </conditionalFormatting>
  <conditionalFormatting sqref="I1145">
    <cfRule type="expression" dxfId="1233" priority="263" stopIfTrue="1">
      <formula>$I1145="适用"</formula>
    </cfRule>
    <cfRule type="expression" dxfId="1232" priority="264" stopIfTrue="1">
      <formula>$I1145="不适用"</formula>
    </cfRule>
  </conditionalFormatting>
  <conditionalFormatting sqref="Q1145:Q1218">
    <cfRule type="expression" dxfId="1231" priority="262" stopIfTrue="1">
      <formula>$Q1145="请输入"</formula>
    </cfRule>
  </conditionalFormatting>
  <conditionalFormatting sqref="L1167:L1188">
    <cfRule type="expression" dxfId="1230" priority="9525" stopIfTrue="1">
      <formula>OR($L$1167="F/S",$L$1167="")</formula>
    </cfRule>
    <cfRule type="cellIs" dxfId="1229" priority="9526" stopIfTrue="1" operator="notEqual">
      <formula>0</formula>
    </cfRule>
  </conditionalFormatting>
  <conditionalFormatting sqref="O1167:O1188">
    <cfRule type="expression" dxfId="1228" priority="9527" stopIfTrue="1">
      <formula>OR($O$1167="F/S",$O$1167="")</formula>
    </cfRule>
    <cfRule type="cellIs" dxfId="1227" priority="9528" stopIfTrue="1" operator="notEqual">
      <formula>0</formula>
    </cfRule>
  </conditionalFormatting>
  <conditionalFormatting sqref="I1167">
    <cfRule type="expression" dxfId="1226" priority="256" stopIfTrue="1">
      <formula>$I1167="适用"</formula>
    </cfRule>
    <cfRule type="expression" dxfId="1225" priority="257" stopIfTrue="1">
      <formula>$I1167="不适用"</formula>
    </cfRule>
  </conditionalFormatting>
  <conditionalFormatting sqref="Q1167:Q1218">
    <cfRule type="expression" dxfId="1224" priority="255" stopIfTrue="1">
      <formula>$Q1167="请输入"</formula>
    </cfRule>
  </conditionalFormatting>
  <conditionalFormatting sqref="L1189:L1203">
    <cfRule type="expression" dxfId="1223" priority="9532" stopIfTrue="1">
      <formula>OR($L$1189="F/S",$L$1189="")</formula>
    </cfRule>
    <cfRule type="cellIs" dxfId="1222" priority="9533" stopIfTrue="1" operator="notEqual">
      <formula>0</formula>
    </cfRule>
  </conditionalFormatting>
  <conditionalFormatting sqref="O1189:O1203">
    <cfRule type="expression" dxfId="1221" priority="9534" stopIfTrue="1">
      <formula>OR($O$1189="F/S",$O$1189="")</formula>
    </cfRule>
    <cfRule type="cellIs" dxfId="1220" priority="9535" stopIfTrue="1" operator="notEqual">
      <formula>0</formula>
    </cfRule>
  </conditionalFormatting>
  <conditionalFormatting sqref="I1189">
    <cfRule type="expression" dxfId="1219" priority="249" stopIfTrue="1">
      <formula>$I1189="适用"</formula>
    </cfRule>
    <cfRule type="expression" dxfId="1218" priority="250" stopIfTrue="1">
      <formula>$I1189="不适用"</formula>
    </cfRule>
  </conditionalFormatting>
  <conditionalFormatting sqref="Q1189:Q1218">
    <cfRule type="expression" dxfId="1217" priority="248" stopIfTrue="1">
      <formula>$Q1189="请输入"</formula>
    </cfRule>
  </conditionalFormatting>
  <conditionalFormatting sqref="L1204:L1218">
    <cfRule type="expression" dxfId="1216" priority="9539" stopIfTrue="1">
      <formula>OR($L$1204="F/S",$L$1204="")</formula>
    </cfRule>
    <cfRule type="cellIs" dxfId="1215" priority="9540" stopIfTrue="1" operator="notEqual">
      <formula>0</formula>
    </cfRule>
  </conditionalFormatting>
  <conditionalFormatting sqref="O1204:O1218">
    <cfRule type="expression" dxfId="1214" priority="9541" stopIfTrue="1">
      <formula>OR($O$1204="F/S",$O$1204="")</formula>
    </cfRule>
    <cfRule type="cellIs" dxfId="1213" priority="9542" stopIfTrue="1" operator="notEqual">
      <formula>0</formula>
    </cfRule>
  </conditionalFormatting>
  <conditionalFormatting sqref="I1204">
    <cfRule type="expression" dxfId="1212" priority="242" stopIfTrue="1">
      <formula>$I1204="适用"</formula>
    </cfRule>
    <cfRule type="expression" dxfId="1211" priority="243" stopIfTrue="1">
      <formula>$I1204="不适用"</formula>
    </cfRule>
  </conditionalFormatting>
  <conditionalFormatting sqref="Q1204:Q1218">
    <cfRule type="expression" dxfId="1210" priority="241" stopIfTrue="1">
      <formula>$Q1204="请输入"</formula>
    </cfRule>
  </conditionalFormatting>
  <conditionalFormatting sqref="L1233:L1247 L1252:L1254">
    <cfRule type="expression" dxfId="1209" priority="9546" stopIfTrue="1">
      <formula>OR($L$1233="F/S",$L$1233="")</formula>
    </cfRule>
    <cfRule type="cellIs" dxfId="1208" priority="9547" stopIfTrue="1" operator="notEqual">
      <formula>0</formula>
    </cfRule>
  </conditionalFormatting>
  <conditionalFormatting sqref="O1233:O1254">
    <cfRule type="expression" dxfId="1207" priority="9548" stopIfTrue="1">
      <formula>OR($O$1233="F/S",$O$1233="")</formula>
    </cfRule>
    <cfRule type="cellIs" dxfId="1206" priority="9549" stopIfTrue="1" operator="notEqual">
      <formula>0</formula>
    </cfRule>
  </conditionalFormatting>
  <conditionalFormatting sqref="I1233">
    <cfRule type="expression" dxfId="1205" priority="235" stopIfTrue="1">
      <formula>$I1233="适用"</formula>
    </cfRule>
    <cfRule type="expression" dxfId="1204" priority="236" stopIfTrue="1">
      <formula>$I1233="不适用"</formula>
    </cfRule>
  </conditionalFormatting>
  <conditionalFormatting sqref="Q1233:Q1306">
    <cfRule type="expression" dxfId="1203" priority="234" stopIfTrue="1">
      <formula>$Q1233="请输入"</formula>
    </cfRule>
  </conditionalFormatting>
  <conditionalFormatting sqref="L1255:L1276">
    <cfRule type="expression" dxfId="1202" priority="9553" stopIfTrue="1">
      <formula>OR($L$1255="F/S",$L$1255="")</formula>
    </cfRule>
    <cfRule type="cellIs" dxfId="1201" priority="9554" stopIfTrue="1" operator="notEqual">
      <formula>0</formula>
    </cfRule>
  </conditionalFormatting>
  <conditionalFormatting sqref="O1255:O1276">
    <cfRule type="expression" dxfId="1200" priority="9555" stopIfTrue="1">
      <formula>OR($O$1255="F/S",$O$1255="")</formula>
    </cfRule>
    <cfRule type="cellIs" dxfId="1199" priority="9556" stopIfTrue="1" operator="notEqual">
      <formula>0</formula>
    </cfRule>
  </conditionalFormatting>
  <conditionalFormatting sqref="I1255">
    <cfRule type="expression" dxfId="1198" priority="228" stopIfTrue="1">
      <formula>$I1255="适用"</formula>
    </cfRule>
    <cfRule type="expression" dxfId="1197" priority="229" stopIfTrue="1">
      <formula>$I1255="不适用"</formula>
    </cfRule>
  </conditionalFormatting>
  <conditionalFormatting sqref="Q1255:Q1306">
    <cfRule type="expression" dxfId="1196" priority="227" stopIfTrue="1">
      <formula>$Q1255="请输入"</formula>
    </cfRule>
  </conditionalFormatting>
  <conditionalFormatting sqref="L1277:L1291">
    <cfRule type="expression" dxfId="1195" priority="9560" stopIfTrue="1">
      <formula>OR($L$1277="F/S",$L$1277="")</formula>
    </cfRule>
    <cfRule type="cellIs" dxfId="1194" priority="9561" stopIfTrue="1" operator="notEqual">
      <formula>0</formula>
    </cfRule>
  </conditionalFormatting>
  <conditionalFormatting sqref="O1277:O1291">
    <cfRule type="expression" dxfId="1193" priority="9562" stopIfTrue="1">
      <formula>OR($O$1277="F/S",$O$1277="")</formula>
    </cfRule>
    <cfRule type="cellIs" dxfId="1192" priority="9563" stopIfTrue="1" operator="notEqual">
      <formula>0</formula>
    </cfRule>
  </conditionalFormatting>
  <conditionalFormatting sqref="I1277">
    <cfRule type="expression" dxfId="1191" priority="221" stopIfTrue="1">
      <formula>$I1277="适用"</formula>
    </cfRule>
    <cfRule type="expression" dxfId="1190" priority="222" stopIfTrue="1">
      <formula>$I1277="不适用"</formula>
    </cfRule>
  </conditionalFormatting>
  <conditionalFormatting sqref="Q1277:Q1306">
    <cfRule type="expression" dxfId="1189" priority="220" stopIfTrue="1">
      <formula>$Q1277="请输入"</formula>
    </cfRule>
  </conditionalFormatting>
  <conditionalFormatting sqref="L1292:L1306">
    <cfRule type="expression" dxfId="1188" priority="9567" stopIfTrue="1">
      <formula>OR($L$1292="F/S",$L$1292="")</formula>
    </cfRule>
    <cfRule type="cellIs" dxfId="1187" priority="9568" stopIfTrue="1" operator="notEqual">
      <formula>0</formula>
    </cfRule>
  </conditionalFormatting>
  <conditionalFormatting sqref="O1292:O1306">
    <cfRule type="expression" dxfId="1186" priority="9569" stopIfTrue="1">
      <formula>OR($O$1292="F/S",$O$1292="")</formula>
    </cfRule>
    <cfRule type="cellIs" dxfId="1185" priority="9570" stopIfTrue="1" operator="notEqual">
      <formula>0</formula>
    </cfRule>
  </conditionalFormatting>
  <conditionalFormatting sqref="I1292">
    <cfRule type="expression" dxfId="1184" priority="214" stopIfTrue="1">
      <formula>$I1292="适用"</formula>
    </cfRule>
    <cfRule type="expression" dxfId="1183" priority="215" stopIfTrue="1">
      <formula>$I1292="不适用"</formula>
    </cfRule>
  </conditionalFormatting>
  <conditionalFormatting sqref="Q1292:Q1306">
    <cfRule type="expression" dxfId="1182" priority="213" stopIfTrue="1">
      <formula>$Q1292="请输入"</formula>
    </cfRule>
  </conditionalFormatting>
  <conditionalFormatting sqref="G1209:G1217">
    <cfRule type="expression" dxfId="1181" priority="9583">
      <formula>$D1209&gt;1</formula>
    </cfRule>
    <cfRule type="expression" dxfId="1180" priority="9584">
      <formula>$C1209="%IN"</formula>
    </cfRule>
    <cfRule type="expression" dxfId="1179" priority="9585" stopIfTrue="1">
      <formula>$E1209=0</formula>
    </cfRule>
  </conditionalFormatting>
  <conditionalFormatting sqref="G1282:G1290">
    <cfRule type="expression" dxfId="1178" priority="9592">
      <formula>$D1282&gt;1</formula>
    </cfRule>
    <cfRule type="expression" dxfId="1177" priority="9593">
      <formula>$C1282="%IN"</formula>
    </cfRule>
    <cfRule type="expression" dxfId="1176" priority="9594" stopIfTrue="1">
      <formula>$E1282=0</formula>
    </cfRule>
  </conditionalFormatting>
  <conditionalFormatting sqref="G1297:G1305">
    <cfRule type="expression" dxfId="1175" priority="9595">
      <formula>$D1297&gt;1</formula>
    </cfRule>
    <cfRule type="expression" dxfId="1174" priority="9596">
      <formula>$C1297="%IN"</formula>
    </cfRule>
    <cfRule type="expression" dxfId="1173" priority="9597" stopIfTrue="1">
      <formula>$E1297=0</formula>
    </cfRule>
  </conditionalFormatting>
  <conditionalFormatting sqref="G1282:G1289">
    <cfRule type="expression" dxfId="1172" priority="181">
      <formula>$D1282&gt;1</formula>
    </cfRule>
    <cfRule type="expression" dxfId="1171" priority="182">
      <formula>$C1282="%IN"</formula>
    </cfRule>
    <cfRule type="expression" dxfId="1170" priority="183" stopIfTrue="1">
      <formula>$E1282=0</formula>
    </cfRule>
  </conditionalFormatting>
  <conditionalFormatting sqref="G1282:G1289">
    <cfRule type="expression" dxfId="1169" priority="178">
      <formula>$D1282&gt;1</formula>
    </cfRule>
    <cfRule type="expression" dxfId="1168" priority="179">
      <formula>$C1282="%IN"</formula>
    </cfRule>
    <cfRule type="expression" dxfId="1167" priority="180" stopIfTrue="1">
      <formula>$E1282=0</formula>
    </cfRule>
  </conditionalFormatting>
  <conditionalFormatting sqref="G1121:G1129">
    <cfRule type="expression" dxfId="1166" priority="9604">
      <formula>$D1121&gt;1</formula>
    </cfRule>
    <cfRule type="expression" dxfId="1165" priority="9605">
      <formula>$C1121="%IN"</formula>
    </cfRule>
    <cfRule type="expression" dxfId="1164" priority="9606" stopIfTrue="1">
      <formula>$E1121=0</formula>
    </cfRule>
  </conditionalFormatting>
  <conditionalFormatting sqref="G1194:G1202">
    <cfRule type="expression" dxfId="1163" priority="9607">
      <formula>$D1194&gt;1</formula>
    </cfRule>
    <cfRule type="expression" dxfId="1162" priority="9608">
      <formula>$C1194="%IN"</formula>
    </cfRule>
    <cfRule type="expression" dxfId="1161" priority="9609" stopIfTrue="1">
      <formula>$E1194=0</formula>
    </cfRule>
  </conditionalFormatting>
  <conditionalFormatting sqref="G1282:G1289">
    <cfRule type="expression" dxfId="1160" priority="175">
      <formula>$D1282&gt;1</formula>
    </cfRule>
    <cfRule type="expression" dxfId="1159" priority="176">
      <formula>$C1282="%IN"</formula>
    </cfRule>
    <cfRule type="expression" dxfId="1158" priority="177" stopIfTrue="1">
      <formula>$E1282=0</formula>
    </cfRule>
  </conditionalFormatting>
  <conditionalFormatting sqref="G1106:G1114">
    <cfRule type="expression" dxfId="1157" priority="9610">
      <formula>$D1106&gt;1</formula>
    </cfRule>
    <cfRule type="expression" dxfId="1156" priority="9611">
      <formula>$C1106="%IN"</formula>
    </cfRule>
    <cfRule type="expression" dxfId="1155" priority="9612" stopIfTrue="1">
      <formula>$E1106=0</formula>
    </cfRule>
  </conditionalFormatting>
  <conditionalFormatting sqref="L2218:L2219 L2227:L2233">
    <cfRule type="expression" dxfId="1154" priority="9625" stopIfTrue="1">
      <formula>OR($L$2218="F/S",$L$2218="")</formula>
    </cfRule>
    <cfRule type="cellIs" dxfId="1153" priority="9626" stopIfTrue="1" operator="notEqual">
      <formula>0</formula>
    </cfRule>
  </conditionalFormatting>
  <conditionalFormatting sqref="O2218:O2219 O2227:O2233">
    <cfRule type="expression" dxfId="1152" priority="9627" stopIfTrue="1">
      <formula>OR($O$2218="F/S",$O$2218="")</formula>
    </cfRule>
    <cfRule type="cellIs" dxfId="1151" priority="9628" stopIfTrue="1" operator="notEqual">
      <formula>0</formula>
    </cfRule>
  </conditionalFormatting>
  <conditionalFormatting sqref="I2218">
    <cfRule type="expression" dxfId="1150" priority="167" stopIfTrue="1">
      <formula>$I2218="适用"</formula>
    </cfRule>
    <cfRule type="expression" dxfId="1149" priority="168" stopIfTrue="1">
      <formula>$I2218="不适用"</formula>
    </cfRule>
  </conditionalFormatting>
  <conditionalFormatting sqref="G2320:G2328">
    <cfRule type="expression" dxfId="1148" priority="9632">
      <formula>$D2320&gt;1</formula>
    </cfRule>
    <cfRule type="expression" dxfId="1147" priority="9633">
      <formula>$C2320="%IN"</formula>
    </cfRule>
    <cfRule type="expression" dxfId="1146" priority="9634" stopIfTrue="1">
      <formula>$E2320=0</formula>
    </cfRule>
  </conditionalFormatting>
  <conditionalFormatting sqref="G420:G428">
    <cfRule type="expression" dxfId="1145" priority="9638">
      <formula>$D420&gt;1</formula>
    </cfRule>
    <cfRule type="expression" dxfId="1144" priority="9639">
      <formula>$C420="%IN"</formula>
    </cfRule>
    <cfRule type="expression" dxfId="1143" priority="9640" stopIfTrue="1">
      <formula>$E420=0</formula>
    </cfRule>
  </conditionalFormatting>
  <conditionalFormatting sqref="G405:G413">
    <cfRule type="expression" dxfId="1142" priority="9641">
      <formula>$D405&gt;1</formula>
    </cfRule>
    <cfRule type="expression" dxfId="1141" priority="9642">
      <formula>$C405="%IN"</formula>
    </cfRule>
    <cfRule type="expression" dxfId="1140" priority="9643" stopIfTrue="1">
      <formula>$E405=0</formula>
    </cfRule>
  </conditionalFormatting>
  <conditionalFormatting sqref="G112:G117 G693:G695 G435:G439">
    <cfRule type="expression" dxfId="1139" priority="9647">
      <formula>$D112&gt;1</formula>
    </cfRule>
    <cfRule type="expression" dxfId="1138" priority="9648">
      <formula>$C112="%IN"</formula>
    </cfRule>
    <cfRule type="expression" dxfId="1137" priority="9649" stopIfTrue="1">
      <formula>$E112=0</formula>
    </cfRule>
  </conditionalFormatting>
  <conditionalFormatting sqref="G133:G136">
    <cfRule type="expression" dxfId="1136" priority="9650">
      <formula>$D133&gt;1</formula>
    </cfRule>
    <cfRule type="expression" dxfId="1135" priority="9651">
      <formula>$C133="%IN"</formula>
    </cfRule>
    <cfRule type="expression" dxfId="1134" priority="9652" stopIfTrue="1">
      <formula>$E133=0</formula>
    </cfRule>
  </conditionalFormatting>
  <conditionalFormatting sqref="G74:G87">
    <cfRule type="expression" dxfId="1133" priority="9656">
      <formula>$D74&gt;1</formula>
    </cfRule>
    <cfRule type="expression" dxfId="1132" priority="9657">
      <formula>$C74="%IN"</formula>
    </cfRule>
    <cfRule type="expression" dxfId="1131" priority="9658" stopIfTrue="1">
      <formula>$E74=0</formula>
    </cfRule>
  </conditionalFormatting>
  <conditionalFormatting sqref="G163:G168">
    <cfRule type="expression" dxfId="1130" priority="9662">
      <formula>$D163&gt;1</formula>
    </cfRule>
    <cfRule type="expression" dxfId="1129" priority="9663">
      <formula>$C163="%IN"</formula>
    </cfRule>
    <cfRule type="expression" dxfId="1128" priority="9664" stopIfTrue="1">
      <formula>$E163=0</formula>
    </cfRule>
  </conditionalFormatting>
  <conditionalFormatting sqref="G175:G183">
    <cfRule type="expression" dxfId="1127" priority="9665">
      <formula>$D175&gt;1</formula>
    </cfRule>
    <cfRule type="expression" dxfId="1126" priority="9666">
      <formula>$C175="%IN"</formula>
    </cfRule>
    <cfRule type="expression" dxfId="1125" priority="9667" stopIfTrue="1">
      <formula>$E175=0</formula>
    </cfRule>
  </conditionalFormatting>
  <conditionalFormatting sqref="G197:G205">
    <cfRule type="expression" dxfId="1124" priority="9668">
      <formula>$D197&gt;1</formula>
    </cfRule>
    <cfRule type="expression" dxfId="1123" priority="9669">
      <formula>$C197="%IN"</formula>
    </cfRule>
    <cfRule type="expression" dxfId="1122" priority="9670" stopIfTrue="1">
      <formula>$E197=0</formula>
    </cfRule>
  </conditionalFormatting>
  <conditionalFormatting sqref="G256:G264">
    <cfRule type="expression" dxfId="1121" priority="9674">
      <formula>$D256&gt;1</formula>
    </cfRule>
    <cfRule type="expression" dxfId="1120" priority="9675">
      <formula>$C256="%IN"</formula>
    </cfRule>
    <cfRule type="expression" dxfId="1119" priority="9676" stopIfTrue="1">
      <formula>$E256=0</formula>
    </cfRule>
  </conditionalFormatting>
  <conditionalFormatting sqref="G276:G284">
    <cfRule type="expression" dxfId="1118" priority="9677">
      <formula>$D276&gt;1</formula>
    </cfRule>
    <cfRule type="expression" dxfId="1117" priority="9678">
      <formula>$C276="%IN"</formula>
    </cfRule>
    <cfRule type="expression" dxfId="1116" priority="9679" stopIfTrue="1">
      <formula>$E276=0</formula>
    </cfRule>
  </conditionalFormatting>
  <conditionalFormatting sqref="G289:G291">
    <cfRule type="expression" dxfId="1115" priority="9680">
      <formula>$D289&gt;1</formula>
    </cfRule>
    <cfRule type="expression" dxfId="1114" priority="9681">
      <formula>$C289="%IN"</formula>
    </cfRule>
    <cfRule type="expression" dxfId="1113" priority="9682" stopIfTrue="1">
      <formula>$E289=0</formula>
    </cfRule>
  </conditionalFormatting>
  <conditionalFormatting sqref="G296:G304">
    <cfRule type="expression" dxfId="1112" priority="9683">
      <formula>$D296&gt;1</formula>
    </cfRule>
    <cfRule type="expression" dxfId="1111" priority="9684">
      <formula>$C296="%IN"</formula>
    </cfRule>
    <cfRule type="expression" dxfId="1110" priority="9685" stopIfTrue="1">
      <formula>$E296=0</formula>
    </cfRule>
  </conditionalFormatting>
  <conditionalFormatting sqref="H188">
    <cfRule type="expression" dxfId="1109" priority="9686">
      <formula>AND(H$188&lt;&gt;0,H$188&lt;&gt;"")</formula>
    </cfRule>
    <cfRule type="expression" dxfId="1108" priority="9687" stopIfTrue="1">
      <formula>H$189&lt;&gt;"√"</formula>
    </cfRule>
  </conditionalFormatting>
  <conditionalFormatting sqref="J188">
    <cfRule type="expression" dxfId="1107" priority="9688">
      <formula>AND(J$188&lt;&gt;0,J$188&lt;&gt;"")</formula>
    </cfRule>
    <cfRule type="expression" dxfId="1106" priority="9689" stopIfTrue="1">
      <formula>J$189&lt;&gt;"√"</formula>
    </cfRule>
  </conditionalFormatting>
  <conditionalFormatting sqref="L188">
    <cfRule type="expression" dxfId="1105" priority="9690">
      <formula>AND(L$188&lt;&gt;0,L$188&lt;&gt;"")</formula>
    </cfRule>
    <cfRule type="expression" dxfId="1104" priority="9691" stopIfTrue="1">
      <formula>L$189&lt;&gt;"√"</formula>
    </cfRule>
  </conditionalFormatting>
  <conditionalFormatting sqref="K190">
    <cfRule type="expression" dxfId="1103" priority="9692">
      <formula>AND($K$190&lt;&gt;0,$K$190&lt;&gt;"")</formula>
    </cfRule>
    <cfRule type="expression" dxfId="1102" priority="9693" stopIfTrue="1">
      <formula>$L$190&lt;&gt;"√"</formula>
    </cfRule>
  </conditionalFormatting>
  <conditionalFormatting sqref="H210">
    <cfRule type="expression" dxfId="1101" priority="9694">
      <formula>AND(H$210&lt;&gt;0,H$210&lt;&gt;"")</formula>
    </cfRule>
    <cfRule type="expression" dxfId="1100" priority="9695" stopIfTrue="1">
      <formula>H$211&lt;&gt;"√"</formula>
    </cfRule>
  </conditionalFormatting>
  <conditionalFormatting sqref="I210">
    <cfRule type="expression" dxfId="1099" priority="9696">
      <formula>AND(I$210&lt;&gt;0,I$210&lt;&gt;"")</formula>
    </cfRule>
    <cfRule type="expression" dxfId="1098" priority="9697" stopIfTrue="1">
      <formula>I$211&lt;&gt;"√"</formula>
    </cfRule>
  </conditionalFormatting>
  <conditionalFormatting sqref="K212">
    <cfRule type="expression" dxfId="1097" priority="9698">
      <formula>AND($K$212&lt;&gt;0,$K$212&lt;&gt;"")</formula>
    </cfRule>
    <cfRule type="expression" dxfId="1096" priority="9699" stopIfTrue="1">
      <formula>$L$212&lt;&gt;"√"</formula>
    </cfRule>
  </conditionalFormatting>
  <conditionalFormatting sqref="H232">
    <cfRule type="expression" dxfId="1095" priority="9700">
      <formula>AND(H$232&lt;&gt;0,H$232&lt;&gt;"")</formula>
    </cfRule>
    <cfRule type="expression" dxfId="1094" priority="9701" stopIfTrue="1">
      <formula>H$233&lt;&gt;"√"</formula>
    </cfRule>
  </conditionalFormatting>
  <conditionalFormatting sqref="I232">
    <cfRule type="expression" dxfId="1093" priority="9702">
      <formula>AND(I$232&lt;&gt;0,I$232&lt;&gt;"")</formula>
    </cfRule>
    <cfRule type="expression" dxfId="1092" priority="9703" stopIfTrue="1">
      <formula>I$233&lt;&gt;"√"</formula>
    </cfRule>
  </conditionalFormatting>
  <conditionalFormatting sqref="K234">
    <cfRule type="expression" dxfId="1091" priority="9704">
      <formula>AND($K$234&lt;&gt;0,$K$234&lt;&gt;"")</formula>
    </cfRule>
    <cfRule type="expression" dxfId="1090" priority="9705" stopIfTrue="1">
      <formula>$L$234&lt;&gt;"√"</formula>
    </cfRule>
  </conditionalFormatting>
  <conditionalFormatting sqref="H269">
    <cfRule type="expression" dxfId="1089" priority="9706">
      <formula>AND(H$269&lt;&gt;0,H$269&lt;&gt;"")</formula>
    </cfRule>
    <cfRule type="expression" dxfId="1088" priority="9707" stopIfTrue="1">
      <formula>H$270&lt;&gt;"√"</formula>
    </cfRule>
  </conditionalFormatting>
  <conditionalFormatting sqref="N269">
    <cfRule type="expression" dxfId="1087" priority="9708">
      <formula>AND(N$269&lt;&gt;0,N$269&lt;&gt;"")</formula>
    </cfRule>
    <cfRule type="expression" dxfId="1086" priority="9709" stopIfTrue="1">
      <formula>N$270&lt;&gt;"√"</formula>
    </cfRule>
  </conditionalFormatting>
  <conditionalFormatting sqref="K271">
    <cfRule type="expression" dxfId="1085" priority="9710">
      <formula>AND($K$271&lt;&gt;0,$K$271&lt;&gt;"")</formula>
    </cfRule>
    <cfRule type="expression" dxfId="1084" priority="9711" stopIfTrue="1">
      <formula>$L$271&lt;&gt;"√"</formula>
    </cfRule>
  </conditionalFormatting>
  <conditionalFormatting sqref="G320:G332">
    <cfRule type="expression" dxfId="1083" priority="9712">
      <formula>$D320&gt;1</formula>
    </cfRule>
    <cfRule type="expression" dxfId="1082" priority="9713">
      <formula>$C320="%IN"</formula>
    </cfRule>
    <cfRule type="expression" dxfId="1081" priority="9714" stopIfTrue="1">
      <formula>$E320=0</formula>
    </cfRule>
  </conditionalFormatting>
  <conditionalFormatting sqref="G339:G347">
    <cfRule type="expression" dxfId="1080" priority="9715">
      <formula>$D339&gt;1</formula>
    </cfRule>
    <cfRule type="expression" dxfId="1079" priority="9716">
      <formula>$C339="%IN"</formula>
    </cfRule>
    <cfRule type="expression" dxfId="1078" priority="9717" stopIfTrue="1">
      <formula>$E339=0</formula>
    </cfRule>
  </conditionalFormatting>
  <conditionalFormatting sqref="G361:G369">
    <cfRule type="expression" dxfId="1077" priority="9721">
      <formula>$D361&gt;1</formula>
    </cfRule>
    <cfRule type="expression" dxfId="1076" priority="9722">
      <formula>$C361="%IN"</formula>
    </cfRule>
    <cfRule type="expression" dxfId="1075" priority="9723" stopIfTrue="1">
      <formula>$E361=0</formula>
    </cfRule>
  </conditionalFormatting>
  <conditionalFormatting sqref="G383:G391">
    <cfRule type="expression" dxfId="1074" priority="9724">
      <formula>$D383&gt;1</formula>
    </cfRule>
    <cfRule type="expression" dxfId="1073" priority="9725">
      <formula>$C383="%IN"</formula>
    </cfRule>
    <cfRule type="expression" dxfId="1072" priority="9726" stopIfTrue="1">
      <formula>$E383=0</formula>
    </cfRule>
  </conditionalFormatting>
  <conditionalFormatting sqref="G453:G459">
    <cfRule type="expression" dxfId="1071" priority="9727">
      <formula>$D453&gt;1</formula>
    </cfRule>
    <cfRule type="expression" dxfId="1070" priority="9728">
      <formula>$C453="%IN"</formula>
    </cfRule>
    <cfRule type="expression" dxfId="1069" priority="9729" stopIfTrue="1">
      <formula>$E453=0</formula>
    </cfRule>
  </conditionalFormatting>
  <conditionalFormatting sqref="G473:G483">
    <cfRule type="expression" dxfId="1068" priority="9730">
      <formula>$D473&gt;1</formula>
    </cfRule>
    <cfRule type="expression" dxfId="1067" priority="9731">
      <formula>$C473="%IN"</formula>
    </cfRule>
    <cfRule type="expression" dxfId="1066" priority="9732" stopIfTrue="1">
      <formula>$E473=0</formula>
    </cfRule>
  </conditionalFormatting>
  <conditionalFormatting sqref="G584:G592">
    <cfRule type="expression" dxfId="1065" priority="9733">
      <formula>$D584&gt;1</formula>
    </cfRule>
    <cfRule type="expression" dxfId="1064" priority="9734">
      <formula>$C584="%IN"</formula>
    </cfRule>
    <cfRule type="expression" dxfId="1063" priority="9735" stopIfTrue="1">
      <formula>$E584=0</formula>
    </cfRule>
  </conditionalFormatting>
  <conditionalFormatting sqref="G632:G646">
    <cfRule type="expression" dxfId="1062" priority="9745">
      <formula>$D632&gt;1</formula>
    </cfRule>
    <cfRule type="expression" dxfId="1061" priority="9746">
      <formula>$C632="%IN"</formula>
    </cfRule>
    <cfRule type="expression" dxfId="1060" priority="9747" stopIfTrue="1">
      <formula>$E632=0</formula>
    </cfRule>
  </conditionalFormatting>
  <conditionalFormatting sqref="G562:G567">
    <cfRule type="expression" dxfId="1059" priority="9754">
      <formula>$D562&gt;1</formula>
    </cfRule>
    <cfRule type="expression" dxfId="1058" priority="9755">
      <formula>$C562="%IN"</formula>
    </cfRule>
    <cfRule type="expression" dxfId="1057" priority="9756" stopIfTrue="1">
      <formula>$E562=0</formula>
    </cfRule>
  </conditionalFormatting>
  <conditionalFormatting sqref="G572:G577">
    <cfRule type="expression" dxfId="1056" priority="9757">
      <formula>$D572&gt;1</formula>
    </cfRule>
    <cfRule type="expression" dxfId="1055" priority="9758">
      <formula>$C572="%IN"</formula>
    </cfRule>
    <cfRule type="expression" dxfId="1054" priority="9759" stopIfTrue="1">
      <formula>$E572=0</formula>
    </cfRule>
  </conditionalFormatting>
  <conditionalFormatting sqref="G219:G227">
    <cfRule type="expression" dxfId="1053" priority="9760">
      <formula>$D219&gt;1</formula>
    </cfRule>
    <cfRule type="expression" dxfId="1052" priority="9761">
      <formula>$C219="%IN"</formula>
    </cfRule>
    <cfRule type="expression" dxfId="1051" priority="9762" stopIfTrue="1">
      <formula>$E219=0</formula>
    </cfRule>
  </conditionalFormatting>
  <conditionalFormatting sqref="G125:G128">
    <cfRule type="expression" dxfId="1050" priority="9763">
      <formula>$D125&gt;1</formula>
    </cfRule>
    <cfRule type="expression" dxfId="1049" priority="9764">
      <formula>$C125="%IN"</formula>
    </cfRule>
    <cfRule type="expression" dxfId="1048" priority="9765" stopIfTrue="1">
      <formula>$E125=0</formula>
    </cfRule>
  </conditionalFormatting>
  <conditionalFormatting sqref="G701:G704">
    <cfRule type="expression" dxfId="1047" priority="9766">
      <formula>$D701&gt;1</formula>
    </cfRule>
    <cfRule type="expression" dxfId="1046" priority="9767">
      <formula>$C701="%IN"</formula>
    </cfRule>
    <cfRule type="expression" dxfId="1045" priority="9768" stopIfTrue="1">
      <formula>$E701=0</formula>
    </cfRule>
  </conditionalFormatting>
  <conditionalFormatting sqref="G853:G856">
    <cfRule type="expression" dxfId="1044" priority="9781">
      <formula>$D853&gt;1</formula>
    </cfRule>
    <cfRule type="expression" dxfId="1043" priority="9782">
      <formula>$C853="%IN"</formula>
    </cfRule>
    <cfRule type="expression" dxfId="1042" priority="9783" stopIfTrue="1">
      <formula>$E853=0</formula>
    </cfRule>
  </conditionalFormatting>
  <conditionalFormatting sqref="G903:G908">
    <cfRule type="expression" dxfId="1041" priority="9784">
      <formula>$D903&gt;1</formula>
    </cfRule>
    <cfRule type="expression" dxfId="1040" priority="9785">
      <formula>$C903="%IN"</formula>
    </cfRule>
    <cfRule type="expression" dxfId="1039" priority="9786" stopIfTrue="1">
      <formula>$E903=0</formula>
    </cfRule>
  </conditionalFormatting>
  <conditionalFormatting sqref="G913:G918">
    <cfRule type="expression" dxfId="1038" priority="9787">
      <formula>$D913&gt;1</formula>
    </cfRule>
    <cfRule type="expression" dxfId="1037" priority="9788">
      <formula>$C913="%IN"</formula>
    </cfRule>
    <cfRule type="expression" dxfId="1036" priority="9789" stopIfTrue="1">
      <formula>$E913=0</formula>
    </cfRule>
  </conditionalFormatting>
  <conditionalFormatting sqref="G959:G964">
    <cfRule type="expression" dxfId="1035" priority="9793">
      <formula>$D959&gt;1</formula>
    </cfRule>
    <cfRule type="expression" dxfId="1034" priority="9794">
      <formula>$C959="%IN"</formula>
    </cfRule>
    <cfRule type="expression" dxfId="1033" priority="9795" stopIfTrue="1">
      <formula>$E959=0</formula>
    </cfRule>
  </conditionalFormatting>
  <conditionalFormatting sqref="G947:G954">
    <cfRule type="expression" dxfId="1032" priority="9796">
      <formula>$D947&gt;1</formula>
    </cfRule>
    <cfRule type="expression" dxfId="1031" priority="9797">
      <formula>$C947="%IN"</formula>
    </cfRule>
    <cfRule type="expression" dxfId="1030" priority="9798" stopIfTrue="1">
      <formula>$E947=0</formula>
    </cfRule>
  </conditionalFormatting>
  <conditionalFormatting sqref="G970:G975">
    <cfRule type="expression" dxfId="1029" priority="9799">
      <formula>$D970&gt;1</formula>
    </cfRule>
    <cfRule type="expression" dxfId="1028" priority="9800">
      <formula>$C970="%IN"</formula>
    </cfRule>
    <cfRule type="expression" dxfId="1027" priority="9801" stopIfTrue="1">
      <formula>$E970=0</formula>
    </cfRule>
  </conditionalFormatting>
  <conditionalFormatting sqref="G980:G985">
    <cfRule type="expression" dxfId="1026" priority="9802">
      <formula>$D980&gt;1</formula>
    </cfRule>
    <cfRule type="expression" dxfId="1025" priority="9803">
      <formula>$C980="%IN"</formula>
    </cfRule>
    <cfRule type="expression" dxfId="1024" priority="9804" stopIfTrue="1">
      <formula>$E980=0</formula>
    </cfRule>
  </conditionalFormatting>
  <conditionalFormatting sqref="G991:G1004">
    <cfRule type="expression" dxfId="1023" priority="9811">
      <formula>$D991&gt;1</formula>
    </cfRule>
    <cfRule type="expression" dxfId="1022" priority="9812">
      <formula>$C991="%IN"</formula>
    </cfRule>
    <cfRule type="expression" dxfId="1021" priority="9813" stopIfTrue="1">
      <formula>$E991=0</formula>
    </cfRule>
  </conditionalFormatting>
  <conditionalFormatting sqref="G1030:G1034">
    <cfRule type="expression" dxfId="1020" priority="9817">
      <formula>$D1030&gt;1</formula>
    </cfRule>
    <cfRule type="expression" dxfId="1019" priority="9818">
      <formula>$C1030="%IN"</formula>
    </cfRule>
    <cfRule type="expression" dxfId="1018" priority="9819" stopIfTrue="1">
      <formula>$E1030=0</formula>
    </cfRule>
  </conditionalFormatting>
  <conditionalFormatting sqref="G1046:G1055">
    <cfRule type="expression" dxfId="1017" priority="9820">
      <formula>$D1046&gt;1</formula>
    </cfRule>
    <cfRule type="expression" dxfId="1016" priority="9821">
      <formula>$C1046="%IN"</formula>
    </cfRule>
    <cfRule type="expression" dxfId="1015" priority="9822" stopIfTrue="1">
      <formula>$E1046=0</formula>
    </cfRule>
  </conditionalFormatting>
  <conditionalFormatting sqref="G1062:G1070">
    <cfRule type="expression" dxfId="1014" priority="9823">
      <formula>$D1062&gt;1</formula>
    </cfRule>
    <cfRule type="expression" dxfId="1013" priority="9824">
      <formula>$C1062="%IN"</formula>
    </cfRule>
    <cfRule type="expression" dxfId="1012" priority="9825" stopIfTrue="1">
      <formula>$E1062=0</formula>
    </cfRule>
  </conditionalFormatting>
  <conditionalFormatting sqref="G1084:G1092">
    <cfRule type="expression" dxfId="1011" priority="9826">
      <formula>$D1084&gt;1</formula>
    </cfRule>
    <cfRule type="expression" dxfId="1010" priority="9827">
      <formula>$C1084="%IN"</formula>
    </cfRule>
    <cfRule type="expression" dxfId="1009" priority="9828" stopIfTrue="1">
      <formula>$E1084=0</formula>
    </cfRule>
  </conditionalFormatting>
  <conditionalFormatting sqref="G1134:G1143">
    <cfRule type="expression" dxfId="1008" priority="9829">
      <formula>$D1134&gt;1</formula>
    </cfRule>
    <cfRule type="expression" dxfId="1007" priority="9830">
      <formula>$C1134="%IN"</formula>
    </cfRule>
    <cfRule type="expression" dxfId="1006" priority="9831" stopIfTrue="1">
      <formula>$E1134=0</formula>
    </cfRule>
  </conditionalFormatting>
  <conditionalFormatting sqref="G1150:G1158">
    <cfRule type="expression" dxfId="1005" priority="9832">
      <formula>$D1150&gt;1</formula>
    </cfRule>
    <cfRule type="expression" dxfId="1004" priority="9833">
      <formula>$C1150="%IN"</formula>
    </cfRule>
    <cfRule type="expression" dxfId="1003" priority="9834" stopIfTrue="1">
      <formula>$E1150=0</formula>
    </cfRule>
  </conditionalFormatting>
  <conditionalFormatting sqref="G1172:G1180">
    <cfRule type="expression" dxfId="1002" priority="9835">
      <formula>$D1172&gt;1</formula>
    </cfRule>
    <cfRule type="expression" dxfId="1001" priority="9836">
      <formula>$C1172="%IN"</formula>
    </cfRule>
    <cfRule type="expression" dxfId="1000" priority="9837" stopIfTrue="1">
      <formula>$E1172=0</formula>
    </cfRule>
  </conditionalFormatting>
  <conditionalFormatting sqref="G1222:G1231">
    <cfRule type="expression" dxfId="999" priority="9838">
      <formula>$D1222&gt;1</formula>
    </cfRule>
    <cfRule type="expression" dxfId="998" priority="9839">
      <formula>$C1222="%IN"</formula>
    </cfRule>
    <cfRule type="expression" dxfId="997" priority="9840" stopIfTrue="1">
      <formula>$E1222=0</formula>
    </cfRule>
  </conditionalFormatting>
  <conditionalFormatting sqref="G1238:G1246">
    <cfRule type="expression" dxfId="996" priority="9841">
      <formula>$D1238&gt;1</formula>
    </cfRule>
    <cfRule type="expression" dxfId="995" priority="9842">
      <formula>$C1238="%IN"</formula>
    </cfRule>
    <cfRule type="expression" dxfId="994" priority="9843" stopIfTrue="1">
      <formula>$E1238=0</formula>
    </cfRule>
  </conditionalFormatting>
  <conditionalFormatting sqref="G1260:G1268">
    <cfRule type="expression" dxfId="993" priority="9844">
      <formula>$D1260&gt;1</formula>
    </cfRule>
    <cfRule type="expression" dxfId="992" priority="9845">
      <formula>$C1260="%IN"</formula>
    </cfRule>
    <cfRule type="expression" dxfId="991" priority="9846" stopIfTrue="1">
      <formula>$E1260=0</formula>
    </cfRule>
  </conditionalFormatting>
  <conditionalFormatting sqref="G1312:G1317">
    <cfRule type="expression" dxfId="990" priority="9847">
      <formula>$D1312&gt;1</formula>
    </cfRule>
    <cfRule type="expression" dxfId="989" priority="9848">
      <formula>$C1312="%IN"</formula>
    </cfRule>
    <cfRule type="expression" dxfId="988" priority="9849" stopIfTrue="1">
      <formula>$E1312=0</formula>
    </cfRule>
  </conditionalFormatting>
  <conditionalFormatting sqref="G1331:G1339">
    <cfRule type="expression" dxfId="987" priority="9850">
      <formula>$D1331&gt;1</formula>
    </cfRule>
    <cfRule type="expression" dxfId="986" priority="9851">
      <formula>$C1331="%IN"</formula>
    </cfRule>
    <cfRule type="expression" dxfId="985" priority="9852" stopIfTrue="1">
      <formula>$E1331=0</formula>
    </cfRule>
  </conditionalFormatting>
  <conditionalFormatting sqref="G1353:G1363">
    <cfRule type="expression" dxfId="984" priority="9853">
      <formula>$D1353&gt;1</formula>
    </cfRule>
    <cfRule type="expression" dxfId="983" priority="9854">
      <formula>$C1353="%IN"</formula>
    </cfRule>
    <cfRule type="expression" dxfId="982" priority="9855" stopIfTrue="1">
      <formula>$E1353=0</formula>
    </cfRule>
  </conditionalFormatting>
  <conditionalFormatting sqref="G1474:G1482">
    <cfRule type="expression" dxfId="981" priority="9856">
      <formula>$D1474&gt;1</formula>
    </cfRule>
    <cfRule type="expression" dxfId="980" priority="9857">
      <formula>$C1474="%IN"</formula>
    </cfRule>
    <cfRule type="expression" dxfId="979" priority="9858" stopIfTrue="1">
      <formula>$E1474=0</formula>
    </cfRule>
  </conditionalFormatting>
  <conditionalFormatting sqref="G1452:G1457">
    <cfRule type="expression" dxfId="978" priority="9877">
      <formula>$D1452&gt;1</formula>
    </cfRule>
    <cfRule type="expression" dxfId="977" priority="9878">
      <formula>$C1452="%IN"</formula>
    </cfRule>
    <cfRule type="expression" dxfId="976" priority="9879" stopIfTrue="1">
      <formula>$E1452=0</formula>
    </cfRule>
  </conditionalFormatting>
  <conditionalFormatting sqref="G1462:G1467">
    <cfRule type="expression" dxfId="975" priority="9880">
      <formula>$D1462&gt;1</formula>
    </cfRule>
    <cfRule type="expression" dxfId="974" priority="9881">
      <formula>$C1462="%IN"</formula>
    </cfRule>
    <cfRule type="expression" dxfId="973" priority="9882" stopIfTrue="1">
      <formula>$E1462=0</formula>
    </cfRule>
  </conditionalFormatting>
  <conditionalFormatting sqref="G1612:G1614">
    <cfRule type="expression" dxfId="972" priority="9883">
      <formula>$D1612&gt;1</formula>
    </cfRule>
    <cfRule type="expression" dxfId="971" priority="9884">
      <formula>$C1612="%IN"</formula>
    </cfRule>
    <cfRule type="expression" dxfId="970" priority="9885" stopIfTrue="1">
      <formula>$E1612=0</formula>
    </cfRule>
  </conditionalFormatting>
  <conditionalFormatting sqref="G1622:G1634">
    <cfRule type="expression" dxfId="969" priority="9886">
      <formula>$D1622&gt;1</formula>
    </cfRule>
    <cfRule type="expression" dxfId="968" priority="9887">
      <formula>$C1622="%IN"</formula>
    </cfRule>
    <cfRule type="expression" dxfId="967" priority="9888" stopIfTrue="1">
      <formula>$E1622=0</formula>
    </cfRule>
  </conditionalFormatting>
  <conditionalFormatting sqref="G1641:G1653">
    <cfRule type="expression" dxfId="966" priority="9889">
      <formula>$D1641&gt;1</formula>
    </cfRule>
    <cfRule type="expression" dxfId="965" priority="9890">
      <formula>$C1641="%IN"</formula>
    </cfRule>
    <cfRule type="expression" dxfId="964" priority="9891" stopIfTrue="1">
      <formula>$E1641=0</formula>
    </cfRule>
  </conditionalFormatting>
  <conditionalFormatting sqref="G1719:G1724">
    <cfRule type="expression" dxfId="963" priority="9898">
      <formula>$D1719&gt;1</formula>
    </cfRule>
    <cfRule type="expression" dxfId="962" priority="9899">
      <formula>$C1719="%IN"</formula>
    </cfRule>
    <cfRule type="expression" dxfId="961" priority="9900" stopIfTrue="1">
      <formula>$E1719=0</formula>
    </cfRule>
  </conditionalFormatting>
  <conditionalFormatting sqref="G1729:G1734">
    <cfRule type="expression" dxfId="960" priority="9901">
      <formula>$D1729&gt;1</formula>
    </cfRule>
    <cfRule type="expression" dxfId="959" priority="9902">
      <formula>$C1729="%IN"</formula>
    </cfRule>
    <cfRule type="expression" dxfId="958" priority="9903" stopIfTrue="1">
      <formula>$E1729=0</formula>
    </cfRule>
  </conditionalFormatting>
  <conditionalFormatting sqref="G1739:G1751">
    <cfRule type="expression" dxfId="957" priority="9904">
      <formula>$D1739&gt;1</formula>
    </cfRule>
    <cfRule type="expression" dxfId="956" priority="9905">
      <formula>$C1739="%IN"</formula>
    </cfRule>
    <cfRule type="expression" dxfId="955" priority="9906" stopIfTrue="1">
      <formula>$E1739=0</formula>
    </cfRule>
  </conditionalFormatting>
  <conditionalFormatting sqref="G1756:G1761">
    <cfRule type="expression" dxfId="954" priority="9907">
      <formula>$D1756&gt;1</formula>
    </cfRule>
    <cfRule type="expression" dxfId="953" priority="9908">
      <formula>$C1756="%IN"</formula>
    </cfRule>
    <cfRule type="expression" dxfId="952" priority="9909" stopIfTrue="1">
      <formula>$E1756=0</formula>
    </cfRule>
  </conditionalFormatting>
  <conditionalFormatting sqref="G1779:G1787">
    <cfRule type="expression" dxfId="951" priority="9910">
      <formula>$D1779&gt;1</formula>
    </cfRule>
    <cfRule type="expression" dxfId="950" priority="9911">
      <formula>$C1779="%IN"</formula>
    </cfRule>
    <cfRule type="expression" dxfId="949" priority="9912" stopIfTrue="1">
      <formula>$E1779=0</formula>
    </cfRule>
  </conditionalFormatting>
  <conditionalFormatting sqref="G1793:G1797">
    <cfRule type="expression" dxfId="948" priority="9913">
      <formula>$D1793&gt;1</formula>
    </cfRule>
    <cfRule type="expression" dxfId="947" priority="9914">
      <formula>$C1793="%IN"</formula>
    </cfRule>
    <cfRule type="expression" dxfId="946" priority="9915" stopIfTrue="1">
      <formula>$E1793=0</formula>
    </cfRule>
  </conditionalFormatting>
  <conditionalFormatting sqref="G1856:G1860">
    <cfRule type="expression" dxfId="945" priority="9916">
      <formula>$D1856&gt;1</formula>
    </cfRule>
    <cfRule type="expression" dxfId="944" priority="9917">
      <formula>$C1856="%IN"</formula>
    </cfRule>
    <cfRule type="expression" dxfId="943" priority="9918" stopIfTrue="1">
      <formula>$E1856=0</formula>
    </cfRule>
  </conditionalFormatting>
  <conditionalFormatting sqref="G1872:G1880">
    <cfRule type="expression" dxfId="942" priority="9919">
      <formula>$D1872&gt;1</formula>
    </cfRule>
    <cfRule type="expression" dxfId="941" priority="9920">
      <formula>$C1872="%IN"</formula>
    </cfRule>
    <cfRule type="expression" dxfId="940" priority="9921" stopIfTrue="1">
      <formula>$E1872=0</formula>
    </cfRule>
  </conditionalFormatting>
  <conditionalFormatting sqref="G1885:G1893">
    <cfRule type="expression" dxfId="939" priority="9922">
      <formula>$D1885&gt;1</formula>
    </cfRule>
    <cfRule type="expression" dxfId="938" priority="9923">
      <formula>$C1885="%IN"</formula>
    </cfRule>
    <cfRule type="expression" dxfId="937" priority="9924" stopIfTrue="1">
      <formula>$E1885=0</formula>
    </cfRule>
  </conditionalFormatting>
  <conditionalFormatting sqref="G1898:G1906">
    <cfRule type="expression" dxfId="936" priority="9925">
      <formula>$D1898&gt;1</formula>
    </cfRule>
    <cfRule type="expression" dxfId="935" priority="9926">
      <formula>$C1898="%IN"</formula>
    </cfRule>
    <cfRule type="expression" dxfId="934" priority="9927" stopIfTrue="1">
      <formula>$E1898=0</formula>
    </cfRule>
  </conditionalFormatting>
  <conditionalFormatting sqref="G1913:G1918">
    <cfRule type="expression" dxfId="933" priority="9928">
      <formula>$D1913&gt;1</formula>
    </cfRule>
    <cfRule type="expression" dxfId="932" priority="9929">
      <formula>$C1913="%IN"</formula>
    </cfRule>
    <cfRule type="expression" dxfId="931" priority="9930" stopIfTrue="1">
      <formula>$E1913=0</formula>
    </cfRule>
  </conditionalFormatting>
  <conditionalFormatting sqref="G1932:G1944">
    <cfRule type="expression" dxfId="930" priority="9931">
      <formula>$D1932&gt;1</formula>
    </cfRule>
    <cfRule type="expression" dxfId="929" priority="9932">
      <formula>$C1932="%IN"</formula>
    </cfRule>
    <cfRule type="expression" dxfId="928" priority="9933" stopIfTrue="1">
      <formula>$E1932=0</formula>
    </cfRule>
  </conditionalFormatting>
  <conditionalFormatting sqref="G1976:G1984">
    <cfRule type="expression" dxfId="927" priority="9937">
      <formula>$D1976&gt;1</formula>
    </cfRule>
    <cfRule type="expression" dxfId="926" priority="9938">
      <formula>$C1976="%IN"</formula>
    </cfRule>
    <cfRule type="expression" dxfId="925" priority="9939" stopIfTrue="1">
      <formula>$E1976=0</formula>
    </cfRule>
  </conditionalFormatting>
  <conditionalFormatting sqref="G1991:G1999">
    <cfRule type="expression" dxfId="924" priority="9940">
      <formula>$D1991&gt;1</formula>
    </cfRule>
    <cfRule type="expression" dxfId="923" priority="9941">
      <formula>$C1991="%IN"</formula>
    </cfRule>
    <cfRule type="expression" dxfId="922" priority="9942" stopIfTrue="1">
      <formula>$E1991=0</formula>
    </cfRule>
  </conditionalFormatting>
  <conditionalFormatting sqref="G2004:G2011">
    <cfRule type="expression" dxfId="921" priority="9943">
      <formula>$D2004&gt;1</formula>
    </cfRule>
    <cfRule type="expression" dxfId="920" priority="9944">
      <formula>$C2004="%IN"</formula>
    </cfRule>
    <cfRule type="expression" dxfId="919" priority="9945" stopIfTrue="1">
      <formula>$E2004=0</formula>
    </cfRule>
  </conditionalFormatting>
  <conditionalFormatting sqref="G2024:G2029">
    <cfRule type="expression" dxfId="918" priority="9946">
      <formula>$D2024&gt;1</formula>
    </cfRule>
    <cfRule type="expression" dxfId="917" priority="9947">
      <formula>$C2024="%IN"</formula>
    </cfRule>
    <cfRule type="expression" dxfId="916" priority="9948" stopIfTrue="1">
      <formula>$E2024=0</formula>
    </cfRule>
  </conditionalFormatting>
  <conditionalFormatting sqref="G2035:G2046">
    <cfRule type="expression" dxfId="915" priority="9949">
      <formula>$D2035&gt;1</formula>
    </cfRule>
    <cfRule type="expression" dxfId="914" priority="9950">
      <formula>$C2035="%IN"</formula>
    </cfRule>
    <cfRule type="expression" dxfId="913" priority="9951" stopIfTrue="1">
      <formula>$E2035=0</formula>
    </cfRule>
  </conditionalFormatting>
  <conditionalFormatting sqref="G2053:G2061">
    <cfRule type="expression" dxfId="912" priority="9952">
      <formula>$D2053&gt;1</formula>
    </cfRule>
    <cfRule type="expression" dxfId="911" priority="9953">
      <formula>$C2053="%IN"</formula>
    </cfRule>
    <cfRule type="expression" dxfId="910" priority="9954" stopIfTrue="1">
      <formula>$E2053=0</formula>
    </cfRule>
  </conditionalFormatting>
  <conditionalFormatting sqref="G2123:G2128">
    <cfRule type="expression" dxfId="909" priority="9967">
      <formula>$D2123&gt;1</formula>
    </cfRule>
    <cfRule type="expression" dxfId="908" priority="9968">
      <formula>$C2123="%IN"</formula>
    </cfRule>
    <cfRule type="expression" dxfId="907" priority="9969" stopIfTrue="1">
      <formula>$E2123=0</formula>
    </cfRule>
  </conditionalFormatting>
  <conditionalFormatting sqref="G2184:G2189">
    <cfRule type="expression" dxfId="906" priority="9970">
      <formula>$D2184&gt;1</formula>
    </cfRule>
    <cfRule type="expression" dxfId="905" priority="9971">
      <formula>$C2184="%IN"</formula>
    </cfRule>
    <cfRule type="expression" dxfId="904" priority="9972" stopIfTrue="1">
      <formula>$E2184=0</formula>
    </cfRule>
  </conditionalFormatting>
  <conditionalFormatting sqref="G2207:G2216">
    <cfRule type="expression" dxfId="903" priority="9973">
      <formula>$D2207&gt;1</formula>
    </cfRule>
    <cfRule type="expression" dxfId="902" priority="9974">
      <formula>$C2207="%IN"</formula>
    </cfRule>
    <cfRule type="expression" dxfId="901" priority="9975" stopIfTrue="1">
      <formula>$E2207=0</formula>
    </cfRule>
  </conditionalFormatting>
  <conditionalFormatting sqref="G2221:G2225">
    <cfRule type="expression" dxfId="900" priority="9976">
      <formula>$D2221&gt;1</formula>
    </cfRule>
    <cfRule type="expression" dxfId="899" priority="9977">
      <formula>$C2221="%IN"</formula>
    </cfRule>
    <cfRule type="expression" dxfId="898" priority="9978" stopIfTrue="1">
      <formula>$E2221=0</formula>
    </cfRule>
  </conditionalFormatting>
  <conditionalFormatting sqref="G2237:G2245">
    <cfRule type="expression" dxfId="897" priority="9979">
      <formula>$D2237&gt;1</formula>
    </cfRule>
    <cfRule type="expression" dxfId="896" priority="9980">
      <formula>$C2237="%IN"</formula>
    </cfRule>
    <cfRule type="expression" dxfId="895" priority="9981" stopIfTrue="1">
      <formula>$E2237=0</formula>
    </cfRule>
  </conditionalFormatting>
  <conditionalFormatting sqref="G2250:G2258">
    <cfRule type="expression" dxfId="894" priority="9982">
      <formula>$D2250&gt;1</formula>
    </cfRule>
    <cfRule type="expression" dxfId="893" priority="9983">
      <formula>$C2250="%IN"</formula>
    </cfRule>
    <cfRule type="expression" dxfId="892" priority="9984" stopIfTrue="1">
      <formula>$E2250=0</formula>
    </cfRule>
  </conditionalFormatting>
  <conditionalFormatting sqref="G2263:G2271">
    <cfRule type="expression" dxfId="891" priority="9985">
      <formula>$D2263&gt;1</formula>
    </cfRule>
    <cfRule type="expression" dxfId="890" priority="9986">
      <formula>$C2263="%IN"</formula>
    </cfRule>
    <cfRule type="expression" dxfId="889" priority="9987" stopIfTrue="1">
      <formula>$E2263=0</formula>
    </cfRule>
  </conditionalFormatting>
  <conditionalFormatting sqref="G2278:G2284">
    <cfRule type="expression" dxfId="888" priority="9988">
      <formula>$D2278&gt;1</formula>
    </cfRule>
    <cfRule type="expression" dxfId="887" priority="9989">
      <formula>$C2278="%IN"</formula>
    </cfRule>
    <cfRule type="expression" dxfId="886" priority="9990" stopIfTrue="1">
      <formula>$E2278=0</formula>
    </cfRule>
  </conditionalFormatting>
  <conditionalFormatting sqref="G2298:G2306">
    <cfRule type="expression" dxfId="885" priority="9991">
      <formula>$D2298&gt;1</formula>
    </cfRule>
    <cfRule type="expression" dxfId="884" priority="9992">
      <formula>$C2298="%IN"</formula>
    </cfRule>
    <cfRule type="expression" dxfId="883" priority="9993" stopIfTrue="1">
      <formula>$E2298=0</formula>
    </cfRule>
  </conditionalFormatting>
  <conditionalFormatting sqref="G2335:G2340">
    <cfRule type="expression" dxfId="882" priority="9994">
      <formula>$D2335&gt;1</formula>
    </cfRule>
    <cfRule type="expression" dxfId="881" priority="9995">
      <formula>$C2335="%IN"</formula>
    </cfRule>
    <cfRule type="expression" dxfId="880" priority="9996" stopIfTrue="1">
      <formula>$E2335=0</formula>
    </cfRule>
  </conditionalFormatting>
  <conditionalFormatting sqref="G2381:G2389">
    <cfRule type="expression" dxfId="879" priority="10000">
      <formula>$D2381&gt;1</formula>
    </cfRule>
    <cfRule type="expression" dxfId="878" priority="10001">
      <formula>$C2381="%IN"</formula>
    </cfRule>
    <cfRule type="expression" dxfId="877" priority="10002" stopIfTrue="1">
      <formula>$E2381=0</formula>
    </cfRule>
  </conditionalFormatting>
  <conditionalFormatting sqref="G2394:G2399">
    <cfRule type="expression" dxfId="876" priority="10003">
      <formula>$D2394&gt;1</formula>
    </cfRule>
    <cfRule type="expression" dxfId="875" priority="10004">
      <formula>$C2394="%IN"</formula>
    </cfRule>
    <cfRule type="expression" dxfId="874" priority="10005" stopIfTrue="1">
      <formula>$E2394=0</formula>
    </cfRule>
  </conditionalFormatting>
  <conditionalFormatting sqref="G2371:G2376">
    <cfRule type="expression" dxfId="873" priority="10006">
      <formula>$D2371&gt;1</formula>
    </cfRule>
    <cfRule type="expression" dxfId="872" priority="10007">
      <formula>$C2371="%IN"</formula>
    </cfRule>
    <cfRule type="expression" dxfId="871" priority="10008" stopIfTrue="1">
      <formula>$E2371=0</formula>
    </cfRule>
  </conditionalFormatting>
  <conditionalFormatting sqref="G2468:G2494">
    <cfRule type="expression" dxfId="870" priority="10009">
      <formula>$D2468&gt;1</formula>
    </cfRule>
    <cfRule type="expression" dxfId="869" priority="10010">
      <formula>$C2468="%IN"</formula>
    </cfRule>
    <cfRule type="expression" dxfId="868" priority="10011" stopIfTrue="1">
      <formula>$E2468=0</formula>
    </cfRule>
  </conditionalFormatting>
  <conditionalFormatting sqref="G2509:G2517">
    <cfRule type="expression" dxfId="867" priority="10012">
      <formula>$D2509&gt;1</formula>
    </cfRule>
    <cfRule type="expression" dxfId="866" priority="10013">
      <formula>$C2509="%IN"</formula>
    </cfRule>
    <cfRule type="expression" dxfId="865" priority="10014" stopIfTrue="1">
      <formula>$E2509=0</formula>
    </cfRule>
  </conditionalFormatting>
  <conditionalFormatting sqref="G2631:G2636">
    <cfRule type="expression" dxfId="864" priority="10015">
      <formula>$D2631&gt;1</formula>
    </cfRule>
    <cfRule type="expression" dxfId="863" priority="10016">
      <formula>$C2631="%IN"</formula>
    </cfRule>
    <cfRule type="expression" dxfId="862" priority="10017" stopIfTrue="1">
      <formula>$E2631=0</formula>
    </cfRule>
  </conditionalFormatting>
  <conditionalFormatting sqref="G2722:G2731">
    <cfRule type="expression" dxfId="861" priority="10018">
      <formula>$D2722&gt;1</formula>
    </cfRule>
    <cfRule type="expression" dxfId="860" priority="10019">
      <formula>$C2722="%IN"</formula>
    </cfRule>
    <cfRule type="expression" dxfId="859" priority="10020" stopIfTrue="1">
      <formula>$E2722=0</formula>
    </cfRule>
  </conditionalFormatting>
  <conditionalFormatting sqref="G2736:G2746">
    <cfRule type="expression" dxfId="858" priority="10021">
      <formula>$D2736&gt;1</formula>
    </cfRule>
    <cfRule type="expression" dxfId="857" priority="10022">
      <formula>$C2736="%IN"</formula>
    </cfRule>
    <cfRule type="expression" dxfId="856" priority="10023" stopIfTrue="1">
      <formula>$E2736=0</formula>
    </cfRule>
  </conditionalFormatting>
  <conditionalFormatting sqref="G2751:G2759">
    <cfRule type="expression" dxfId="855" priority="10024">
      <formula>$D2751&gt;1</formula>
    </cfRule>
    <cfRule type="expression" dxfId="854" priority="10025">
      <formula>$C2751="%IN"</formula>
    </cfRule>
    <cfRule type="expression" dxfId="853" priority="10026" stopIfTrue="1">
      <formula>$E2751=0</formula>
    </cfRule>
  </conditionalFormatting>
  <conditionalFormatting sqref="G2708:G2717">
    <cfRule type="expression" dxfId="852" priority="10027">
      <formula>$D2708&gt;1</formula>
    </cfRule>
    <cfRule type="expression" dxfId="851" priority="10028">
      <formula>$C2708="%IN"</formula>
    </cfRule>
    <cfRule type="expression" dxfId="850" priority="10029" stopIfTrue="1">
      <formula>$E2708=0</formula>
    </cfRule>
  </conditionalFormatting>
  <conditionalFormatting sqref="I920">
    <cfRule type="expression" dxfId="849" priority="151" stopIfTrue="1">
      <formula>$I920="适用"</formula>
    </cfRule>
    <cfRule type="expression" dxfId="848" priority="152" stopIfTrue="1">
      <formula>$I920="不适用"</formula>
    </cfRule>
  </conditionalFormatting>
  <conditionalFormatting sqref="Q920:Q921 Q923:Q932">
    <cfRule type="expression" dxfId="847" priority="150" stopIfTrue="1">
      <formula>$Q920="请输入"</formula>
    </cfRule>
  </conditionalFormatting>
  <conditionalFormatting sqref="G923:G931">
    <cfRule type="expression" dxfId="846" priority="10030">
      <formula>$D923&gt;1</formula>
    </cfRule>
    <cfRule type="expression" dxfId="845" priority="10031">
      <formula>$C923="%IN"</formula>
    </cfRule>
    <cfRule type="expression" dxfId="844" priority="10032" stopIfTrue="1">
      <formula>$E923=0</formula>
    </cfRule>
  </conditionalFormatting>
  <conditionalFormatting sqref="G2784:G2794">
    <cfRule type="expression" dxfId="843" priority="10036">
      <formula>$D2784&gt;1</formula>
    </cfRule>
    <cfRule type="expression" dxfId="842" priority="10037">
      <formula>$C2784="%IN"</formula>
    </cfRule>
    <cfRule type="expression" dxfId="841" priority="10038" stopIfTrue="1">
      <formula>$E2784=0</formula>
    </cfRule>
  </conditionalFormatting>
  <conditionalFormatting sqref="G2774:G2779">
    <cfRule type="expression" dxfId="840" priority="10039">
      <formula>$D2774&gt;1</formula>
    </cfRule>
    <cfRule type="expression" dxfId="839" priority="10040">
      <formula>$C2774="%IN"</formula>
    </cfRule>
    <cfRule type="expression" dxfId="838" priority="10041" stopIfTrue="1">
      <formula>$E2774=0</formula>
    </cfRule>
  </conditionalFormatting>
  <conditionalFormatting sqref="G2764:G2769">
    <cfRule type="expression" dxfId="837" priority="10042">
      <formula>$D2764&gt;1</formula>
    </cfRule>
    <cfRule type="expression" dxfId="836" priority="10043">
      <formula>$C2764="%IN"</formula>
    </cfRule>
    <cfRule type="expression" dxfId="835" priority="10044" stopIfTrue="1">
      <formula>$E2764=0</formula>
    </cfRule>
  </conditionalFormatting>
  <conditionalFormatting sqref="G2813:G2818">
    <cfRule type="expression" dxfId="834" priority="10045">
      <formula>$D2813&gt;1</formula>
    </cfRule>
    <cfRule type="expression" dxfId="833" priority="10046">
      <formula>$C2813="%IN"</formula>
    </cfRule>
    <cfRule type="expression" dxfId="832" priority="10047" stopIfTrue="1">
      <formula>$E2813=0</formula>
    </cfRule>
  </conditionalFormatting>
  <conditionalFormatting sqref="G2850:G2860">
    <cfRule type="expression" dxfId="831" priority="10048">
      <formula>$D2850&gt;1</formula>
    </cfRule>
    <cfRule type="expression" dxfId="830" priority="10049">
      <formula>$C2850="%IN"</formula>
    </cfRule>
    <cfRule type="expression" dxfId="829" priority="10050" stopIfTrue="1">
      <formula>$E2850=0</formula>
    </cfRule>
  </conditionalFormatting>
  <conditionalFormatting sqref="G2865:G2875">
    <cfRule type="expression" dxfId="828" priority="10051">
      <formula>$D2865&gt;1</formula>
    </cfRule>
    <cfRule type="expression" dxfId="827" priority="10052">
      <formula>$C2865="%IN"</formula>
    </cfRule>
    <cfRule type="expression" dxfId="826" priority="10053" stopIfTrue="1">
      <formula>$E2865=0</formula>
    </cfRule>
  </conditionalFormatting>
  <conditionalFormatting sqref="G2880:G2888">
    <cfRule type="expression" dxfId="825" priority="10054">
      <formula>$D2880&gt;1</formula>
    </cfRule>
    <cfRule type="expression" dxfId="824" priority="10055">
      <formula>$C2880="%IN"</formula>
    </cfRule>
    <cfRule type="expression" dxfId="823" priority="10056" stopIfTrue="1">
      <formula>$E2880=0</formula>
    </cfRule>
  </conditionalFormatting>
  <conditionalFormatting sqref="G2900:G2905">
    <cfRule type="expression" dxfId="822" priority="10057">
      <formula>$D2900&gt;1</formula>
    </cfRule>
    <cfRule type="expression" dxfId="821" priority="10058">
      <formula>$C2900="%IN"</formula>
    </cfRule>
    <cfRule type="expression" dxfId="820" priority="10059" stopIfTrue="1">
      <formula>$E2900=0</formula>
    </cfRule>
  </conditionalFormatting>
  <conditionalFormatting sqref="G3116:G3124">
    <cfRule type="expression" dxfId="819" priority="10060">
      <formula>$D3116&gt;1</formula>
    </cfRule>
    <cfRule type="expression" dxfId="818" priority="10061">
      <formula>$C3116="%IN"</formula>
    </cfRule>
    <cfRule type="expression" dxfId="817" priority="10062" stopIfTrue="1">
      <formula>$E3116=0</formula>
    </cfRule>
  </conditionalFormatting>
  <conditionalFormatting sqref="G3129:G3134">
    <cfRule type="expression" dxfId="816" priority="10063">
      <formula>$D3129&gt;1</formula>
    </cfRule>
    <cfRule type="expression" dxfId="815" priority="10064">
      <formula>$C3129="%IN"</formula>
    </cfRule>
    <cfRule type="expression" dxfId="814" priority="10065" stopIfTrue="1">
      <formula>$E3129=0</formula>
    </cfRule>
  </conditionalFormatting>
  <conditionalFormatting sqref="G3165:G3172">
    <cfRule type="expression" dxfId="813" priority="10073">
      <formula>$D3165&gt;1</formula>
    </cfRule>
    <cfRule type="expression" dxfId="812" priority="10074">
      <formula>$C3165="%IN"</formula>
    </cfRule>
    <cfRule type="expression" dxfId="811" priority="10075" stopIfTrue="1">
      <formula>$E3165=0</formula>
    </cfRule>
  </conditionalFormatting>
  <conditionalFormatting sqref="L3136">
    <cfRule type="expression" dxfId="810" priority="10076" stopIfTrue="1">
      <formula>OR($L$3136="F/S",$L$3136="")</formula>
    </cfRule>
    <cfRule type="cellIs" dxfId="809" priority="10077" stopIfTrue="1" operator="notEqual">
      <formula>0</formula>
    </cfRule>
  </conditionalFormatting>
  <conditionalFormatting sqref="O3136:O3148">
    <cfRule type="expression" dxfId="808" priority="10078" stopIfTrue="1">
      <formula>OR($O$3136="F/S",$O$3136="")</formula>
    </cfRule>
    <cfRule type="cellIs" dxfId="807" priority="10079" stopIfTrue="1" operator="notEqual">
      <formula>0</formula>
    </cfRule>
  </conditionalFormatting>
  <conditionalFormatting sqref="I3136">
    <cfRule type="expression" dxfId="806" priority="137" stopIfTrue="1">
      <formula>$I3136="适用"</formula>
    </cfRule>
    <cfRule type="expression" dxfId="805" priority="138" stopIfTrue="1">
      <formula>$I3136="不适用"</formula>
    </cfRule>
  </conditionalFormatting>
  <conditionalFormatting sqref="Q3136:Q3161">
    <cfRule type="expression" dxfId="804" priority="136" stopIfTrue="1">
      <formula>$Q3136="请输入"</formula>
    </cfRule>
  </conditionalFormatting>
  <conditionalFormatting sqref="L3149">
    <cfRule type="expression" dxfId="803" priority="10083" stopIfTrue="1">
      <formula>OR($L$3149="F/S",$L$3149="")</formula>
    </cfRule>
    <cfRule type="cellIs" dxfId="802" priority="10084" stopIfTrue="1" operator="notEqual">
      <formula>0</formula>
    </cfRule>
  </conditionalFormatting>
  <conditionalFormatting sqref="O3149">
    <cfRule type="expression" dxfId="801" priority="10085" stopIfTrue="1">
      <formula>OR($O$3149="F/S",$O$3149="")</formula>
    </cfRule>
    <cfRule type="cellIs" dxfId="800" priority="10086" stopIfTrue="1" operator="notEqual">
      <formula>0</formula>
    </cfRule>
  </conditionalFormatting>
  <conditionalFormatting sqref="I3149">
    <cfRule type="expression" dxfId="799" priority="130" stopIfTrue="1">
      <formula>$I3149="适用"</formula>
    </cfRule>
    <cfRule type="expression" dxfId="798" priority="131" stopIfTrue="1">
      <formula>$I3149="不适用"</formula>
    </cfRule>
  </conditionalFormatting>
  <conditionalFormatting sqref="Q3149:Q3161">
    <cfRule type="expression" dxfId="797" priority="129" stopIfTrue="1">
      <formula>$Q3149="请输入"</formula>
    </cfRule>
  </conditionalFormatting>
  <conditionalFormatting sqref="G3139:G3147">
    <cfRule type="expression" dxfId="796" priority="10090">
      <formula>$D3139&gt;1</formula>
    </cfRule>
    <cfRule type="expression" dxfId="795" priority="10091">
      <formula>$C3139="%IN"</formula>
    </cfRule>
    <cfRule type="expression" dxfId="794" priority="10092" stopIfTrue="1">
      <formula>$E3139=0</formula>
    </cfRule>
  </conditionalFormatting>
  <conditionalFormatting sqref="G3152:G3160">
    <cfRule type="expression" dxfId="793" priority="10093">
      <formula>$D3152&gt;1</formula>
    </cfRule>
    <cfRule type="expression" dxfId="792" priority="10094">
      <formula>$C3152="%IN"</formula>
    </cfRule>
    <cfRule type="expression" dxfId="791" priority="10095" stopIfTrue="1">
      <formula>$E3152=0</formula>
    </cfRule>
  </conditionalFormatting>
  <conditionalFormatting sqref="G3193:G3198">
    <cfRule type="expression" dxfId="790" priority="10096">
      <formula>$D3193&gt;1</formula>
    </cfRule>
    <cfRule type="expression" dxfId="789" priority="10097">
      <formula>$C3193="%IN"</formula>
    </cfRule>
    <cfRule type="expression" dxfId="788" priority="10098" stopIfTrue="1">
      <formula>$E3193=0</formula>
    </cfRule>
  </conditionalFormatting>
  <conditionalFormatting sqref="G3205:G3210">
    <cfRule type="expression" dxfId="787" priority="10099">
      <formula>$D3205&gt;1</formula>
    </cfRule>
    <cfRule type="expression" dxfId="786" priority="10100">
      <formula>$C3205="%IN"</formula>
    </cfRule>
    <cfRule type="expression" dxfId="785" priority="10101" stopIfTrue="1">
      <formula>$E3205=0</formula>
    </cfRule>
  </conditionalFormatting>
  <conditionalFormatting sqref="G3289:G3296">
    <cfRule type="expression" dxfId="784" priority="10102">
      <formula>$D3289&gt;1</formula>
    </cfRule>
    <cfRule type="expression" dxfId="783" priority="10103">
      <formula>$C3289="%IN"</formula>
    </cfRule>
    <cfRule type="expression" dxfId="782" priority="10104" stopIfTrue="1">
      <formula>$E3289=0</formula>
    </cfRule>
  </conditionalFormatting>
  <conditionalFormatting sqref="G3245:G3254">
    <cfRule type="expression" dxfId="781" priority="10105">
      <formula>$D3245&gt;1</formula>
    </cfRule>
    <cfRule type="expression" dxfId="780" priority="10106">
      <formula>$C3245="%IN"</formula>
    </cfRule>
    <cfRule type="expression" dxfId="779" priority="10107" stopIfTrue="1">
      <formula>$E3245=0</formula>
    </cfRule>
  </conditionalFormatting>
  <conditionalFormatting sqref="G3261:G3267">
    <cfRule type="expression" dxfId="778" priority="10108">
      <formula>$D3261&gt;1</formula>
    </cfRule>
    <cfRule type="expression" dxfId="777" priority="10109">
      <formula>$C3261="%IN"</formula>
    </cfRule>
    <cfRule type="expression" dxfId="776" priority="10110" stopIfTrue="1">
      <formula>$E3261=0</formula>
    </cfRule>
  </conditionalFormatting>
  <conditionalFormatting sqref="G3272:G3274">
    <cfRule type="expression" dxfId="775" priority="10111">
      <formula>$D3272&gt;1</formula>
    </cfRule>
    <cfRule type="expression" dxfId="774" priority="10112">
      <formula>$C3272="%IN"</formula>
    </cfRule>
    <cfRule type="expression" dxfId="773" priority="10113" stopIfTrue="1">
      <formula>$E3272=0</formula>
    </cfRule>
  </conditionalFormatting>
  <conditionalFormatting sqref="G3279:G3284">
    <cfRule type="expression" dxfId="772" priority="10114">
      <formula>$D3279&gt;1</formula>
    </cfRule>
    <cfRule type="expression" dxfId="771" priority="10115">
      <formula>$C3279="%IN"</formula>
    </cfRule>
    <cfRule type="expression" dxfId="770" priority="10116" stopIfTrue="1">
      <formula>$E3279=0</formula>
    </cfRule>
  </conditionalFormatting>
  <conditionalFormatting sqref="G3332:G3337">
    <cfRule type="expression" dxfId="769" priority="10117">
      <formula>$D3332&gt;1</formula>
    </cfRule>
    <cfRule type="expression" dxfId="768" priority="10118">
      <formula>$C3332="%IN"</formula>
    </cfRule>
    <cfRule type="expression" dxfId="767" priority="10119" stopIfTrue="1">
      <formula>$E3332=0</formula>
    </cfRule>
  </conditionalFormatting>
  <conditionalFormatting sqref="G3342:G3347">
    <cfRule type="expression" dxfId="766" priority="10120">
      <formula>$D3342&gt;1</formula>
    </cfRule>
    <cfRule type="expression" dxfId="765" priority="10121">
      <formula>$C3342="%IN"</formula>
    </cfRule>
    <cfRule type="expression" dxfId="764" priority="10122" stopIfTrue="1">
      <formula>$E3342=0</formula>
    </cfRule>
  </conditionalFormatting>
  <conditionalFormatting sqref="G3352:G3357">
    <cfRule type="expression" dxfId="763" priority="10123">
      <formula>$D3352&gt;1</formula>
    </cfRule>
    <cfRule type="expression" dxfId="762" priority="10124">
      <formula>$C3352="%IN"</formula>
    </cfRule>
    <cfRule type="expression" dxfId="761" priority="10125" stopIfTrue="1">
      <formula>$E3352=0</formula>
    </cfRule>
  </conditionalFormatting>
  <conditionalFormatting sqref="G3446:G3452">
    <cfRule type="expression" dxfId="760" priority="10126">
      <formula>$D3446&gt;1</formula>
    </cfRule>
    <cfRule type="expression" dxfId="759" priority="10127">
      <formula>$C3446="%IN"</formula>
    </cfRule>
    <cfRule type="expression" dxfId="758" priority="10128" stopIfTrue="1">
      <formula>$E3446=0</formula>
    </cfRule>
  </conditionalFormatting>
  <conditionalFormatting sqref="G3474:G3479">
    <cfRule type="expression" dxfId="757" priority="10129">
      <formula>$D3474&gt;1</formula>
    </cfRule>
    <cfRule type="expression" dxfId="756" priority="10130">
      <formula>$C3474="%IN"</formula>
    </cfRule>
    <cfRule type="expression" dxfId="755" priority="10131" stopIfTrue="1">
      <formula>$E3474=0</formula>
    </cfRule>
  </conditionalFormatting>
  <conditionalFormatting sqref="G3504:G3509">
    <cfRule type="expression" dxfId="754" priority="10132">
      <formula>$D3504&gt;1</formula>
    </cfRule>
    <cfRule type="expression" dxfId="753" priority="10133">
      <formula>$C3504="%IN"</formula>
    </cfRule>
    <cfRule type="expression" dxfId="752" priority="10134" stopIfTrue="1">
      <formula>$E3504=0</formula>
    </cfRule>
  </conditionalFormatting>
  <conditionalFormatting sqref="G3571:G3576">
    <cfRule type="expression" dxfId="751" priority="10135">
      <formula>$D3571&gt;1</formula>
    </cfRule>
    <cfRule type="expression" dxfId="750" priority="10136">
      <formula>$C3571="%IN"</formula>
    </cfRule>
    <cfRule type="expression" dxfId="749" priority="10137" stopIfTrue="1">
      <formula>$E3571=0</formula>
    </cfRule>
  </conditionalFormatting>
  <conditionalFormatting sqref="G3581:G3586">
    <cfRule type="expression" dxfId="748" priority="10138">
      <formula>$D3581&gt;1</formula>
    </cfRule>
    <cfRule type="expression" dxfId="747" priority="10139">
      <formula>$C3581="%IN"</formula>
    </cfRule>
    <cfRule type="expression" dxfId="746" priority="10140" stopIfTrue="1">
      <formula>$E3581=0</formula>
    </cfRule>
  </conditionalFormatting>
  <conditionalFormatting sqref="G3621:G3626">
    <cfRule type="expression" dxfId="745" priority="10141">
      <formula>$D3621&gt;1</formula>
    </cfRule>
    <cfRule type="expression" dxfId="744" priority="10142">
      <formula>$C3621="%IN"</formula>
    </cfRule>
    <cfRule type="expression" dxfId="743" priority="10143" stopIfTrue="1">
      <formula>$E3621=0</formula>
    </cfRule>
  </conditionalFormatting>
  <conditionalFormatting sqref="G3631:G3648">
    <cfRule type="expression" dxfId="742" priority="10144">
      <formula>$D3631&gt;1</formula>
    </cfRule>
    <cfRule type="expression" dxfId="741" priority="10145">
      <formula>$C3631="%IN"</formula>
    </cfRule>
    <cfRule type="expression" dxfId="740" priority="10146" stopIfTrue="1">
      <formula>$E3631=0</formula>
    </cfRule>
  </conditionalFormatting>
  <conditionalFormatting sqref="G3684:G3711">
    <cfRule type="expression" dxfId="739" priority="10150">
      <formula>$D3684&gt;1</formula>
    </cfRule>
    <cfRule type="expression" dxfId="738" priority="10151">
      <formula>$C3684="%IN"</formula>
    </cfRule>
    <cfRule type="expression" dxfId="737" priority="10152" stopIfTrue="1">
      <formula>$E3684=0</formula>
    </cfRule>
  </conditionalFormatting>
  <conditionalFormatting sqref="G3793:G3798">
    <cfRule type="expression" dxfId="736" priority="10153">
      <formula>$D3793&gt;1</formula>
    </cfRule>
    <cfRule type="expression" dxfId="735" priority="10154">
      <formula>$C3793="%IN"</formula>
    </cfRule>
    <cfRule type="expression" dxfId="734" priority="10155" stopIfTrue="1">
      <formula>$E3793=0</formula>
    </cfRule>
  </conditionalFormatting>
  <conditionalFormatting sqref="G3832:G3837">
    <cfRule type="expression" dxfId="733" priority="10156">
      <formula>$D3832&gt;1</formula>
    </cfRule>
    <cfRule type="expression" dxfId="732" priority="10157">
      <formula>$C3832="%IN"</formula>
    </cfRule>
    <cfRule type="expression" dxfId="731" priority="10158" stopIfTrue="1">
      <formula>$E3832=0</formula>
    </cfRule>
  </conditionalFormatting>
  <conditionalFormatting sqref="G3859:G3864">
    <cfRule type="expression" dxfId="730" priority="10159">
      <formula>$D3859&gt;1</formula>
    </cfRule>
    <cfRule type="expression" dxfId="729" priority="10160">
      <formula>$C3859="%IN"</formula>
    </cfRule>
    <cfRule type="expression" dxfId="728" priority="10161" stopIfTrue="1">
      <formula>$E3859=0</formula>
    </cfRule>
  </conditionalFormatting>
  <conditionalFormatting sqref="G3869:G3874">
    <cfRule type="expression" dxfId="727" priority="10162">
      <formula>$D3869&gt;1</formula>
    </cfRule>
    <cfRule type="expression" dxfId="726" priority="10163">
      <formula>$C3869="%IN"</formula>
    </cfRule>
    <cfRule type="expression" dxfId="725" priority="10164" stopIfTrue="1">
      <formula>$E3869=0</formula>
    </cfRule>
  </conditionalFormatting>
  <conditionalFormatting sqref="G3930:G3935">
    <cfRule type="expression" dxfId="724" priority="10165">
      <formula>$D3930&gt;1</formula>
    </cfRule>
    <cfRule type="expression" dxfId="723" priority="10166">
      <formula>$C3930="%IN"</formula>
    </cfRule>
    <cfRule type="expression" dxfId="722" priority="10167" stopIfTrue="1">
      <formula>$E3930=0</formula>
    </cfRule>
  </conditionalFormatting>
  <conditionalFormatting sqref="G3940:G3945">
    <cfRule type="expression" dxfId="721" priority="10168">
      <formula>$D3940&gt;1</formula>
    </cfRule>
    <cfRule type="expression" dxfId="720" priority="10169">
      <formula>$C3940="%IN"</formula>
    </cfRule>
    <cfRule type="expression" dxfId="719" priority="10170" stopIfTrue="1">
      <formula>$E3940=0</formula>
    </cfRule>
  </conditionalFormatting>
  <conditionalFormatting sqref="G3950:G3955">
    <cfRule type="expression" dxfId="718" priority="10171">
      <formula>$D3950&gt;1</formula>
    </cfRule>
    <cfRule type="expression" dxfId="717" priority="10172">
      <formula>$C3950="%IN"</formula>
    </cfRule>
    <cfRule type="expression" dxfId="716" priority="10173" stopIfTrue="1">
      <formula>$E3950=0</formula>
    </cfRule>
  </conditionalFormatting>
  <conditionalFormatting sqref="G3960:G3965">
    <cfRule type="expression" dxfId="715" priority="10174">
      <formula>$D3960&gt;1</formula>
    </cfRule>
    <cfRule type="expression" dxfId="714" priority="10175">
      <formula>$C3960="%IN"</formula>
    </cfRule>
    <cfRule type="expression" dxfId="713" priority="10176" stopIfTrue="1">
      <formula>$E3960=0</formula>
    </cfRule>
  </conditionalFormatting>
  <conditionalFormatting sqref="G4000:G4008">
    <cfRule type="expression" dxfId="712" priority="10177">
      <formula>$D4000&gt;1</formula>
    </cfRule>
    <cfRule type="expression" dxfId="711" priority="10178">
      <formula>$C4000="%IN"</formula>
    </cfRule>
    <cfRule type="expression" dxfId="710" priority="10179" stopIfTrue="1">
      <formula>$E4000=0</formula>
    </cfRule>
  </conditionalFormatting>
  <conditionalFormatting sqref="G4013:G4018">
    <cfRule type="expression" dxfId="709" priority="10180">
      <formula>$D4013&gt;1</formula>
    </cfRule>
    <cfRule type="expression" dxfId="708" priority="10181">
      <formula>$C4013="%IN"</formula>
    </cfRule>
    <cfRule type="expression" dxfId="707" priority="10182" stopIfTrue="1">
      <formula>$E4013=0</formula>
    </cfRule>
  </conditionalFormatting>
  <conditionalFormatting sqref="G4023:G4028">
    <cfRule type="expression" dxfId="706" priority="10183">
      <formula>$D4023&gt;1</formula>
    </cfRule>
    <cfRule type="expression" dxfId="705" priority="10184">
      <formula>$C4023="%IN"</formula>
    </cfRule>
    <cfRule type="expression" dxfId="704" priority="10185" stopIfTrue="1">
      <formula>$E4023=0</formula>
    </cfRule>
  </conditionalFormatting>
  <conditionalFormatting sqref="G4033:G4038">
    <cfRule type="expression" dxfId="703" priority="10186">
      <formula>$D4033&gt;1</formula>
    </cfRule>
    <cfRule type="expression" dxfId="702" priority="10187">
      <formula>$C4033="%IN"</formula>
    </cfRule>
    <cfRule type="expression" dxfId="701" priority="10188" stopIfTrue="1">
      <formula>$E4033=0</formula>
    </cfRule>
  </conditionalFormatting>
  <conditionalFormatting sqref="G4077:G4082">
    <cfRule type="expression" dxfId="700" priority="10189">
      <formula>$D4077&gt;1</formula>
    </cfRule>
    <cfRule type="expression" dxfId="699" priority="10190">
      <formula>$C4077="%IN"</formula>
    </cfRule>
    <cfRule type="expression" dxfId="698" priority="10191" stopIfTrue="1">
      <formula>$E4077=0</formula>
    </cfRule>
  </conditionalFormatting>
  <conditionalFormatting sqref="G4121:G4127">
    <cfRule type="expression" dxfId="697" priority="10192">
      <formula>$D4121&gt;1</formula>
    </cfRule>
    <cfRule type="expression" dxfId="696" priority="10193">
      <formula>$C4121="%IN"</formula>
    </cfRule>
    <cfRule type="expression" dxfId="695" priority="10194" stopIfTrue="1">
      <formula>$E4121=0</formula>
    </cfRule>
  </conditionalFormatting>
  <conditionalFormatting sqref="G4150:G4155">
    <cfRule type="expression" dxfId="694" priority="10195">
      <formula>$D4150&gt;1</formula>
    </cfRule>
    <cfRule type="expression" dxfId="693" priority="10196">
      <formula>$C4150="%IN"</formula>
    </cfRule>
    <cfRule type="expression" dxfId="692" priority="10197" stopIfTrue="1">
      <formula>$E4150=0</formula>
    </cfRule>
  </conditionalFormatting>
  <conditionalFormatting sqref="G4171:G4176">
    <cfRule type="expression" dxfId="691" priority="10198">
      <formula>$D4171&gt;1</formula>
    </cfRule>
    <cfRule type="expression" dxfId="690" priority="10199">
      <formula>$C4171="%IN"</formula>
    </cfRule>
    <cfRule type="expression" dxfId="689" priority="10200" stopIfTrue="1">
      <formula>$E4171=0</formula>
    </cfRule>
  </conditionalFormatting>
  <conditionalFormatting sqref="G4225:G4231">
    <cfRule type="expression" dxfId="688" priority="10210">
      <formula>$D4225&gt;1</formula>
    </cfRule>
    <cfRule type="expression" dxfId="687" priority="10211">
      <formula>$C4225="%IN"</formula>
    </cfRule>
    <cfRule type="expression" dxfId="686" priority="10212" stopIfTrue="1">
      <formula>$E4225=0</formula>
    </cfRule>
  </conditionalFormatting>
  <conditionalFormatting sqref="G4238:G4244">
    <cfRule type="expression" dxfId="685" priority="10213">
      <formula>$D4238&gt;1</formula>
    </cfRule>
    <cfRule type="expression" dxfId="684" priority="10214">
      <formula>$C4238="%IN"</formula>
    </cfRule>
    <cfRule type="expression" dxfId="683" priority="10215" stopIfTrue="1">
      <formula>$E4238=0</formula>
    </cfRule>
  </conditionalFormatting>
  <conditionalFormatting sqref="G4181:G4196">
    <cfRule type="expression" dxfId="682" priority="10219">
      <formula>$D4181&gt;1</formula>
    </cfRule>
    <cfRule type="expression" dxfId="681" priority="10220">
      <formula>$C4181="%IN"</formula>
    </cfRule>
    <cfRule type="expression" dxfId="680" priority="10221" stopIfTrue="1">
      <formula>$E4181=0</formula>
    </cfRule>
  </conditionalFormatting>
  <conditionalFormatting sqref="G4201:G4211">
    <cfRule type="expression" dxfId="679" priority="10222">
      <formula>$D4201&gt;1</formula>
    </cfRule>
    <cfRule type="expression" dxfId="678" priority="10223">
      <formula>$C4201="%IN"</formula>
    </cfRule>
    <cfRule type="expression" dxfId="677" priority="10224" stopIfTrue="1">
      <formula>$E4201=0</formula>
    </cfRule>
  </conditionalFormatting>
  <conditionalFormatting sqref="G4216:G4220">
    <cfRule type="expression" dxfId="676" priority="10225">
      <formula>$D4216&gt;1</formula>
    </cfRule>
    <cfRule type="expression" dxfId="675" priority="10226">
      <formula>$C4216="%IN"</formula>
    </cfRule>
    <cfRule type="expression" dxfId="674" priority="10227" stopIfTrue="1">
      <formula>$E4216=0</formula>
    </cfRule>
  </conditionalFormatting>
  <conditionalFormatting sqref="G4264:G4267">
    <cfRule type="expression" dxfId="673" priority="10228">
      <formula>$D4264&gt;1</formula>
    </cfRule>
    <cfRule type="expression" dxfId="672" priority="10229">
      <formula>$C4264="%IN"</formula>
    </cfRule>
    <cfRule type="expression" dxfId="671" priority="10230" stopIfTrue="1">
      <formula>$E4264=0</formula>
    </cfRule>
  </conditionalFormatting>
  <conditionalFormatting sqref="G4290:G4295">
    <cfRule type="expression" dxfId="670" priority="10234">
      <formula>$D4290&gt;1</formula>
    </cfRule>
    <cfRule type="expression" dxfId="669" priority="10235">
      <formula>$C4290="%IN"</formula>
    </cfRule>
    <cfRule type="expression" dxfId="668" priority="10236" stopIfTrue="1">
      <formula>$E4290=0</formula>
    </cfRule>
  </conditionalFormatting>
  <conditionalFormatting sqref="G4300:G4305">
    <cfRule type="expression" dxfId="667" priority="10237">
      <formula>$D4300&gt;1</formula>
    </cfRule>
    <cfRule type="expression" dxfId="666" priority="10238">
      <formula>$C4300="%IN"</formula>
    </cfRule>
    <cfRule type="expression" dxfId="665" priority="10239" stopIfTrue="1">
      <formula>$E4300=0</formula>
    </cfRule>
  </conditionalFormatting>
  <conditionalFormatting sqref="G4322:G4327">
    <cfRule type="expression" dxfId="664" priority="10240">
      <formula>$D4322&gt;1</formula>
    </cfRule>
    <cfRule type="expression" dxfId="663" priority="10241">
      <formula>$C4322="%IN"</formula>
    </cfRule>
    <cfRule type="expression" dxfId="662" priority="10242" stopIfTrue="1">
      <formula>$E4322=0</formula>
    </cfRule>
  </conditionalFormatting>
  <conditionalFormatting sqref="G4333:G4338">
    <cfRule type="expression" dxfId="661" priority="10243">
      <formula>$D4333&gt;1</formula>
    </cfRule>
    <cfRule type="expression" dxfId="660" priority="10244">
      <formula>$C4333="%IN"</formula>
    </cfRule>
    <cfRule type="expression" dxfId="659" priority="10245" stopIfTrue="1">
      <formula>$E4333=0</formula>
    </cfRule>
  </conditionalFormatting>
  <conditionalFormatting sqref="G4345:G4348">
    <cfRule type="expression" dxfId="658" priority="10246">
      <formula>$D4345&gt;1</formula>
    </cfRule>
    <cfRule type="expression" dxfId="657" priority="10247">
      <formula>$C4345="%IN"</formula>
    </cfRule>
    <cfRule type="expression" dxfId="656" priority="10248" stopIfTrue="1">
      <formula>$E4345=0</formula>
    </cfRule>
  </conditionalFormatting>
  <conditionalFormatting sqref="G4363:G4364">
    <cfRule type="expression" dxfId="655" priority="10252">
      <formula>$D4363&gt;1</formula>
    </cfRule>
    <cfRule type="expression" dxfId="654" priority="10253">
      <formula>$C4363="%IN"</formula>
    </cfRule>
    <cfRule type="expression" dxfId="653" priority="10254" stopIfTrue="1">
      <formula>$E4363=0</formula>
    </cfRule>
  </conditionalFormatting>
  <conditionalFormatting sqref="G4397:G4410">
    <cfRule type="expression" dxfId="652" priority="10255">
      <formula>$D4397&gt;1</formula>
    </cfRule>
    <cfRule type="expression" dxfId="651" priority="10256">
      <formula>$C4397="%IN"</formula>
    </cfRule>
    <cfRule type="expression" dxfId="650" priority="10257" stopIfTrue="1">
      <formula>$E4397=0</formula>
    </cfRule>
  </conditionalFormatting>
  <conditionalFormatting sqref="G4416:G4421">
    <cfRule type="expression" dxfId="649" priority="10258">
      <formula>$D4416&gt;1</formula>
    </cfRule>
    <cfRule type="expression" dxfId="648" priority="10259">
      <formula>$C4416="%IN"</formula>
    </cfRule>
    <cfRule type="expression" dxfId="647" priority="10260" stopIfTrue="1">
      <formula>$E4416=0</formula>
    </cfRule>
  </conditionalFormatting>
  <conditionalFormatting sqref="G4440:G4446">
    <cfRule type="expression" dxfId="646" priority="10261">
      <formula>$D4440&gt;1</formula>
    </cfRule>
    <cfRule type="expression" dxfId="645" priority="10262">
      <formula>$C4440="%IN"</formula>
    </cfRule>
    <cfRule type="expression" dxfId="644" priority="10263" stopIfTrue="1">
      <formula>$E4440=0</formula>
    </cfRule>
  </conditionalFormatting>
  <conditionalFormatting sqref="G4477:G4483">
    <cfRule type="expression" dxfId="643" priority="10264">
      <formula>$D4477&gt;1</formula>
    </cfRule>
    <cfRule type="expression" dxfId="642" priority="10265">
      <formula>$C4477="%IN"</formula>
    </cfRule>
    <cfRule type="expression" dxfId="641" priority="10266" stopIfTrue="1">
      <formula>$E4477=0</formula>
    </cfRule>
  </conditionalFormatting>
  <conditionalFormatting sqref="G4493:G4496">
    <cfRule type="expression" dxfId="640" priority="10267">
      <formula>$D4493&gt;1</formula>
    </cfRule>
    <cfRule type="expression" dxfId="639" priority="10268">
      <formula>$C4493="%IN"</formula>
    </cfRule>
    <cfRule type="expression" dxfId="638" priority="10269" stopIfTrue="1">
      <formula>$E4493=0</formula>
    </cfRule>
  </conditionalFormatting>
  <conditionalFormatting sqref="G4501:G4505">
    <cfRule type="expression" dxfId="637" priority="10270">
      <formula>$D4501&gt;1</formula>
    </cfRule>
    <cfRule type="expression" dxfId="636" priority="10271">
      <formula>$C4501="%IN"</formula>
    </cfRule>
    <cfRule type="expression" dxfId="635" priority="10272" stopIfTrue="1">
      <formula>$E4501=0</formula>
    </cfRule>
  </conditionalFormatting>
  <conditionalFormatting sqref="G4510:G4514">
    <cfRule type="expression" dxfId="634" priority="10273">
      <formula>$D4510&gt;1</formula>
    </cfRule>
    <cfRule type="expression" dxfId="633" priority="10274">
      <formula>$C4510="%IN"</formula>
    </cfRule>
    <cfRule type="expression" dxfId="632" priority="10275" stopIfTrue="1">
      <formula>$E4510=0</formula>
    </cfRule>
  </conditionalFormatting>
  <conditionalFormatting sqref="G4521:G4531">
    <cfRule type="expression" dxfId="631" priority="10276">
      <formula>$D4521&gt;1</formula>
    </cfRule>
    <cfRule type="expression" dxfId="630" priority="10277">
      <formula>$C4521="%IN"</formula>
    </cfRule>
    <cfRule type="expression" dxfId="629" priority="10278" stopIfTrue="1">
      <formula>$E4521=0</formula>
    </cfRule>
  </conditionalFormatting>
  <conditionalFormatting sqref="G4545:G4554">
    <cfRule type="expression" dxfId="628" priority="10279">
      <formula>$D4545&gt;1</formula>
    </cfRule>
    <cfRule type="expression" dxfId="627" priority="10280">
      <formula>$C4545="%IN"</formula>
    </cfRule>
    <cfRule type="expression" dxfId="626" priority="10281" stopIfTrue="1">
      <formula>$E4545=0</formula>
    </cfRule>
  </conditionalFormatting>
  <conditionalFormatting sqref="G4568:G4573">
    <cfRule type="expression" dxfId="625" priority="10282">
      <formula>$D4568&gt;1</formula>
    </cfRule>
    <cfRule type="expression" dxfId="624" priority="10283">
      <formula>$C4568="%IN"</formula>
    </cfRule>
    <cfRule type="expression" dxfId="623" priority="10284" stopIfTrue="1">
      <formula>$E4568=0</formula>
    </cfRule>
  </conditionalFormatting>
  <conditionalFormatting sqref="G4585:G4595">
    <cfRule type="expression" dxfId="622" priority="10285">
      <formula>$D4585&gt;1</formula>
    </cfRule>
    <cfRule type="expression" dxfId="621" priority="10286">
      <formula>$C4585="%IN"</formula>
    </cfRule>
    <cfRule type="expression" dxfId="620" priority="10287" stopIfTrue="1">
      <formula>$E4585=0</formula>
    </cfRule>
  </conditionalFormatting>
  <conditionalFormatting sqref="G4600:G4610">
    <cfRule type="expression" dxfId="619" priority="10288">
      <formula>$D4600&gt;1</formula>
    </cfRule>
    <cfRule type="expression" dxfId="618" priority="10289">
      <formula>$C4600="%IN"</formula>
    </cfRule>
    <cfRule type="expression" dxfId="617" priority="10290" stopIfTrue="1">
      <formula>$E4600=0</formula>
    </cfRule>
  </conditionalFormatting>
  <conditionalFormatting sqref="G4615:G4620">
    <cfRule type="expression" dxfId="616" priority="10291">
      <formula>$D4615&gt;1</formula>
    </cfRule>
    <cfRule type="expression" dxfId="615" priority="10292">
      <formula>$C4615="%IN"</formula>
    </cfRule>
    <cfRule type="expression" dxfId="614" priority="10293" stopIfTrue="1">
      <formula>$E4615=0</formula>
    </cfRule>
  </conditionalFormatting>
  <conditionalFormatting sqref="G4625:G4630">
    <cfRule type="expression" dxfId="613" priority="10294">
      <formula>$D4625&gt;1</formula>
    </cfRule>
    <cfRule type="expression" dxfId="612" priority="10295">
      <formula>$C4625="%IN"</formula>
    </cfRule>
    <cfRule type="expression" dxfId="611" priority="10296" stopIfTrue="1">
      <formula>$E4625=0</formula>
    </cfRule>
  </conditionalFormatting>
  <conditionalFormatting sqref="G4655:G4660">
    <cfRule type="expression" dxfId="610" priority="10300">
      <formula>$D4655&gt;1</formula>
    </cfRule>
    <cfRule type="expression" dxfId="609" priority="10301">
      <formula>$C4655="%IN"</formula>
    </cfRule>
    <cfRule type="expression" dxfId="608" priority="10302" stopIfTrue="1">
      <formula>$E4655=0</formula>
    </cfRule>
  </conditionalFormatting>
  <conditionalFormatting sqref="G4686:G4691">
    <cfRule type="expression" dxfId="607" priority="10303">
      <formula>$D4686&gt;1</formula>
    </cfRule>
    <cfRule type="expression" dxfId="606" priority="10304">
      <formula>$C4686="%IN"</formula>
    </cfRule>
    <cfRule type="expression" dxfId="605" priority="10305" stopIfTrue="1">
      <formula>$E4686=0</formula>
    </cfRule>
  </conditionalFormatting>
  <conditionalFormatting sqref="G4697:G4712">
    <cfRule type="expression" dxfId="604" priority="10306">
      <formula>$D4697&gt;1</formula>
    </cfRule>
    <cfRule type="expression" dxfId="603" priority="10307">
      <formula>$C4697="%IN"</formula>
    </cfRule>
    <cfRule type="expression" dxfId="602" priority="10308" stopIfTrue="1">
      <formula>$E4697=0</formula>
    </cfRule>
  </conditionalFormatting>
  <conditionalFormatting sqref="G4717:G4722">
    <cfRule type="expression" dxfId="601" priority="10309">
      <formula>$D4717&gt;1</formula>
    </cfRule>
    <cfRule type="expression" dxfId="600" priority="10310">
      <formula>$C4717="%IN"</formula>
    </cfRule>
    <cfRule type="expression" dxfId="599" priority="10311" stopIfTrue="1">
      <formula>$E4717=0</formula>
    </cfRule>
  </conditionalFormatting>
  <conditionalFormatting sqref="G4768:G4773">
    <cfRule type="expression" dxfId="598" priority="10312">
      <formula>$D4768&gt;1</formula>
    </cfRule>
    <cfRule type="expression" dxfId="597" priority="10313">
      <formula>$C4768="%IN"</formula>
    </cfRule>
    <cfRule type="expression" dxfId="596" priority="10314" stopIfTrue="1">
      <formula>$E4768=0</formula>
    </cfRule>
  </conditionalFormatting>
  <conditionalFormatting sqref="G4779:G4788">
    <cfRule type="expression" dxfId="595" priority="10315">
      <formula>$D4779&gt;1</formula>
    </cfRule>
    <cfRule type="expression" dxfId="594" priority="10316">
      <formula>$C4779="%IN"</formula>
    </cfRule>
    <cfRule type="expression" dxfId="593" priority="10317" stopIfTrue="1">
      <formula>$E4779=0</formula>
    </cfRule>
  </conditionalFormatting>
  <conditionalFormatting sqref="L4835:L4847">
    <cfRule type="expression" dxfId="592" priority="10318" stopIfTrue="1">
      <formula>OR($L$4835="F/S",$L$4835="")</formula>
    </cfRule>
    <cfRule type="cellIs" dxfId="591" priority="10319" stopIfTrue="1" operator="notEqual">
      <formula>0</formula>
    </cfRule>
  </conditionalFormatting>
  <conditionalFormatting sqref="O4835:O4847">
    <cfRule type="expression" dxfId="590" priority="10320" stopIfTrue="1">
      <formula>OR($O$4835="F/S",$O$4835="")</formula>
    </cfRule>
    <cfRule type="cellIs" dxfId="589" priority="10321" stopIfTrue="1" operator="notEqual">
      <formula>0</formula>
    </cfRule>
  </conditionalFormatting>
  <conditionalFormatting sqref="I4835">
    <cfRule type="expression" dxfId="588" priority="123" stopIfTrue="1">
      <formula>$I4835="适用"</formula>
    </cfRule>
    <cfRule type="expression" dxfId="587" priority="124" stopIfTrue="1">
      <formula>$I4835="不适用"</formula>
    </cfRule>
  </conditionalFormatting>
  <conditionalFormatting sqref="Q4835:Q4847">
    <cfRule type="expression" dxfId="586" priority="122" stopIfTrue="1">
      <formula>$Q4835="请输入"</formula>
    </cfRule>
  </conditionalFormatting>
  <conditionalFormatting sqref="G4838:G4846">
    <cfRule type="expression" dxfId="585" priority="10322">
      <formula>$D4838&gt;1</formula>
    </cfRule>
    <cfRule type="expression" dxfId="584" priority="10323">
      <formula>$C4838="%IN"</formula>
    </cfRule>
    <cfRule type="expression" dxfId="583" priority="10324" stopIfTrue="1">
      <formula>$E4838=0</formula>
    </cfRule>
  </conditionalFormatting>
  <conditionalFormatting sqref="G4851:G4859">
    <cfRule type="expression" dxfId="582" priority="10325">
      <formula>$D4851&gt;1</formula>
    </cfRule>
    <cfRule type="expression" dxfId="581" priority="10326">
      <formula>$C4851="%IN"</formula>
    </cfRule>
    <cfRule type="expression" dxfId="580" priority="10327" stopIfTrue="1">
      <formula>$E4851=0</formula>
    </cfRule>
  </conditionalFormatting>
  <conditionalFormatting sqref="G4452:G4454">
    <cfRule type="expression" dxfId="579" priority="10328">
      <formula>$D4452&gt;1</formula>
    </cfRule>
    <cfRule type="expression" dxfId="578" priority="10329">
      <formula>$C4452="%IN"</formula>
    </cfRule>
    <cfRule type="expression" dxfId="577" priority="10330" stopIfTrue="1">
      <formula>$E4452=0</formula>
    </cfRule>
  </conditionalFormatting>
  <conditionalFormatting sqref="G4929:G4934">
    <cfRule type="expression" dxfId="576" priority="10331">
      <formula>$D4929&gt;1</formula>
    </cfRule>
    <cfRule type="expression" dxfId="575" priority="10332">
      <formula>$C4929="%IN"</formula>
    </cfRule>
    <cfRule type="expression" dxfId="574" priority="10333" stopIfTrue="1">
      <formula>$E4929=0</formula>
    </cfRule>
  </conditionalFormatting>
  <conditionalFormatting sqref="G4947:G4954">
    <cfRule type="expression" dxfId="573" priority="10334">
      <formula>$D4947&gt;1</formula>
    </cfRule>
    <cfRule type="expression" dxfId="572" priority="10335">
      <formula>$C4947="%IN"</formula>
    </cfRule>
    <cfRule type="expression" dxfId="571" priority="10336" stopIfTrue="1">
      <formula>$E4947=0</formula>
    </cfRule>
  </conditionalFormatting>
  <conditionalFormatting sqref="G5001:G5006">
    <cfRule type="expression" dxfId="570" priority="10340">
      <formula>$D5001&gt;1</formula>
    </cfRule>
    <cfRule type="expression" dxfId="569" priority="10341">
      <formula>$C5001="%IN"</formula>
    </cfRule>
    <cfRule type="expression" dxfId="568" priority="10342" stopIfTrue="1">
      <formula>$E5001=0</formula>
    </cfRule>
  </conditionalFormatting>
  <conditionalFormatting sqref="G5011:G5016">
    <cfRule type="expression" dxfId="567" priority="10343">
      <formula>$D5011&gt;1</formula>
    </cfRule>
    <cfRule type="expression" dxfId="566" priority="10344">
      <formula>$C5011="%IN"</formula>
    </cfRule>
    <cfRule type="expression" dxfId="565" priority="10345" stopIfTrue="1">
      <formula>$E5011=0</formula>
    </cfRule>
  </conditionalFormatting>
  <conditionalFormatting sqref="G5023:G5033">
    <cfRule type="expression" dxfId="564" priority="10346">
      <formula>$D5023&gt;1</formula>
    </cfRule>
    <cfRule type="expression" dxfId="563" priority="10347">
      <formula>$C5023="%IN"</formula>
    </cfRule>
    <cfRule type="expression" dxfId="562" priority="10348" stopIfTrue="1">
      <formula>$E5023=0</formula>
    </cfRule>
  </conditionalFormatting>
  <conditionalFormatting sqref="G5039:G5049">
    <cfRule type="expression" dxfId="561" priority="10349">
      <formula>$D5039&gt;1</formula>
    </cfRule>
    <cfRule type="expression" dxfId="560" priority="10350">
      <formula>$C5039="%IN"</formula>
    </cfRule>
    <cfRule type="expression" dxfId="559" priority="10351" stopIfTrue="1">
      <formula>$E5039=0</formula>
    </cfRule>
  </conditionalFormatting>
  <conditionalFormatting sqref="G5055:G5060">
    <cfRule type="expression" dxfId="558" priority="10352">
      <formula>$D5055&gt;1</formula>
    </cfRule>
    <cfRule type="expression" dxfId="557" priority="10353">
      <formula>$C5055="%IN"</formula>
    </cfRule>
    <cfRule type="expression" dxfId="556" priority="10354" stopIfTrue="1">
      <formula>$E5055=0</formula>
    </cfRule>
  </conditionalFormatting>
  <conditionalFormatting sqref="G5066:G5071">
    <cfRule type="expression" dxfId="555" priority="10355">
      <formula>$D5066&gt;1</formula>
    </cfRule>
    <cfRule type="expression" dxfId="554" priority="10356">
      <formula>$C5066="%IN"</formula>
    </cfRule>
    <cfRule type="expression" dxfId="553" priority="10357" stopIfTrue="1">
      <formula>$E5066=0</formula>
    </cfRule>
  </conditionalFormatting>
  <conditionalFormatting sqref="G5077:G5082">
    <cfRule type="expression" dxfId="552" priority="10358">
      <formula>$D5077&gt;1</formula>
    </cfRule>
    <cfRule type="expression" dxfId="551" priority="10359">
      <formula>$C5077="%IN"</formula>
    </cfRule>
    <cfRule type="expression" dxfId="550" priority="10360" stopIfTrue="1">
      <formula>$E5077=0</formula>
    </cfRule>
  </conditionalFormatting>
  <conditionalFormatting sqref="G5088:G5093">
    <cfRule type="expression" dxfId="549" priority="10361">
      <formula>$D5088&gt;1</formula>
    </cfRule>
    <cfRule type="expression" dxfId="548" priority="10362">
      <formula>$C5088="%IN"</formula>
    </cfRule>
    <cfRule type="expression" dxfId="547" priority="10363" stopIfTrue="1">
      <formula>$E5088=0</formula>
    </cfRule>
  </conditionalFormatting>
  <conditionalFormatting sqref="G5175:G5180">
    <cfRule type="expression" dxfId="546" priority="10364">
      <formula>$D5175&gt;1</formula>
    </cfRule>
    <cfRule type="expression" dxfId="545" priority="10365">
      <formula>$C5175="%IN"</formula>
    </cfRule>
    <cfRule type="expression" dxfId="544" priority="10366" stopIfTrue="1">
      <formula>$E5175=0</formula>
    </cfRule>
  </conditionalFormatting>
  <conditionalFormatting sqref="G5197:G5205">
    <cfRule type="expression" dxfId="543" priority="10373">
      <formula>$D5197&gt;1</formula>
    </cfRule>
    <cfRule type="expression" dxfId="542" priority="10374">
      <formula>$C5197="%IN"</formula>
    </cfRule>
    <cfRule type="expression" dxfId="541" priority="10375" stopIfTrue="1">
      <formula>$E5197=0</formula>
    </cfRule>
  </conditionalFormatting>
  <conditionalFormatting sqref="G5551:G5555">
    <cfRule type="expression" dxfId="540" priority="10379">
      <formula>$D5551&gt;1</formula>
    </cfRule>
    <cfRule type="expression" dxfId="539" priority="10380">
      <formula>$C5551="%IN"</formula>
    </cfRule>
    <cfRule type="expression" dxfId="538" priority="10381" stopIfTrue="1">
      <formula>$E5551=0</formula>
    </cfRule>
  </conditionalFormatting>
  <conditionalFormatting sqref="G5624:G5632">
    <cfRule type="expression" dxfId="537" priority="10382">
      <formula>$D5624&gt;1</formula>
    </cfRule>
    <cfRule type="expression" dxfId="536" priority="10383">
      <formula>$C5624="%IN"</formula>
    </cfRule>
    <cfRule type="expression" dxfId="535" priority="10384" stopIfTrue="1">
      <formula>$E5624=0</formula>
    </cfRule>
  </conditionalFormatting>
  <conditionalFormatting sqref="G5637:G5645">
    <cfRule type="expression" dxfId="534" priority="10385">
      <formula>$D5637&gt;1</formula>
    </cfRule>
    <cfRule type="expression" dxfId="533" priority="10386">
      <formula>$C5637="%IN"</formula>
    </cfRule>
    <cfRule type="expression" dxfId="532" priority="10387" stopIfTrue="1">
      <formula>$E5637=0</formula>
    </cfRule>
  </conditionalFormatting>
  <conditionalFormatting sqref="G5650:G5655">
    <cfRule type="expression" dxfId="531" priority="10388">
      <formula>$D5650&gt;1</formula>
    </cfRule>
    <cfRule type="expression" dxfId="530" priority="10389">
      <formula>$C5650="%IN"</formula>
    </cfRule>
    <cfRule type="expression" dxfId="529" priority="10390" stopIfTrue="1">
      <formula>$E5650=0</formula>
    </cfRule>
  </conditionalFormatting>
  <conditionalFormatting sqref="G5660:G5665">
    <cfRule type="expression" dxfId="528" priority="10391">
      <formula>$D5660&gt;1</formula>
    </cfRule>
    <cfRule type="expression" dxfId="527" priority="10392">
      <formula>$C5660="%IN"</formula>
    </cfRule>
    <cfRule type="expression" dxfId="526" priority="10393" stopIfTrue="1">
      <formula>$E5660=0</formula>
    </cfRule>
  </conditionalFormatting>
  <conditionalFormatting sqref="G5670:G5675">
    <cfRule type="expression" dxfId="525" priority="10394">
      <formula>$D5670&gt;1</formula>
    </cfRule>
    <cfRule type="expression" dxfId="524" priority="10395">
      <formula>$C5670="%IN"</formula>
    </cfRule>
    <cfRule type="expression" dxfId="523" priority="10396" stopIfTrue="1">
      <formula>$E5670=0</formula>
    </cfRule>
  </conditionalFormatting>
  <conditionalFormatting sqref="G5680:G5685">
    <cfRule type="expression" dxfId="522" priority="10397">
      <formula>$D5680&gt;1</formula>
    </cfRule>
    <cfRule type="expression" dxfId="521" priority="10398">
      <formula>$C5680="%IN"</formula>
    </cfRule>
    <cfRule type="expression" dxfId="520" priority="10399" stopIfTrue="1">
      <formula>$E5680=0</formula>
    </cfRule>
  </conditionalFormatting>
  <conditionalFormatting sqref="G5700:G5705">
    <cfRule type="expression" dxfId="519" priority="10400">
      <formula>$D5700&gt;1</formula>
    </cfRule>
    <cfRule type="expression" dxfId="518" priority="10401">
      <formula>$C5700="%IN"</formula>
    </cfRule>
    <cfRule type="expression" dxfId="517" priority="10402" stopIfTrue="1">
      <formula>$E5700=0</formula>
    </cfRule>
  </conditionalFormatting>
  <conditionalFormatting sqref="G5720:G5725">
    <cfRule type="expression" dxfId="516" priority="10403">
      <formula>$D5720&gt;1</formula>
    </cfRule>
    <cfRule type="expression" dxfId="515" priority="10404">
      <formula>$C5720="%IN"</formula>
    </cfRule>
    <cfRule type="expression" dxfId="514" priority="10405" stopIfTrue="1">
      <formula>$E5720=0</formula>
    </cfRule>
  </conditionalFormatting>
  <conditionalFormatting sqref="G5750:G5758">
    <cfRule type="expression" dxfId="513" priority="10406">
      <formula>$D5750&gt;1</formula>
    </cfRule>
    <cfRule type="expression" dxfId="512" priority="10407">
      <formula>$C5750="%IN"</formula>
    </cfRule>
    <cfRule type="expression" dxfId="511" priority="10408" stopIfTrue="1">
      <formula>$E5750=0</formula>
    </cfRule>
  </conditionalFormatting>
  <conditionalFormatting sqref="G5763:G5771">
    <cfRule type="expression" dxfId="510" priority="10409">
      <formula>$D5763&gt;1</formula>
    </cfRule>
    <cfRule type="expression" dxfId="509" priority="10410">
      <formula>$C5763="%IN"</formula>
    </cfRule>
    <cfRule type="expression" dxfId="508" priority="10411" stopIfTrue="1">
      <formula>$E5763=0</formula>
    </cfRule>
  </conditionalFormatting>
  <conditionalFormatting sqref="I5795">
    <cfRule type="expression" dxfId="507" priority="110" stopIfTrue="1">
      <formula>$I5795="适用"</formula>
    </cfRule>
    <cfRule type="expression" dxfId="506" priority="111" stopIfTrue="1">
      <formula>$I5795="不适用"</formula>
    </cfRule>
  </conditionalFormatting>
  <conditionalFormatting sqref="G5798:G5801">
    <cfRule type="expression" dxfId="505" priority="10412">
      <formula>$D5798&gt;1</formula>
    </cfRule>
    <cfRule type="expression" dxfId="504" priority="10413">
      <formula>$C5798="%IN"</formula>
    </cfRule>
    <cfRule type="expression" dxfId="503" priority="10414" stopIfTrue="1">
      <formula>$E5798=0</formula>
    </cfRule>
  </conditionalFormatting>
  <conditionalFormatting sqref="G5849:G5854">
    <cfRule type="expression" dxfId="502" priority="10415">
      <formula>$D5849&gt;1</formula>
    </cfRule>
    <cfRule type="expression" dxfId="501" priority="10416">
      <formula>$C5849="%IN"</formula>
    </cfRule>
    <cfRule type="expression" dxfId="500" priority="10417" stopIfTrue="1">
      <formula>$E5849=0</formula>
    </cfRule>
  </conditionalFormatting>
  <conditionalFormatting sqref="G5859:G5864">
    <cfRule type="expression" dxfId="499" priority="10418">
      <formula>$D5859&gt;1</formula>
    </cfRule>
    <cfRule type="expression" dxfId="498" priority="10419">
      <formula>$C5859="%IN"</formula>
    </cfRule>
    <cfRule type="expression" dxfId="497" priority="10420" stopIfTrue="1">
      <formula>$E5859=0</formula>
    </cfRule>
  </conditionalFormatting>
  <conditionalFormatting sqref="G1508">
    <cfRule type="expression" dxfId="496" priority="103">
      <formula>$D1508&gt;1</formula>
    </cfRule>
    <cfRule type="expression" dxfId="495" priority="104">
      <formula>$C1508="%IN"</formula>
    </cfRule>
    <cfRule type="expression" dxfId="494" priority="105" stopIfTrue="1">
      <formula>$E1508=0</formula>
    </cfRule>
  </conditionalFormatting>
  <conditionalFormatting sqref="G4272:G4277">
    <cfRule type="expression" dxfId="493" priority="10421">
      <formula>$D4272&gt;1</formula>
    </cfRule>
    <cfRule type="expression" dxfId="492" priority="10422">
      <formula>$C4272="%IN"</formula>
    </cfRule>
    <cfRule type="expression" dxfId="491" priority="10423" stopIfTrue="1">
      <formula>$E4272=0</formula>
    </cfRule>
  </conditionalFormatting>
  <conditionalFormatting sqref="G6166:G6182">
    <cfRule type="expression" dxfId="490" priority="10424">
      <formula>$D6166&gt;1</formula>
    </cfRule>
    <cfRule type="expression" dxfId="489" priority="10425">
      <formula>$C6166="%IN"</formula>
    </cfRule>
    <cfRule type="expression" dxfId="488" priority="10426" stopIfTrue="1">
      <formula>$E6166=0</formula>
    </cfRule>
  </conditionalFormatting>
  <conditionalFormatting sqref="G141:G144">
    <cfRule type="expression" dxfId="487" priority="10427">
      <formula>$D141&gt;1</formula>
    </cfRule>
    <cfRule type="expression" dxfId="486" priority="10428">
      <formula>$C141="%IN"</formula>
    </cfRule>
    <cfRule type="expression" dxfId="485" priority="10429" stopIfTrue="1">
      <formula>$E141=0</formula>
    </cfRule>
  </conditionalFormatting>
  <conditionalFormatting sqref="G604:G609">
    <cfRule type="expression" dxfId="484" priority="10430">
      <formula>$D604&gt;1</formula>
    </cfRule>
    <cfRule type="expression" dxfId="483" priority="10431">
      <formula>$C604="%IN"</formula>
    </cfRule>
    <cfRule type="expression" dxfId="482" priority="10432" stopIfTrue="1">
      <formula>$E604=0</formula>
    </cfRule>
  </conditionalFormatting>
  <conditionalFormatting sqref="G614:G616">
    <cfRule type="expression" dxfId="481" priority="10433">
      <formula>$D614&gt;1</formula>
    </cfRule>
    <cfRule type="expression" dxfId="480" priority="10434">
      <formula>$C614="%IN"</formula>
    </cfRule>
    <cfRule type="expression" dxfId="479" priority="10435" stopIfTrue="1">
      <formula>$E614=0</formula>
    </cfRule>
  </conditionalFormatting>
  <conditionalFormatting sqref="G621:G626">
    <cfRule type="expression" dxfId="478" priority="10436">
      <formula>$D621&gt;1</formula>
    </cfRule>
    <cfRule type="expression" dxfId="477" priority="10437">
      <formula>$C621="%IN"</formula>
    </cfRule>
    <cfRule type="expression" dxfId="476" priority="10438" stopIfTrue="1">
      <formula>$E621=0</formula>
    </cfRule>
  </conditionalFormatting>
  <conditionalFormatting sqref="G651:G656">
    <cfRule type="expression" dxfId="475" priority="10439">
      <formula>$D651&gt;1</formula>
    </cfRule>
    <cfRule type="expression" dxfId="474" priority="10440">
      <formula>$C651="%IN"</formula>
    </cfRule>
    <cfRule type="expression" dxfId="473" priority="10441" stopIfTrue="1">
      <formula>$E651=0</formula>
    </cfRule>
  </conditionalFormatting>
  <conditionalFormatting sqref="G661:G666">
    <cfRule type="expression" dxfId="472" priority="10442">
      <formula>$D661&gt;1</formula>
    </cfRule>
    <cfRule type="expression" dxfId="471" priority="10443">
      <formula>$C661="%IN"</formula>
    </cfRule>
    <cfRule type="expression" dxfId="470" priority="10444" stopIfTrue="1">
      <formula>$E661=0</formula>
    </cfRule>
  </conditionalFormatting>
  <conditionalFormatting sqref="G1016:G1025">
    <cfRule type="expression" dxfId="469" priority="10445">
      <formula>$D1016&gt;1</formula>
    </cfRule>
    <cfRule type="expression" dxfId="468" priority="10446">
      <formula>$C1016="%IN"</formula>
    </cfRule>
    <cfRule type="expression" dxfId="467" priority="10447" stopIfTrue="1">
      <formula>$E1016=0</formula>
    </cfRule>
  </conditionalFormatting>
  <conditionalFormatting sqref="G1513:G1518">
    <cfRule type="expression" dxfId="466" priority="10448">
      <formula>$D1513&gt;1</formula>
    </cfRule>
    <cfRule type="expression" dxfId="465" priority="10449">
      <formula>$C1513="%IN"</formula>
    </cfRule>
    <cfRule type="expression" dxfId="464" priority="10450" stopIfTrue="1">
      <formula>$E1513=0</formula>
    </cfRule>
  </conditionalFormatting>
  <conditionalFormatting sqref="G1523:G1525">
    <cfRule type="expression" dxfId="463" priority="10451">
      <formula>$D1523&gt;1</formula>
    </cfRule>
    <cfRule type="expression" dxfId="462" priority="10452">
      <formula>$C1523="%IN"</formula>
    </cfRule>
    <cfRule type="expression" dxfId="461" priority="10453" stopIfTrue="1">
      <formula>$E1523=0</formula>
    </cfRule>
  </conditionalFormatting>
  <conditionalFormatting sqref="G1530:G1535">
    <cfRule type="expression" dxfId="460" priority="10454">
      <formula>$D1530&gt;1</formula>
    </cfRule>
    <cfRule type="expression" dxfId="459" priority="10455">
      <formula>$C1530="%IN"</formula>
    </cfRule>
    <cfRule type="expression" dxfId="458" priority="10456" stopIfTrue="1">
      <formula>$E1530=0</formula>
    </cfRule>
  </conditionalFormatting>
  <conditionalFormatting sqref="G1560:G1565">
    <cfRule type="expression" dxfId="457" priority="10457">
      <formula>$D1560&gt;1</formula>
    </cfRule>
    <cfRule type="expression" dxfId="456" priority="10458">
      <formula>$C1560="%IN"</formula>
    </cfRule>
    <cfRule type="expression" dxfId="455" priority="10459" stopIfTrue="1">
      <formula>$E1560=0</formula>
    </cfRule>
  </conditionalFormatting>
  <conditionalFormatting sqref="G1570:G1575">
    <cfRule type="expression" dxfId="454" priority="10460">
      <formula>$D1570&gt;1</formula>
    </cfRule>
    <cfRule type="expression" dxfId="453" priority="10461">
      <formula>$C1570="%IN"</formula>
    </cfRule>
    <cfRule type="expression" dxfId="452" priority="10462" stopIfTrue="1">
      <formula>$E1570=0</formula>
    </cfRule>
  </conditionalFormatting>
  <conditionalFormatting sqref="G1580:G1585">
    <cfRule type="expression" dxfId="451" priority="10463">
      <formula>$D1580&gt;1</formula>
    </cfRule>
    <cfRule type="expression" dxfId="450" priority="10464">
      <formula>$C1580="%IN"</formula>
    </cfRule>
    <cfRule type="expression" dxfId="449" priority="10465" stopIfTrue="1">
      <formula>$E1580=0</formula>
    </cfRule>
  </conditionalFormatting>
  <conditionalFormatting sqref="L236:L250">
    <cfRule type="expression" dxfId="448" priority="10466" stopIfTrue="1">
      <formula>OR($L$236="F/S",$L$236="")</formula>
    </cfRule>
    <cfRule type="cellIs" dxfId="447" priority="10467" stopIfTrue="1" operator="notEqual">
      <formula>0</formula>
    </cfRule>
  </conditionalFormatting>
  <conditionalFormatting sqref="O236:O250">
    <cfRule type="expression" dxfId="446" priority="10468" stopIfTrue="1">
      <formula>OR($O$236="F/S",$O$236="")</formula>
    </cfRule>
    <cfRule type="cellIs" dxfId="445" priority="10469" stopIfTrue="1" operator="notEqual">
      <formula>0</formula>
    </cfRule>
  </conditionalFormatting>
  <conditionalFormatting sqref="I236">
    <cfRule type="expression" dxfId="444" priority="101" stopIfTrue="1">
      <formula>$I236="适用"</formula>
    </cfRule>
    <cfRule type="expression" dxfId="443" priority="102" stopIfTrue="1">
      <formula>$I236="不适用"</formula>
    </cfRule>
  </conditionalFormatting>
  <conditionalFormatting sqref="Q236:Q250">
    <cfRule type="expression" dxfId="442" priority="100" stopIfTrue="1">
      <formula>$Q236="请输入"</formula>
    </cfRule>
  </conditionalFormatting>
  <conditionalFormatting sqref="G241:G249">
    <cfRule type="expression" dxfId="441" priority="10470">
      <formula>$D241&gt;1</formula>
    </cfRule>
    <cfRule type="expression" dxfId="440" priority="10471">
      <formula>$C241="%IN"</formula>
    </cfRule>
    <cfRule type="expression" dxfId="439" priority="10472" stopIfTrue="1">
      <formula>$E241=0</formula>
    </cfRule>
  </conditionalFormatting>
  <conditionalFormatting sqref="G3412:G3418">
    <cfRule type="expression" dxfId="438" priority="10473">
      <formula>$D3412&gt;1</formula>
    </cfRule>
    <cfRule type="expression" dxfId="437" priority="10474">
      <formula>$C3412="%IN"</formula>
    </cfRule>
    <cfRule type="expression" dxfId="436" priority="10475" stopIfTrue="1">
      <formula>$E3412=0</formula>
    </cfRule>
  </conditionalFormatting>
  <conditionalFormatting sqref="G1433:G1440">
    <cfRule type="expression" dxfId="435" priority="10476">
      <formula>$D1433&gt;1</formula>
    </cfRule>
    <cfRule type="expression" dxfId="434" priority="10477">
      <formula>$C1433="%IN"</formula>
    </cfRule>
    <cfRule type="expression" dxfId="433" priority="10478" stopIfTrue="1">
      <formula>$E1433=0</formula>
    </cfRule>
  </conditionalFormatting>
  <conditionalFormatting sqref="G1658:G1663">
    <cfRule type="expression" dxfId="432" priority="10479">
      <formula>$D1658&gt;1</formula>
    </cfRule>
    <cfRule type="expression" dxfId="431" priority="10480">
      <formula>$C1658="%IN"</formula>
    </cfRule>
    <cfRule type="expression" dxfId="430" priority="10481" stopIfTrue="1">
      <formula>$E1658=0</formula>
    </cfRule>
  </conditionalFormatting>
  <conditionalFormatting sqref="G1668:G1673">
    <cfRule type="expression" dxfId="429" priority="10482">
      <formula>$D1668&gt;1</formula>
    </cfRule>
    <cfRule type="expression" dxfId="428" priority="10483">
      <formula>$C1668="%IN"</formula>
    </cfRule>
    <cfRule type="expression" dxfId="427" priority="10484" stopIfTrue="1">
      <formula>$E1668=0</formula>
    </cfRule>
  </conditionalFormatting>
  <conditionalFormatting sqref="G3660:G3672">
    <cfRule type="expression" dxfId="426" priority="10485">
      <formula>$D3660&gt;1</formula>
    </cfRule>
    <cfRule type="expression" dxfId="425" priority="10486">
      <formula>$C3660="%IN"</formula>
    </cfRule>
    <cfRule type="expression" dxfId="424" priority="10487" stopIfTrue="1">
      <formula>$E3660=0</formula>
    </cfRule>
  </conditionalFormatting>
  <conditionalFormatting sqref="Q4297">
    <cfRule type="expression" dxfId="423" priority="95" stopIfTrue="1">
      <formula>$Q4297="请输入"</formula>
    </cfRule>
  </conditionalFormatting>
  <conditionalFormatting sqref="I4297">
    <cfRule type="expression" dxfId="422" priority="93" stopIfTrue="1">
      <formula>$I4297="适用"</formula>
    </cfRule>
    <cfRule type="expression" dxfId="421" priority="94" stopIfTrue="1">
      <formula>$I4297="不适用"</formula>
    </cfRule>
  </conditionalFormatting>
  <conditionalFormatting sqref="G4728:G4734">
    <cfRule type="expression" dxfId="420" priority="10488">
      <formula>$D4728&gt;1</formula>
    </cfRule>
    <cfRule type="expression" dxfId="419" priority="10489">
      <formula>$C4728="%IN"</formula>
    </cfRule>
    <cfRule type="expression" dxfId="418" priority="10490" stopIfTrue="1">
      <formula>$E4728=0</formula>
    </cfRule>
  </conditionalFormatting>
  <conditionalFormatting sqref="G4968:G4981">
    <cfRule type="expression" dxfId="417" priority="10491">
      <formula>$D4968&gt;1</formula>
    </cfRule>
    <cfRule type="expression" dxfId="416" priority="10492">
      <formula>$C4968="%IN"</formula>
    </cfRule>
    <cfRule type="expression" dxfId="415" priority="10493" stopIfTrue="1">
      <formula>$E4968=0</formula>
    </cfRule>
  </conditionalFormatting>
  <conditionalFormatting sqref="G5186:G5191">
    <cfRule type="expression" dxfId="414" priority="10494">
      <formula>$D5186&gt;1</formula>
    </cfRule>
    <cfRule type="expression" dxfId="413" priority="10495">
      <formula>$C5186="%IN"</formula>
    </cfRule>
    <cfRule type="expression" dxfId="412" priority="10496" stopIfTrue="1">
      <formula>$E5186=0</formula>
    </cfRule>
  </conditionalFormatting>
  <conditionalFormatting sqref="I5500">
    <cfRule type="expression" dxfId="411" priority="87" stopIfTrue="1">
      <formula>$I5500="适用"</formula>
    </cfRule>
    <cfRule type="expression" dxfId="410" priority="88" stopIfTrue="1">
      <formula>$I5500="不适用"</formula>
    </cfRule>
  </conditionalFormatting>
  <conditionalFormatting sqref="G5459:G5498">
    <cfRule type="expression" dxfId="409" priority="10500">
      <formula>$D5459&gt;1</formula>
    </cfRule>
    <cfRule type="expression" dxfId="408" priority="10501">
      <formula>$C5459="%IN"</formula>
    </cfRule>
    <cfRule type="expression" dxfId="407" priority="10502" stopIfTrue="1">
      <formula>$E5459=0</formula>
    </cfRule>
  </conditionalFormatting>
  <conditionalFormatting sqref="G5505:G5546">
    <cfRule type="expression" dxfId="406" priority="10503">
      <formula>$D5505&gt;1</formula>
    </cfRule>
    <cfRule type="expression" dxfId="405" priority="10504">
      <formula>$C5505="%IN"</formula>
    </cfRule>
    <cfRule type="expression" dxfId="404" priority="10505" stopIfTrue="1">
      <formula>$E5505=0</formula>
    </cfRule>
  </conditionalFormatting>
  <conditionalFormatting sqref="L4736:L4748">
    <cfRule type="expression" dxfId="403" priority="10506" stopIfTrue="1">
      <formula>OR($L$4736="F/S",$L$4736="")</formula>
    </cfRule>
    <cfRule type="cellIs" dxfId="402" priority="10507" stopIfTrue="1" operator="notEqual">
      <formula>0</formula>
    </cfRule>
  </conditionalFormatting>
  <conditionalFormatting sqref="O4736:O4748">
    <cfRule type="expression" dxfId="401" priority="10508" stopIfTrue="1">
      <formula>OR($O$4736="F/S",$O$4736="")</formula>
    </cfRule>
    <cfRule type="cellIs" dxfId="400" priority="10509" stopIfTrue="1" operator="notEqual">
      <formula>0</formula>
    </cfRule>
  </conditionalFormatting>
  <conditionalFormatting sqref="I4736">
    <cfRule type="expression" dxfId="399" priority="80" stopIfTrue="1">
      <formula>$I4736="适用"</formula>
    </cfRule>
    <cfRule type="expression" dxfId="398" priority="81" stopIfTrue="1">
      <formula>$I4736="不适用"</formula>
    </cfRule>
  </conditionalFormatting>
  <conditionalFormatting sqref="Q4736:Q4748">
    <cfRule type="expression" dxfId="397" priority="79" stopIfTrue="1">
      <formula>$Q4736="请输入"</formula>
    </cfRule>
  </conditionalFormatting>
  <conditionalFormatting sqref="G4739:G4747">
    <cfRule type="expression" dxfId="396" priority="10510">
      <formula>$D4739&gt;1</formula>
    </cfRule>
    <cfRule type="expression" dxfId="395" priority="10511">
      <formula>$C4739="%IN"</formula>
    </cfRule>
    <cfRule type="expression" dxfId="394" priority="10512" stopIfTrue="1">
      <formula>$E4739=0</formula>
    </cfRule>
  </conditionalFormatting>
  <conditionalFormatting sqref="G2835:G2845">
    <cfRule type="expression" dxfId="393" priority="10513">
      <formula>$D2835&gt;1</formula>
    </cfRule>
    <cfRule type="expression" dxfId="392" priority="10514">
      <formula>$C2835="%IN"</formula>
    </cfRule>
    <cfRule type="expression" dxfId="391" priority="10515" stopIfTrue="1">
      <formula>$E2835=0</formula>
    </cfRule>
  </conditionalFormatting>
  <conditionalFormatting sqref="H352">
    <cfRule type="expression" dxfId="390" priority="10516">
      <formula>AND(H$352&lt;&gt;0,H$352&lt;&gt;"")</formula>
    </cfRule>
    <cfRule type="expression" dxfId="389" priority="10517" stopIfTrue="1">
      <formula>H$353&lt;&gt;"√"</formula>
    </cfRule>
  </conditionalFormatting>
  <conditionalFormatting sqref="J352">
    <cfRule type="expression" dxfId="388" priority="10518">
      <formula>AND(J$352&lt;&gt;0,J$352&lt;&gt;"")</formula>
    </cfRule>
    <cfRule type="expression" dxfId="387" priority="10519" stopIfTrue="1">
      <formula>J$353&lt;&gt;"√"</formula>
    </cfRule>
  </conditionalFormatting>
  <conditionalFormatting sqref="L352">
    <cfRule type="expression" dxfId="386" priority="10520">
      <formula>AND(L$352&lt;&gt;0,L$352&lt;&gt;"")</formula>
    </cfRule>
    <cfRule type="expression" dxfId="385" priority="10521" stopIfTrue="1">
      <formula>L$353&lt;&gt;"√"</formula>
    </cfRule>
  </conditionalFormatting>
  <conditionalFormatting sqref="K354">
    <cfRule type="expression" dxfId="384" priority="10522">
      <formula>AND($K$354&lt;&gt;0,$K$354&lt;&gt;"")</formula>
    </cfRule>
    <cfRule type="expression" dxfId="383" priority="10523" stopIfTrue="1">
      <formula>$L$354&lt;&gt;"√"</formula>
    </cfRule>
  </conditionalFormatting>
  <conditionalFormatting sqref="H374">
    <cfRule type="expression" dxfId="382" priority="10524">
      <formula>AND(H$374&lt;&gt;0,H$374&lt;&gt;"")</formula>
    </cfRule>
    <cfRule type="expression" dxfId="381" priority="10525" stopIfTrue="1">
      <formula>H$375&lt;&gt;"√"</formula>
    </cfRule>
  </conditionalFormatting>
  <conditionalFormatting sqref="I374">
    <cfRule type="expression" dxfId="380" priority="10526">
      <formula>AND(I$374&lt;&gt;0,I$374&lt;&gt;"")</formula>
    </cfRule>
    <cfRule type="expression" dxfId="379" priority="10527" stopIfTrue="1">
      <formula>I$375&lt;&gt;"√"</formula>
    </cfRule>
  </conditionalFormatting>
  <conditionalFormatting sqref="K376">
    <cfRule type="expression" dxfId="378" priority="10528">
      <formula>AND($K$376&lt;&gt;0,$K$376&lt;&gt;"")</formula>
    </cfRule>
    <cfRule type="expression" dxfId="377" priority="10529" stopIfTrue="1">
      <formula>$L$376&lt;&gt;"√"</formula>
    </cfRule>
  </conditionalFormatting>
  <conditionalFormatting sqref="H396">
    <cfRule type="expression" dxfId="376" priority="10530">
      <formula>AND(H$396&lt;&gt;0,H$396&lt;&gt;"")</formula>
    </cfRule>
    <cfRule type="expression" dxfId="375" priority="10531" stopIfTrue="1">
      <formula>H$397&lt;&gt;"√"</formula>
    </cfRule>
  </conditionalFormatting>
  <conditionalFormatting sqref="I396">
    <cfRule type="expression" dxfId="374" priority="10532">
      <formula>AND(I$396&lt;&gt;0,I$396&lt;&gt;"")</formula>
    </cfRule>
    <cfRule type="expression" dxfId="373" priority="10533" stopIfTrue="1">
      <formula>I$397&lt;&gt;"√"</formula>
    </cfRule>
  </conditionalFormatting>
  <conditionalFormatting sqref="K398">
    <cfRule type="expression" dxfId="372" priority="10534">
      <formula>AND($K$398&lt;&gt;0,$K$398&lt;&gt;"")</formula>
    </cfRule>
    <cfRule type="expression" dxfId="371" priority="10535" stopIfTrue="1">
      <formula>$L$398&lt;&gt;"√"</formula>
    </cfRule>
  </conditionalFormatting>
  <conditionalFormatting sqref="H444">
    <cfRule type="expression" dxfId="370" priority="10536">
      <formula>AND(H$444&lt;&gt;0,H$444&lt;&gt;"")</formula>
    </cfRule>
    <cfRule type="expression" dxfId="369" priority="10537" stopIfTrue="1">
      <formula>H$445&lt;&gt;"√"</formula>
    </cfRule>
  </conditionalFormatting>
  <conditionalFormatting sqref="J444">
    <cfRule type="expression" dxfId="368" priority="10538">
      <formula>AND(J$444&lt;&gt;0,J$444&lt;&gt;"")</formula>
    </cfRule>
    <cfRule type="expression" dxfId="367" priority="10539" stopIfTrue="1">
      <formula>J$445&lt;&gt;"√"</formula>
    </cfRule>
  </conditionalFormatting>
  <conditionalFormatting sqref="L444">
    <cfRule type="expression" dxfId="366" priority="10540">
      <formula>AND(L$444&lt;&gt;0,L$444&lt;&gt;"")</formula>
    </cfRule>
    <cfRule type="expression" dxfId="365" priority="10541" stopIfTrue="1">
      <formula>L$445&lt;&gt;"√"</formula>
    </cfRule>
  </conditionalFormatting>
  <conditionalFormatting sqref="K446">
    <cfRule type="expression" dxfId="364" priority="10542">
      <formula>AND($K$446&lt;&gt;0,$K$446&lt;&gt;"")</formula>
    </cfRule>
    <cfRule type="expression" dxfId="363" priority="10543" stopIfTrue="1">
      <formula>$L$446&lt;&gt;"√"</formula>
    </cfRule>
  </conditionalFormatting>
  <conditionalFormatting sqref="H597">
    <cfRule type="expression" dxfId="362" priority="10544">
      <formula>AND(H$597&lt;&gt;0,H$597&lt;&gt;"")</formula>
    </cfRule>
    <cfRule type="expression" dxfId="361" priority="10545" stopIfTrue="1">
      <formula>H$598&lt;&gt;"√"</formula>
    </cfRule>
  </conditionalFormatting>
  <conditionalFormatting sqref="N597">
    <cfRule type="expression" dxfId="360" priority="10546">
      <formula>AND(N$597&lt;&gt;0,N$597&lt;&gt;"")</formula>
    </cfRule>
    <cfRule type="expression" dxfId="359" priority="10547" stopIfTrue="1">
      <formula>N$598&lt;&gt;"√"</formula>
    </cfRule>
  </conditionalFormatting>
  <conditionalFormatting sqref="K599">
    <cfRule type="expression" dxfId="358" priority="10548">
      <formula>AND($K$599&lt;&gt;0,$K$599&lt;&gt;"")</formula>
    </cfRule>
    <cfRule type="expression" dxfId="357" priority="10549" stopIfTrue="1">
      <formula>$L$599&lt;&gt;"√"</formula>
    </cfRule>
  </conditionalFormatting>
  <conditionalFormatting sqref="H464">
    <cfRule type="expression" dxfId="356" priority="10550">
      <formula>AND(H$464&lt;&gt;0,H$464&lt;&gt;"")</formula>
    </cfRule>
    <cfRule type="expression" dxfId="355" priority="10551" stopIfTrue="1">
      <formula>H$465&lt;&gt;"√"</formula>
    </cfRule>
  </conditionalFormatting>
  <conditionalFormatting sqref="I464">
    <cfRule type="expression" dxfId="354" priority="10552">
      <formula>AND(I$464&lt;&gt;0,I$464&lt;&gt;"")</formula>
    </cfRule>
    <cfRule type="expression" dxfId="353" priority="10553" stopIfTrue="1">
      <formula>I$465&lt;&gt;"√"</formula>
    </cfRule>
  </conditionalFormatting>
  <conditionalFormatting sqref="K466">
    <cfRule type="expression" dxfId="352" priority="10554">
      <formula>AND($K$466&lt;&gt;0,$K$466&lt;&gt;"")</formula>
    </cfRule>
    <cfRule type="expression" dxfId="351" priority="10555" stopIfTrue="1">
      <formula>$L$466&lt;&gt;"√"</formula>
    </cfRule>
  </conditionalFormatting>
  <conditionalFormatting sqref="H531">
    <cfRule type="expression" dxfId="350" priority="10556">
      <formula>AND(H$531&lt;&gt;0,H$531&lt;&gt;"")</formula>
    </cfRule>
    <cfRule type="expression" dxfId="349" priority="10557" stopIfTrue="1">
      <formula>H$532&lt;&gt;"√"</formula>
    </cfRule>
  </conditionalFormatting>
  <conditionalFormatting sqref="I531">
    <cfRule type="expression" dxfId="348" priority="10558">
      <formula>AND(I$531&lt;&gt;0,I$531&lt;&gt;"")</formula>
    </cfRule>
    <cfRule type="expression" dxfId="347" priority="10559" stopIfTrue="1">
      <formula>I$532&lt;&gt;"√"</formula>
    </cfRule>
  </conditionalFormatting>
  <conditionalFormatting sqref="K533">
    <cfRule type="expression" dxfId="346" priority="10560">
      <formula>AND($K$533&lt;&gt;0,$K$533&lt;&gt;"")</formula>
    </cfRule>
    <cfRule type="expression" dxfId="345" priority="10561" stopIfTrue="1">
      <formula>$L$533&lt;&gt;"√"</formula>
    </cfRule>
  </conditionalFormatting>
  <conditionalFormatting sqref="H555">
    <cfRule type="expression" dxfId="344" priority="10562">
      <formula>AND(H$555&lt;&gt;0,H$555&lt;&gt;"")</formula>
    </cfRule>
    <cfRule type="expression" dxfId="343" priority="10563" stopIfTrue="1">
      <formula>H$556&lt;&gt;"√"</formula>
    </cfRule>
  </conditionalFormatting>
  <conditionalFormatting sqref="I555">
    <cfRule type="expression" dxfId="342" priority="10564">
      <formula>AND(I$555&lt;&gt;0,I$555&lt;&gt;"")</formula>
    </cfRule>
    <cfRule type="expression" dxfId="341" priority="10565" stopIfTrue="1">
      <formula>I$556&lt;&gt;"√"</formula>
    </cfRule>
  </conditionalFormatting>
  <conditionalFormatting sqref="K557">
    <cfRule type="expression" dxfId="340" priority="10566">
      <formula>AND($K$557&lt;&gt;0,$K$557&lt;&gt;"")</formula>
    </cfRule>
    <cfRule type="expression" dxfId="339" priority="10567" stopIfTrue="1">
      <formula>$L$557&lt;&gt;"√"</formula>
    </cfRule>
  </conditionalFormatting>
  <conditionalFormatting sqref="H1039">
    <cfRule type="expression" dxfId="338" priority="10585">
      <formula>AND(H$1039&lt;&gt;0,H$1039&lt;&gt;"")</formula>
    </cfRule>
    <cfRule type="expression" dxfId="337" priority="10586" stopIfTrue="1">
      <formula>H$1040&lt;&gt;"√"</formula>
    </cfRule>
  </conditionalFormatting>
  <conditionalFormatting sqref="I1039">
    <cfRule type="expression" dxfId="336" priority="10587">
      <formula>AND(I$1039&lt;&gt;0,I$1039&lt;&gt;"")</formula>
    </cfRule>
    <cfRule type="expression" dxfId="335" priority="10588" stopIfTrue="1">
      <formula>I$1040&lt;&gt;"√"</formula>
    </cfRule>
  </conditionalFormatting>
  <conditionalFormatting sqref="J1039">
    <cfRule type="expression" dxfId="334" priority="10589">
      <formula>AND(J$1039&lt;&gt;0,J$1039&lt;&gt;"")</formula>
    </cfRule>
    <cfRule type="expression" dxfId="333" priority="10590" stopIfTrue="1">
      <formula>J$1040&lt;&gt;"√"</formula>
    </cfRule>
  </conditionalFormatting>
  <conditionalFormatting sqref="K1041">
    <cfRule type="expression" dxfId="332" priority="10591">
      <formula>AND($K$1041&lt;&gt;0,$K$1041&lt;&gt;"")</formula>
    </cfRule>
    <cfRule type="expression" dxfId="331" priority="10592" stopIfTrue="1">
      <formula>$L$1041&lt;&gt;"√"</formula>
    </cfRule>
  </conditionalFormatting>
  <conditionalFormatting sqref="H1322">
    <cfRule type="expression" dxfId="330" priority="10593">
      <formula>AND(H$1322&lt;&gt;0,H$1322&lt;&gt;"")</formula>
    </cfRule>
    <cfRule type="expression" dxfId="329" priority="10594" stopIfTrue="1">
      <formula>H$1323&lt;&gt;"√"</formula>
    </cfRule>
  </conditionalFormatting>
  <conditionalFormatting sqref="J1322">
    <cfRule type="expression" dxfId="328" priority="10595">
      <formula>AND(J$1322&lt;&gt;0,J$1322&lt;&gt;"")</formula>
    </cfRule>
    <cfRule type="expression" dxfId="327" priority="10596" stopIfTrue="1">
      <formula>J$1323&lt;&gt;"√"</formula>
    </cfRule>
  </conditionalFormatting>
  <conditionalFormatting sqref="L1322">
    <cfRule type="expression" dxfId="326" priority="10597">
      <formula>AND(L$1322&lt;&gt;0,L$1322&lt;&gt;"")</formula>
    </cfRule>
    <cfRule type="expression" dxfId="325" priority="10598" stopIfTrue="1">
      <formula>L$1323&lt;&gt;"√"</formula>
    </cfRule>
  </conditionalFormatting>
  <conditionalFormatting sqref="K1324">
    <cfRule type="expression" dxfId="324" priority="10599">
      <formula>AND($K$1324&lt;&gt;0,$K$1324&lt;&gt;"")</formula>
    </cfRule>
    <cfRule type="expression" dxfId="323" priority="10600" stopIfTrue="1">
      <formula>$L$1324&lt;&gt;"√"</formula>
    </cfRule>
  </conditionalFormatting>
  <conditionalFormatting sqref="H1487">
    <cfRule type="expression" dxfId="322" priority="10601">
      <formula>AND(H$1487&lt;&gt;0,H$1487&lt;&gt;"")</formula>
    </cfRule>
    <cfRule type="expression" dxfId="321" priority="10602" stopIfTrue="1">
      <formula>H$1488&lt;&gt;"√"</formula>
    </cfRule>
  </conditionalFormatting>
  <conditionalFormatting sqref="N1487">
    <cfRule type="expression" dxfId="320" priority="10603">
      <formula>AND(N$1487&lt;&gt;0,N$1487&lt;&gt;"")</formula>
    </cfRule>
    <cfRule type="expression" dxfId="319" priority="10604" stopIfTrue="1">
      <formula>N$1488&lt;&gt;"√"</formula>
    </cfRule>
  </conditionalFormatting>
  <conditionalFormatting sqref="K1489">
    <cfRule type="expression" dxfId="318" priority="10605">
      <formula>AND($K$1489&lt;&gt;0,$K$1489&lt;&gt;"")</formula>
    </cfRule>
    <cfRule type="expression" dxfId="317" priority="10606" stopIfTrue="1">
      <formula>$L$1489&lt;&gt;"√"</formula>
    </cfRule>
  </conditionalFormatting>
  <conditionalFormatting sqref="H1075">
    <cfRule type="expression" dxfId="316" priority="10608">
      <formula>AND(H$1075&lt;&gt;0,H$1075&lt;&gt;"")</formula>
    </cfRule>
    <cfRule type="expression" dxfId="315" priority="10609" stopIfTrue="1">
      <formula>H$1076&lt;&gt;"√"</formula>
    </cfRule>
  </conditionalFormatting>
  <conditionalFormatting sqref="I1075">
    <cfRule type="expression" dxfId="314" priority="10610">
      <formula>AND(I$1075&lt;&gt;0,I$1075&lt;&gt;"")</formula>
    </cfRule>
    <cfRule type="expression" dxfId="313" priority="10611" stopIfTrue="1">
      <formula>I$1076&lt;&gt;"√"</formula>
    </cfRule>
  </conditionalFormatting>
  <conditionalFormatting sqref="K1077">
    <cfRule type="expression" dxfId="312" priority="10612">
      <formula>AND($K$1077&lt;&gt;0,$K$1077&lt;&gt;"")</formula>
    </cfRule>
    <cfRule type="expression" dxfId="311" priority="10613" stopIfTrue="1">
      <formula>$L$1077&lt;&gt;"√"</formula>
    </cfRule>
  </conditionalFormatting>
  <conditionalFormatting sqref="H1097">
    <cfRule type="expression" dxfId="310" priority="10614">
      <formula>AND(H$1097&lt;&gt;0,H$1097&lt;&gt;"")</formula>
    </cfRule>
    <cfRule type="expression" dxfId="309" priority="10615" stopIfTrue="1">
      <formula>H$1098&lt;&gt;"√"</formula>
    </cfRule>
  </conditionalFormatting>
  <conditionalFormatting sqref="I1097">
    <cfRule type="expression" dxfId="308" priority="10616">
      <formula>AND(I$1097&lt;&gt;0,I$1097&lt;&gt;"")</formula>
    </cfRule>
    <cfRule type="expression" dxfId="307" priority="10617" stopIfTrue="1">
      <formula>I$1098&lt;&gt;"√"</formula>
    </cfRule>
  </conditionalFormatting>
  <conditionalFormatting sqref="K1099">
    <cfRule type="expression" dxfId="306" priority="10618">
      <formula>AND($K$1099&lt;&gt;0,$K$1099&lt;&gt;"")</formula>
    </cfRule>
    <cfRule type="expression" dxfId="305" priority="10619" stopIfTrue="1">
      <formula>$L$1099&lt;&gt;"√"</formula>
    </cfRule>
  </conditionalFormatting>
  <conditionalFormatting sqref="H1163">
    <cfRule type="expression" dxfId="304" priority="10620">
      <formula>AND(H$1163&lt;&gt;0,H$1163&lt;&gt;"")</formula>
    </cfRule>
    <cfRule type="expression" dxfId="303" priority="10621" stopIfTrue="1">
      <formula>H$1164&lt;&gt;"√"</formula>
    </cfRule>
  </conditionalFormatting>
  <conditionalFormatting sqref="I1163">
    <cfRule type="expression" dxfId="302" priority="10622">
      <formula>AND(I$1163&lt;&gt;0,I$1163&lt;&gt;"")</formula>
    </cfRule>
    <cfRule type="expression" dxfId="301" priority="10623" stopIfTrue="1">
      <formula>I$1164&lt;&gt;"√"</formula>
    </cfRule>
  </conditionalFormatting>
  <conditionalFormatting sqref="K1165">
    <cfRule type="expression" dxfId="300" priority="10624">
      <formula>AND($K$1165&lt;&gt;0,$K$1165&lt;&gt;"")</formula>
    </cfRule>
    <cfRule type="expression" dxfId="299" priority="10625" stopIfTrue="1">
      <formula>$L$1165&lt;&gt;"√"</formula>
    </cfRule>
  </conditionalFormatting>
  <conditionalFormatting sqref="H1185">
    <cfRule type="expression" dxfId="298" priority="10626">
      <formula>AND(H$1185&lt;&gt;0,H$1185&lt;&gt;"")</formula>
    </cfRule>
    <cfRule type="expression" dxfId="297" priority="10627" stopIfTrue="1">
      <formula>H$1186&lt;&gt;"√"</formula>
    </cfRule>
  </conditionalFormatting>
  <conditionalFormatting sqref="I1185">
    <cfRule type="expression" dxfId="296" priority="10628">
      <formula>AND(I$1185&lt;&gt;0,I$1185&lt;&gt;"")</formula>
    </cfRule>
    <cfRule type="expression" dxfId="295" priority="10629" stopIfTrue="1">
      <formula>I$1186&lt;&gt;"√"</formula>
    </cfRule>
  </conditionalFormatting>
  <conditionalFormatting sqref="K1187">
    <cfRule type="expression" dxfId="294" priority="10630">
      <formula>AND($K$1187&lt;&gt;0,$K$1187&lt;&gt;"")</formula>
    </cfRule>
    <cfRule type="expression" dxfId="293" priority="10631" stopIfTrue="1">
      <formula>$L$1187&lt;&gt;"√"</formula>
    </cfRule>
  </conditionalFormatting>
  <conditionalFormatting sqref="H1251">
    <cfRule type="expression" dxfId="292" priority="10632">
      <formula>AND(H$1251&lt;&gt;0,H$1251&lt;&gt;"")</formula>
    </cfRule>
    <cfRule type="expression" dxfId="291" priority="10633" stopIfTrue="1">
      <formula>H$1252&lt;&gt;"√"</formula>
    </cfRule>
  </conditionalFormatting>
  <conditionalFormatting sqref="I1251">
    <cfRule type="expression" dxfId="290" priority="10634">
      <formula>AND(I$1251&lt;&gt;0,I$1251&lt;&gt;"")</formula>
    </cfRule>
    <cfRule type="expression" dxfId="289" priority="10635" stopIfTrue="1">
      <formula>I$1252&lt;&gt;"√"</formula>
    </cfRule>
  </conditionalFormatting>
  <conditionalFormatting sqref="K1253">
    <cfRule type="expression" dxfId="288" priority="10636">
      <formula>AND($K$1253&lt;&gt;0,$K$1253&lt;&gt;"")</formula>
    </cfRule>
    <cfRule type="expression" dxfId="287" priority="10637" stopIfTrue="1">
      <formula>$L$1253&lt;&gt;"√"</formula>
    </cfRule>
  </conditionalFormatting>
  <conditionalFormatting sqref="H1273">
    <cfRule type="expression" dxfId="286" priority="10638">
      <formula>AND(H$1273&lt;&gt;0,H$1273&lt;&gt;"")</formula>
    </cfRule>
    <cfRule type="expression" dxfId="285" priority="10639" stopIfTrue="1">
      <formula>H$1274&lt;&gt;"√"</formula>
    </cfRule>
  </conditionalFormatting>
  <conditionalFormatting sqref="I1273">
    <cfRule type="expression" dxfId="284" priority="10640">
      <formula>AND(I$1273&lt;&gt;0,I$1273&lt;&gt;"")</formula>
    </cfRule>
    <cfRule type="expression" dxfId="283" priority="10641" stopIfTrue="1">
      <formula>I$1274&lt;&gt;"√"</formula>
    </cfRule>
  </conditionalFormatting>
  <conditionalFormatting sqref="K1275">
    <cfRule type="expression" dxfId="282" priority="10642">
      <formula>AND($K$1275&lt;&gt;0,$K$1275&lt;&gt;"")</formula>
    </cfRule>
    <cfRule type="expression" dxfId="281" priority="10643" stopIfTrue="1">
      <formula>$L$1275&lt;&gt;"√"</formula>
    </cfRule>
  </conditionalFormatting>
  <conditionalFormatting sqref="H1344">
    <cfRule type="expression" dxfId="280" priority="10644">
      <formula>AND(H$1344&lt;&gt;0,H$1344&lt;&gt;"")</formula>
    </cfRule>
    <cfRule type="expression" dxfId="279" priority="10645" stopIfTrue="1">
      <formula>H$1345&lt;&gt;"√"</formula>
    </cfRule>
  </conditionalFormatting>
  <conditionalFormatting sqref="I1344">
    <cfRule type="expression" dxfId="278" priority="10646">
      <formula>AND(I$1344&lt;&gt;0,I$1344&lt;&gt;"")</formula>
    </cfRule>
    <cfRule type="expression" dxfId="277" priority="10647" stopIfTrue="1">
      <formula>I$1345&lt;&gt;"√"</formula>
    </cfRule>
  </conditionalFormatting>
  <conditionalFormatting sqref="K1346">
    <cfRule type="expression" dxfId="276" priority="10648">
      <formula>AND($K$1346&lt;&gt;0,$K$1346&lt;&gt;"")</formula>
    </cfRule>
    <cfRule type="expression" dxfId="275" priority="10649" stopIfTrue="1">
      <formula>$L$1346&lt;&gt;"√"</formula>
    </cfRule>
  </conditionalFormatting>
  <conditionalFormatting sqref="H1383">
    <cfRule type="expression" dxfId="274" priority="10650">
      <formula>AND(H$1383&lt;&gt;0,H$1383&lt;&gt;"")</formula>
    </cfRule>
    <cfRule type="expression" dxfId="273" priority="10651" stopIfTrue="1">
      <formula>H$1384&lt;&gt;"√"</formula>
    </cfRule>
  </conditionalFormatting>
  <conditionalFormatting sqref="J1383">
    <cfRule type="expression" dxfId="272" priority="10652">
      <formula>AND(J$1383&lt;&gt;0,J$1383&lt;&gt;"")</formula>
    </cfRule>
    <cfRule type="expression" dxfId="271" priority="10653" stopIfTrue="1">
      <formula>J$1384&lt;&gt;"√"</formula>
    </cfRule>
  </conditionalFormatting>
  <conditionalFormatting sqref="L1383">
    <cfRule type="expression" dxfId="270" priority="10654">
      <formula>AND(L$1383&lt;&gt;0,L$1383&lt;&gt;"")</formula>
    </cfRule>
    <cfRule type="expression" dxfId="269" priority="10655" stopIfTrue="1">
      <formula>L$1384&lt;&gt;"√"</formula>
    </cfRule>
  </conditionalFormatting>
  <conditionalFormatting sqref="K1385">
    <cfRule type="expression" dxfId="268" priority="10656">
      <formula>AND($K$1385&lt;&gt;0,$K$1385&lt;&gt;"")</formula>
    </cfRule>
    <cfRule type="expression" dxfId="267" priority="10657" stopIfTrue="1">
      <formula>$L$1385&lt;&gt;"√"</formula>
    </cfRule>
  </conditionalFormatting>
  <conditionalFormatting sqref="H1405">
    <cfRule type="expression" dxfId="266" priority="10658">
      <formula>AND(H$1405&lt;&gt;0,H$1405&lt;&gt;"")</formula>
    </cfRule>
    <cfRule type="expression" dxfId="265" priority="10659" stopIfTrue="1">
      <formula>H$1406&lt;&gt;"√"</formula>
    </cfRule>
  </conditionalFormatting>
  <conditionalFormatting sqref="J1405">
    <cfRule type="expression" dxfId="264" priority="10660">
      <formula>AND(J$1405&lt;&gt;0,J$1405&lt;&gt;"")</formula>
    </cfRule>
    <cfRule type="expression" dxfId="263" priority="10661" stopIfTrue="1">
      <formula>J$1406&lt;&gt;"√"</formula>
    </cfRule>
  </conditionalFormatting>
  <conditionalFormatting sqref="L1405">
    <cfRule type="expression" dxfId="262" priority="10662">
      <formula>AND(L$1405&lt;&gt;0,L$1405&lt;&gt;"")</formula>
    </cfRule>
    <cfRule type="expression" dxfId="261" priority="10663" stopIfTrue="1">
      <formula>L$1406&lt;&gt;"√"</formula>
    </cfRule>
  </conditionalFormatting>
  <conditionalFormatting sqref="K1407">
    <cfRule type="expression" dxfId="260" priority="10664">
      <formula>AND($K$1407&lt;&gt;0,$K$1407&lt;&gt;"")</formula>
    </cfRule>
    <cfRule type="expression" dxfId="259" priority="10665" stopIfTrue="1">
      <formula>$L$1407&lt;&gt;"√"</formula>
    </cfRule>
  </conditionalFormatting>
  <conditionalFormatting sqref="H1424">
    <cfRule type="expression" dxfId="258" priority="10666">
      <formula>AND(H$1424&lt;&gt;0,H$1424&lt;&gt;"")</formula>
    </cfRule>
    <cfRule type="expression" dxfId="257" priority="10667" stopIfTrue="1">
      <formula>H$1425&lt;&gt;"√"</formula>
    </cfRule>
  </conditionalFormatting>
  <conditionalFormatting sqref="I1424">
    <cfRule type="expression" dxfId="256" priority="10668">
      <formula>AND(I$1424&lt;&gt;0,I$1424&lt;&gt;"")</formula>
    </cfRule>
    <cfRule type="expression" dxfId="255" priority="10669" stopIfTrue="1">
      <formula>I$1425&lt;&gt;"√"</formula>
    </cfRule>
  </conditionalFormatting>
  <conditionalFormatting sqref="K1426">
    <cfRule type="expression" dxfId="254" priority="10670">
      <formula>AND($K$1426&lt;&gt;0,$K$1426&lt;&gt;"")</formula>
    </cfRule>
    <cfRule type="expression" dxfId="253" priority="10671" stopIfTrue="1">
      <formula>$L$1426&lt;&gt;"√"</formula>
    </cfRule>
  </conditionalFormatting>
  <conditionalFormatting sqref="H1445">
    <cfRule type="expression" dxfId="252" priority="10672">
      <formula>AND(H$1445&lt;&gt;0,H$1445&lt;&gt;"")</formula>
    </cfRule>
    <cfRule type="expression" dxfId="251" priority="10673" stopIfTrue="1">
      <formula>H$1446&lt;&gt;"√"</formula>
    </cfRule>
  </conditionalFormatting>
  <conditionalFormatting sqref="J1445">
    <cfRule type="expression" dxfId="250" priority="10674">
      <formula>AND(J$1445&lt;&gt;0,J$1445&lt;&gt;"")</formula>
    </cfRule>
    <cfRule type="expression" dxfId="249" priority="10675" stopIfTrue="1">
      <formula>J$1446&lt;&gt;"√"</formula>
    </cfRule>
  </conditionalFormatting>
  <conditionalFormatting sqref="K1447">
    <cfRule type="expression" dxfId="248" priority="10676">
      <formula>AND($K$1447&lt;&gt;0,$K$1447&lt;&gt;"")</formula>
    </cfRule>
    <cfRule type="expression" dxfId="247" priority="10677" stopIfTrue="1">
      <formula>$L$1447&lt;&gt;"√"</formula>
    </cfRule>
  </conditionalFormatting>
  <conditionalFormatting sqref="H1009">
    <cfRule type="expression" dxfId="246" priority="10678">
      <formula>AND(H$1009&lt;&gt;0,H$1009&lt;&gt;"")</formula>
    </cfRule>
    <cfRule type="expression" dxfId="245" priority="10679" stopIfTrue="1">
      <formula>H$1010&lt;&gt;"√"</formula>
    </cfRule>
  </conditionalFormatting>
  <conditionalFormatting sqref="I1009">
    <cfRule type="expression" dxfId="244" priority="10680">
      <formula>AND(I$1009&lt;&gt;0,I$1009&lt;&gt;"")</formula>
    </cfRule>
    <cfRule type="expression" dxfId="243" priority="10681" stopIfTrue="1">
      <formula>I$1010&lt;&gt;"√"</formula>
    </cfRule>
  </conditionalFormatting>
  <conditionalFormatting sqref="K1011">
    <cfRule type="expression" dxfId="242" priority="10682">
      <formula>AND($K$1011&lt;&gt;0,$K$1011&lt;&gt;"")</formula>
    </cfRule>
    <cfRule type="expression" dxfId="241" priority="10683" stopIfTrue="1">
      <formula>$L$1011&lt;&gt;"√"</formula>
    </cfRule>
  </conditionalFormatting>
  <conditionalFormatting sqref="H1678">
    <cfRule type="expression" dxfId="240" priority="10684">
      <formula>AND(H$1678&lt;&gt;0,H$1678&lt;&gt;"")</formula>
    </cfRule>
    <cfRule type="expression" dxfId="239" priority="10685" stopIfTrue="1">
      <formula>H$1679&lt;&gt;"√"</formula>
    </cfRule>
  </conditionalFormatting>
  <conditionalFormatting sqref="K1680">
    <cfRule type="expression" dxfId="238" priority="10686">
      <formula>AND($K$1680&lt;&gt;0,$K$1680&lt;&gt;"")</formula>
    </cfRule>
    <cfRule type="expression" dxfId="237" priority="10687" stopIfTrue="1">
      <formula>$L$1680&lt;&gt;"√"</formula>
    </cfRule>
  </conditionalFormatting>
  <conditionalFormatting sqref="K1695">
    <cfRule type="expression" dxfId="236" priority="10688">
      <formula>AND(K$1695&lt;&gt;0,K$1695&lt;&gt;"")</formula>
    </cfRule>
    <cfRule type="expression" dxfId="235" priority="10689" stopIfTrue="1">
      <formula>K$1696&lt;&gt;"√"</formula>
    </cfRule>
  </conditionalFormatting>
  <conditionalFormatting sqref="L1695">
    <cfRule type="expression" dxfId="234" priority="10690">
      <formula>AND(L$1695&lt;&gt;0,L$1695&lt;&gt;"")</formula>
    </cfRule>
    <cfRule type="expression" dxfId="233" priority="10691" stopIfTrue="1">
      <formula>L$1696&lt;&gt;"√"</formula>
    </cfRule>
  </conditionalFormatting>
  <conditionalFormatting sqref="M1695">
    <cfRule type="expression" dxfId="232" priority="10692">
      <formula>AND(M$1695&lt;&gt;0,M$1695&lt;&gt;"")</formula>
    </cfRule>
    <cfRule type="expression" dxfId="231" priority="10693" stopIfTrue="1">
      <formula>M$1696&lt;&gt;"√"</formula>
    </cfRule>
  </conditionalFormatting>
  <conditionalFormatting sqref="K1697">
    <cfRule type="expression" dxfId="230" priority="10694">
      <formula>AND($K$1697&lt;&gt;0,$K$1697&lt;&gt;"")</formula>
    </cfRule>
    <cfRule type="expression" dxfId="229" priority="10695" stopIfTrue="1">
      <formula>$L$1697&lt;&gt;"√"</formula>
    </cfRule>
  </conditionalFormatting>
  <conditionalFormatting sqref="I1712">
    <cfRule type="expression" dxfId="228" priority="10696">
      <formula>AND(I$1712&lt;&gt;0,I$1712&lt;&gt;"")</formula>
    </cfRule>
    <cfRule type="expression" dxfId="227" priority="10697" stopIfTrue="1">
      <formula>I$1713&lt;&gt;"√"</formula>
    </cfRule>
  </conditionalFormatting>
  <conditionalFormatting sqref="L1712">
    <cfRule type="expression" dxfId="226" priority="10698">
      <formula>AND(L$1712&lt;&gt;0,L$1712&lt;&gt;"")</formula>
    </cfRule>
    <cfRule type="expression" dxfId="225" priority="10699" stopIfTrue="1">
      <formula>L$1713&lt;&gt;"√"</formula>
    </cfRule>
  </conditionalFormatting>
  <conditionalFormatting sqref="M1712">
    <cfRule type="expression" dxfId="224" priority="10700">
      <formula>AND(M$1712&lt;&gt;0,M$1712&lt;&gt;"")</formula>
    </cfRule>
    <cfRule type="expression" dxfId="223" priority="10701" stopIfTrue="1">
      <formula>M$1713&lt;&gt;"√"</formula>
    </cfRule>
  </conditionalFormatting>
  <conditionalFormatting sqref="K1714">
    <cfRule type="expression" dxfId="222" priority="10702">
      <formula>AND($K$1714&lt;&gt;0,$K$1714&lt;&gt;"")</formula>
    </cfRule>
    <cfRule type="expression" dxfId="221" priority="10703" stopIfTrue="1">
      <formula>$L$1714&lt;&gt;"√"</formula>
    </cfRule>
  </conditionalFormatting>
  <conditionalFormatting sqref="H1865">
    <cfRule type="expression" dxfId="220" priority="10704">
      <formula>AND(H$1865&lt;&gt;0,H$1865&lt;&gt;"")</formula>
    </cfRule>
    <cfRule type="expression" dxfId="219" priority="10705" stopIfTrue="1">
      <formula>H$1866&lt;&gt;"√"</formula>
    </cfRule>
  </conditionalFormatting>
  <conditionalFormatting sqref="I1865">
    <cfRule type="expression" dxfId="218" priority="10706">
      <formula>AND(I$1865&lt;&gt;0,I$1865&lt;&gt;"")</formula>
    </cfRule>
    <cfRule type="expression" dxfId="217" priority="10707" stopIfTrue="1">
      <formula>I$1866&lt;&gt;"√"</formula>
    </cfRule>
  </conditionalFormatting>
  <conditionalFormatting sqref="J1865">
    <cfRule type="expression" dxfId="216" priority="10708">
      <formula>AND(J$1865&lt;&gt;0,J$1865&lt;&gt;"")</formula>
    </cfRule>
    <cfRule type="expression" dxfId="215" priority="10709" stopIfTrue="1">
      <formula>J$1866&lt;&gt;"√"</formula>
    </cfRule>
  </conditionalFormatting>
  <conditionalFormatting sqref="K1867">
    <cfRule type="expression" dxfId="214" priority="10710">
      <formula>AND($K$1867&lt;&gt;0,$K$1867&lt;&gt;"")</formula>
    </cfRule>
    <cfRule type="expression" dxfId="213" priority="10711" stopIfTrue="1">
      <formula>$L$1867&lt;&gt;"√"</formula>
    </cfRule>
  </conditionalFormatting>
  <conditionalFormatting sqref="H1923">
    <cfRule type="expression" dxfId="212" priority="10712">
      <formula>AND(H$1923&lt;&gt;0,H$1923&lt;&gt;"")</formula>
    </cfRule>
    <cfRule type="expression" dxfId="211" priority="10713" stopIfTrue="1">
      <formula>H$1924&lt;&gt;"√"</formula>
    </cfRule>
  </conditionalFormatting>
  <conditionalFormatting sqref="N1923">
    <cfRule type="expression" dxfId="210" priority="10714">
      <formula>AND(N$1923&lt;&gt;0,N$1923&lt;&gt;"")</formula>
    </cfRule>
    <cfRule type="expression" dxfId="209" priority="10715" stopIfTrue="1">
      <formula>N$1924&lt;&gt;"√"</formula>
    </cfRule>
  </conditionalFormatting>
  <conditionalFormatting sqref="K1925">
    <cfRule type="expression" dxfId="208" priority="10716">
      <formula>AND($K$1925&lt;&gt;0,$K$1925&lt;&gt;"")</formula>
    </cfRule>
    <cfRule type="expression" dxfId="207" priority="10717" stopIfTrue="1">
      <formula>$L$1925&lt;&gt;"√"</formula>
    </cfRule>
  </conditionalFormatting>
  <conditionalFormatting sqref="H2230">
    <cfRule type="expression" dxfId="206" priority="10719">
      <formula>AND(H$2230&lt;&gt;0,H$2230&lt;&gt;"")</formula>
    </cfRule>
    <cfRule type="expression" dxfId="205" priority="10720" stopIfTrue="1">
      <formula>H$2231&lt;&gt;"√"</formula>
    </cfRule>
  </conditionalFormatting>
  <conditionalFormatting sqref="I2230">
    <cfRule type="expression" dxfId="204" priority="10721">
      <formula>AND(I$2230&lt;&gt;0,I$2230&lt;&gt;"")</formula>
    </cfRule>
    <cfRule type="expression" dxfId="203" priority="10722" stopIfTrue="1">
      <formula>I$2231&lt;&gt;"√"</formula>
    </cfRule>
  </conditionalFormatting>
  <conditionalFormatting sqref="J2230">
    <cfRule type="expression" dxfId="202" priority="10723">
      <formula>AND(J$2230&lt;&gt;0,J$2230&lt;&gt;"")</formula>
    </cfRule>
    <cfRule type="expression" dxfId="201" priority="10724" stopIfTrue="1">
      <formula>J$2231&lt;&gt;"√"</formula>
    </cfRule>
  </conditionalFormatting>
  <conditionalFormatting sqref="K2232">
    <cfRule type="expression" dxfId="200" priority="10725">
      <formula>AND($K$2232&lt;&gt;0,$K$2232&lt;&gt;"")</formula>
    </cfRule>
    <cfRule type="expression" dxfId="199" priority="10726" stopIfTrue="1">
      <formula>$L$2232&lt;&gt;"√"</formula>
    </cfRule>
  </conditionalFormatting>
  <conditionalFormatting sqref="H2289">
    <cfRule type="expression" dxfId="198" priority="10728">
      <formula>AND(H$2289&lt;&gt;0,H$2289&lt;&gt;"")</formula>
    </cfRule>
    <cfRule type="expression" dxfId="197" priority="10729" stopIfTrue="1">
      <formula>H$2290&lt;&gt;"√"</formula>
    </cfRule>
  </conditionalFormatting>
  <conditionalFormatting sqref="J2289">
    <cfRule type="expression" dxfId="196" priority="10730">
      <formula>AND(J$2289&lt;&gt;0,J$2289&lt;&gt;"")</formula>
    </cfRule>
    <cfRule type="expression" dxfId="195" priority="10731" stopIfTrue="1">
      <formula>J$2290&lt;&gt;"√"</formula>
    </cfRule>
  </conditionalFormatting>
  <conditionalFormatting sqref="L2289">
    <cfRule type="expression" dxfId="194" priority="10732">
      <formula>AND(L$2289&lt;&gt;0,L$2289&lt;&gt;"")</formula>
    </cfRule>
    <cfRule type="expression" dxfId="193" priority="10733" stopIfTrue="1">
      <formula>L$2290&lt;&gt;"√"</formula>
    </cfRule>
  </conditionalFormatting>
  <conditionalFormatting sqref="K2291">
    <cfRule type="expression" dxfId="192" priority="10734">
      <formula>AND($K$2291&lt;&gt;0,$K$2291&lt;&gt;"")</formula>
    </cfRule>
    <cfRule type="expression" dxfId="191" priority="10735" stopIfTrue="1">
      <formula>$L$2291&lt;&gt;"√"</formula>
    </cfRule>
  </conditionalFormatting>
  <conditionalFormatting sqref="H2311">
    <cfRule type="expression" dxfId="190" priority="10736">
      <formula>AND(H$2311&lt;&gt;0,H$2311&lt;&gt;"")</formula>
    </cfRule>
    <cfRule type="expression" dxfId="189" priority="10737" stopIfTrue="1">
      <formula>H$2312&lt;&gt;"√"</formula>
    </cfRule>
  </conditionalFormatting>
  <conditionalFormatting sqref="I2311">
    <cfRule type="expression" dxfId="188" priority="10738">
      <formula>AND(I$2311&lt;&gt;0,I$2311&lt;&gt;"")</formula>
    </cfRule>
    <cfRule type="expression" dxfId="187" priority="10739" stopIfTrue="1">
      <formula>I$2312&lt;&gt;"√"</formula>
    </cfRule>
  </conditionalFormatting>
  <conditionalFormatting sqref="K2313">
    <cfRule type="expression" dxfId="186" priority="10740">
      <formula>AND($K$2313&lt;&gt;0,$K$2313&lt;&gt;"")</formula>
    </cfRule>
    <cfRule type="expression" dxfId="185" priority="10741" stopIfTrue="1">
      <formula>$L$2313&lt;&gt;"√"</formula>
    </cfRule>
  </conditionalFormatting>
  <conditionalFormatting sqref="H2345">
    <cfRule type="expression" dxfId="184" priority="10742">
      <formula>AND(H$2345&lt;&gt;0,H$2345&lt;&gt;"")</formula>
    </cfRule>
    <cfRule type="expression" dxfId="183" priority="10743" stopIfTrue="1">
      <formula>H$2346&lt;&gt;"√"</formula>
    </cfRule>
  </conditionalFormatting>
  <conditionalFormatting sqref="N2345">
    <cfRule type="expression" dxfId="182" priority="10744">
      <formula>AND(N$2345&lt;&gt;0,N$2345&lt;&gt;"")</formula>
    </cfRule>
    <cfRule type="expression" dxfId="181" priority="10745" stopIfTrue="1">
      <formula>N$2346&lt;&gt;"√"</formula>
    </cfRule>
  </conditionalFormatting>
  <conditionalFormatting sqref="K2347">
    <cfRule type="expression" dxfId="180" priority="10746">
      <formula>AND($K$2347&lt;&gt;0,$K$2347&lt;&gt;"")</formula>
    </cfRule>
    <cfRule type="expression" dxfId="179" priority="10747" stopIfTrue="1">
      <formula>$L$2347&lt;&gt;"√"</formula>
    </cfRule>
  </conditionalFormatting>
  <conditionalFormatting sqref="H2459">
    <cfRule type="expression" dxfId="178" priority="10748">
      <formula>AND(H$2459&lt;&gt;0,H$2459&lt;&gt;"")</formula>
    </cfRule>
    <cfRule type="expression" dxfId="177" priority="10749" stopIfTrue="1">
      <formula>H$2460&lt;&gt;"√"</formula>
    </cfRule>
  </conditionalFormatting>
  <conditionalFormatting sqref="K2459">
    <cfRule type="expression" dxfId="176" priority="10750">
      <formula>AND(K$2459&lt;&gt;0,K$2459&lt;&gt;"")</formula>
    </cfRule>
    <cfRule type="expression" dxfId="175" priority="10751" stopIfTrue="1">
      <formula>K$2460&lt;&gt;"√"</formula>
    </cfRule>
  </conditionalFormatting>
  <conditionalFormatting sqref="M2459">
    <cfRule type="expression" dxfId="174" priority="10752">
      <formula>AND(M$2459&lt;&gt;0,M$2459&lt;&gt;"")</formula>
    </cfRule>
    <cfRule type="expression" dxfId="173" priority="10753" stopIfTrue="1">
      <formula>M$2460&lt;&gt;"√"</formula>
    </cfRule>
  </conditionalFormatting>
  <conditionalFormatting sqref="K2461">
    <cfRule type="expression" dxfId="172" priority="10754">
      <formula>AND($K$2461&lt;&gt;0,$K$2461&lt;&gt;"")</formula>
    </cfRule>
    <cfRule type="expression" dxfId="171" priority="10755" stopIfTrue="1">
      <formula>$L$2461&lt;&gt;"√"</formula>
    </cfRule>
  </conditionalFormatting>
  <conditionalFormatting sqref="I2427">
    <cfRule type="expression" dxfId="170" priority="10756">
      <formula>AND(I$2427&lt;&gt;0,I$2427&lt;&gt;"")</formula>
    </cfRule>
    <cfRule type="expression" dxfId="169" priority="10757" stopIfTrue="1">
      <formula>I$2428&lt;&gt;"√"</formula>
    </cfRule>
  </conditionalFormatting>
  <conditionalFormatting sqref="J2427">
    <cfRule type="expression" dxfId="168" priority="10758">
      <formula>AND(J$2427&lt;&gt;0,J$2427&lt;&gt;"")</formula>
    </cfRule>
    <cfRule type="expression" dxfId="167" priority="10759" stopIfTrue="1">
      <formula>J$2428&lt;&gt;"√"</formula>
    </cfRule>
  </conditionalFormatting>
  <conditionalFormatting sqref="M2427">
    <cfRule type="expression" dxfId="166" priority="10760">
      <formula>AND(M$2427&lt;&gt;0,M$2427&lt;&gt;"")</formula>
    </cfRule>
    <cfRule type="expression" dxfId="165" priority="10761" stopIfTrue="1">
      <formula>M$2428&lt;&gt;"√"</formula>
    </cfRule>
  </conditionalFormatting>
  <conditionalFormatting sqref="K2429">
    <cfRule type="expression" dxfId="164" priority="10762">
      <formula>AND($K$2429&lt;&gt;0,$K$2429&lt;&gt;"")</formula>
    </cfRule>
    <cfRule type="expression" dxfId="163" priority="10763" stopIfTrue="1">
      <formula>$L$2429&lt;&gt;"√"</formula>
    </cfRule>
  </conditionalFormatting>
  <conditionalFormatting sqref="H2893">
    <cfRule type="expression" dxfId="162" priority="10766">
      <formula>AND(H$2893&lt;&gt;0,H$2893&lt;&gt;"")</formula>
    </cfRule>
    <cfRule type="expression" dxfId="161" priority="10767" stopIfTrue="1">
      <formula>H$2894&lt;&gt;"√"</formula>
    </cfRule>
  </conditionalFormatting>
  <conditionalFormatting sqref="I2893">
    <cfRule type="expression" dxfId="160" priority="10768">
      <formula>AND(I$2893&lt;&gt;0,I$2893&lt;&gt;"")</formula>
    </cfRule>
    <cfRule type="expression" dxfId="159" priority="10769" stopIfTrue="1">
      <formula>I$2894&lt;&gt;"√"</formula>
    </cfRule>
  </conditionalFormatting>
  <conditionalFormatting sqref="K2895">
    <cfRule type="expression" dxfId="158" priority="10770">
      <formula>AND($K$2895&lt;&gt;0,$K$2895&lt;&gt;"")</formula>
    </cfRule>
    <cfRule type="expression" dxfId="157" priority="10771" stopIfTrue="1">
      <formula>$L$2895&lt;&gt;"√"</formula>
    </cfRule>
  </conditionalFormatting>
  <conditionalFormatting sqref="H3467">
    <cfRule type="expression" dxfId="156" priority="10772">
      <formula>AND(H$3467&lt;&gt;0,H$3467&lt;&gt;"")</formula>
    </cfRule>
    <cfRule type="expression" dxfId="155" priority="10773" stopIfTrue="1">
      <formula>H$3468&lt;&gt;"√"</formula>
    </cfRule>
  </conditionalFormatting>
  <conditionalFormatting sqref="I3467">
    <cfRule type="expression" dxfId="154" priority="10774">
      <formula>AND(I$3467&lt;&gt;0,I$3467&lt;&gt;"")</formula>
    </cfRule>
    <cfRule type="expression" dxfId="153" priority="10775" stopIfTrue="1">
      <formula>I$3468&lt;&gt;"√"</formula>
    </cfRule>
  </conditionalFormatting>
  <conditionalFormatting sqref="K3469">
    <cfRule type="expression" dxfId="152" priority="10776">
      <formula>AND($K$3469&lt;&gt;0,$K$3469&lt;&gt;"")</formula>
    </cfRule>
    <cfRule type="expression" dxfId="151" priority="10777" stopIfTrue="1">
      <formula>$L$3469&lt;&gt;"√"</formula>
    </cfRule>
  </conditionalFormatting>
  <conditionalFormatting sqref="H3554">
    <cfRule type="expression" dxfId="150" priority="10778">
      <formula>AND(H$3554&lt;&gt;0,H$3554&lt;&gt;"")</formula>
    </cfRule>
    <cfRule type="expression" dxfId="149" priority="10779" stopIfTrue="1">
      <formula>H$3555&lt;&gt;"√"</formula>
    </cfRule>
  </conditionalFormatting>
  <conditionalFormatting sqref="I3554">
    <cfRule type="expression" dxfId="148" priority="10780">
      <formula>AND(I$3554&lt;&gt;0,I$3554&lt;&gt;"")</formula>
    </cfRule>
    <cfRule type="expression" dxfId="147" priority="10781" stopIfTrue="1">
      <formula>I$3555&lt;&gt;"√"</formula>
    </cfRule>
  </conditionalFormatting>
  <conditionalFormatting sqref="K3556">
    <cfRule type="expression" dxfId="146" priority="10782">
      <formula>AND($K$3556&lt;&gt;0,$K$3556&lt;&gt;"")</formula>
    </cfRule>
    <cfRule type="expression" dxfId="145" priority="10783" stopIfTrue="1">
      <formula>$L$3556&lt;&gt;"√"</formula>
    </cfRule>
  </conditionalFormatting>
  <conditionalFormatting sqref="G3544:G3549">
    <cfRule type="expression" dxfId="144" priority="10784">
      <formula>$D3544&gt;1</formula>
    </cfRule>
    <cfRule type="expression" dxfId="143" priority="10785">
      <formula>$C3544="%IN"</formula>
    </cfRule>
    <cfRule type="expression" dxfId="142" priority="10786" stopIfTrue="1">
      <formula>$E3544=0</formula>
    </cfRule>
  </conditionalFormatting>
  <conditionalFormatting sqref="H3653">
    <cfRule type="expression" dxfId="141" priority="10787">
      <formula>AND(H$3653&lt;&gt;0,H$3653&lt;&gt;"")</formula>
    </cfRule>
    <cfRule type="expression" dxfId="140" priority="10788" stopIfTrue="1">
      <formula>H$3654&lt;&gt;"√"</formula>
    </cfRule>
  </conditionalFormatting>
  <conditionalFormatting sqref="I3653">
    <cfRule type="expression" dxfId="139" priority="10789">
      <formula>AND(I$3653&lt;&gt;0,I$3653&lt;&gt;"")</formula>
    </cfRule>
    <cfRule type="expression" dxfId="138" priority="10790" stopIfTrue="1">
      <formula>I$3654&lt;&gt;"√"</formula>
    </cfRule>
  </conditionalFormatting>
  <conditionalFormatting sqref="J3653">
    <cfRule type="expression" dxfId="137" priority="10791">
      <formula>AND(J$3653&lt;&gt;0,J$3653&lt;&gt;"")</formula>
    </cfRule>
    <cfRule type="expression" dxfId="136" priority="10792" stopIfTrue="1">
      <formula>J$3654&lt;&gt;"√"</formula>
    </cfRule>
  </conditionalFormatting>
  <conditionalFormatting sqref="K3653">
    <cfRule type="expression" dxfId="135" priority="10793">
      <formula>AND(K$3653&lt;&gt;0,K$3653&lt;&gt;"")</formula>
    </cfRule>
    <cfRule type="expression" dxfId="134" priority="10794" stopIfTrue="1">
      <formula>K$3654&lt;&gt;"√"</formula>
    </cfRule>
  </conditionalFormatting>
  <conditionalFormatting sqref="K3655">
    <cfRule type="expression" dxfId="133" priority="10795">
      <formula>AND($K$3655&lt;&gt;0,$K$3655&lt;&gt;"")</formula>
    </cfRule>
    <cfRule type="expression" dxfId="132" priority="10796" stopIfTrue="1">
      <formula>$L$3655&lt;&gt;"√"</formula>
    </cfRule>
  </conditionalFormatting>
  <conditionalFormatting sqref="H3677">
    <cfRule type="expression" dxfId="131" priority="10797">
      <formula>AND(H$3677&lt;&gt;0,H$3677&lt;&gt;"")</formula>
    </cfRule>
    <cfRule type="expression" dxfId="130" priority="10798" stopIfTrue="1">
      <formula>H$3678&lt;&gt;"√"</formula>
    </cfRule>
  </conditionalFormatting>
  <conditionalFormatting sqref="I3677">
    <cfRule type="expression" dxfId="129" priority="10799">
      <formula>AND(I$3677&lt;&gt;0,I$3677&lt;&gt;"")</formula>
    </cfRule>
    <cfRule type="expression" dxfId="128" priority="10800" stopIfTrue="1">
      <formula>I$3678&lt;&gt;"√"</formula>
    </cfRule>
  </conditionalFormatting>
  <conditionalFormatting sqref="J3677">
    <cfRule type="expression" dxfId="127" priority="10801">
      <formula>AND(J$3677&lt;&gt;0,J$3677&lt;&gt;"")</formula>
    </cfRule>
    <cfRule type="expression" dxfId="126" priority="10802" stopIfTrue="1">
      <formula>J$3678&lt;&gt;"√"</formula>
    </cfRule>
  </conditionalFormatting>
  <conditionalFormatting sqref="K3677">
    <cfRule type="expression" dxfId="125" priority="10803">
      <formula>AND(K$3677&lt;&gt;0,K$3677&lt;&gt;"")</formula>
    </cfRule>
    <cfRule type="expression" dxfId="124" priority="10804" stopIfTrue="1">
      <formula>K$3678&lt;&gt;"√"</formula>
    </cfRule>
  </conditionalFormatting>
  <conditionalFormatting sqref="K3679">
    <cfRule type="expression" dxfId="123" priority="10805">
      <formula>AND($K$3679&lt;&gt;0,$K$3679&lt;&gt;"")</formula>
    </cfRule>
    <cfRule type="expression" dxfId="122" priority="10806" stopIfTrue="1">
      <formula>$L$3679&lt;&gt;"√"</formula>
    </cfRule>
  </conditionalFormatting>
  <conditionalFormatting sqref="H3852">
    <cfRule type="expression" dxfId="121" priority="10808">
      <formula>AND(H$3852&lt;&gt;0,H$3852&lt;&gt;"")</formula>
    </cfRule>
    <cfRule type="expression" dxfId="120" priority="10809" stopIfTrue="1">
      <formula>H$3853&lt;&gt;"√"</formula>
    </cfRule>
  </conditionalFormatting>
  <conditionalFormatting sqref="I3852">
    <cfRule type="expression" dxfId="119" priority="10810">
      <formula>AND(I$3852&lt;&gt;0,I$3852&lt;&gt;"")</formula>
    </cfRule>
    <cfRule type="expression" dxfId="118" priority="10811" stopIfTrue="1">
      <formula>I$3853&lt;&gt;"√"</formula>
    </cfRule>
  </conditionalFormatting>
  <conditionalFormatting sqref="K3854">
    <cfRule type="expression" dxfId="117" priority="10812">
      <formula>AND($K$3854&lt;&gt;0,$K$3854&lt;&gt;"")</formula>
    </cfRule>
    <cfRule type="expression" dxfId="116" priority="10813" stopIfTrue="1">
      <formula>$L$3854&lt;&gt;"√"</formula>
    </cfRule>
  </conditionalFormatting>
  <conditionalFormatting sqref="H4132">
    <cfRule type="expression" dxfId="115" priority="10814">
      <formula>AND(H$4132&lt;&gt;0,H$4132&lt;&gt;"")</formula>
    </cfRule>
    <cfRule type="expression" dxfId="114" priority="10815" stopIfTrue="1">
      <formula>H$4133&lt;&gt;"√"</formula>
    </cfRule>
  </conditionalFormatting>
  <conditionalFormatting sqref="I4132">
    <cfRule type="expression" dxfId="113" priority="10816">
      <formula>AND(I$4132&lt;&gt;0,I$4132&lt;&gt;"")</formula>
    </cfRule>
    <cfRule type="expression" dxfId="112" priority="10817" stopIfTrue="1">
      <formula>I$4133&lt;&gt;"√"</formula>
    </cfRule>
  </conditionalFormatting>
  <conditionalFormatting sqref="K4134">
    <cfRule type="expression" dxfId="111" priority="10818">
      <formula>AND($K$4134&lt;&gt;0,$K$4134&lt;&gt;"")</formula>
    </cfRule>
    <cfRule type="expression" dxfId="110" priority="10819" stopIfTrue="1">
      <formula>$L$4134&lt;&gt;"√"</formula>
    </cfRule>
  </conditionalFormatting>
  <conditionalFormatting sqref="H4282">
    <cfRule type="expression" dxfId="109" priority="10820">
      <formula>AND(H$4282&lt;&gt;0,H$4282&lt;&gt;"")</formula>
    </cfRule>
    <cfRule type="expression" dxfId="108" priority="10821" stopIfTrue="1">
      <formula>H$4283&lt;&gt;"√"</formula>
    </cfRule>
  </conditionalFormatting>
  <conditionalFormatting sqref="M4282">
    <cfRule type="expression" dxfId="107" priority="10822">
      <formula>AND(M$4282&lt;&gt;0,M$4282&lt;&gt;"")</formula>
    </cfRule>
    <cfRule type="expression" dxfId="106" priority="10823" stopIfTrue="1">
      <formula>M$4283&lt;&gt;"√"</formula>
    </cfRule>
  </conditionalFormatting>
  <conditionalFormatting sqref="K4284">
    <cfRule type="expression" dxfId="105" priority="10824">
      <formula>AND($K$4284&lt;&gt;0,$K$4284&lt;&gt;"")</formula>
    </cfRule>
    <cfRule type="expression" dxfId="104" priority="10825" stopIfTrue="1">
      <formula>$L$4284&lt;&gt;"√"</formula>
    </cfRule>
  </conditionalFormatting>
  <conditionalFormatting sqref="G4641">
    <cfRule type="expression" dxfId="103" priority="10834">
      <formula>$D4640&gt;1</formula>
    </cfRule>
    <cfRule type="expression" dxfId="102" priority="10835">
      <formula>$C4640="%IN"</formula>
    </cfRule>
    <cfRule type="expression" dxfId="101" priority="10836" stopIfTrue="1">
      <formula>$E4640=0</formula>
    </cfRule>
  </conditionalFormatting>
  <conditionalFormatting sqref="G4640">
    <cfRule type="expression" dxfId="100" priority="10841">
      <formula>$D4641&gt;1</formula>
    </cfRule>
    <cfRule type="expression" dxfId="99" priority="10842">
      <formula>$C4641="%IN"</formula>
    </cfRule>
    <cfRule type="expression" dxfId="98" priority="10843" stopIfTrue="1">
      <formula>$E4641=0</formula>
    </cfRule>
  </conditionalFormatting>
  <conditionalFormatting sqref="H4794">
    <cfRule type="expression" dxfId="97" priority="10844">
      <formula>AND(H$4794&lt;&gt;0,H$4794&lt;&gt;"")</formula>
    </cfRule>
    <cfRule type="expression" dxfId="96" priority="10845" stopIfTrue="1">
      <formula>H$4795&lt;&gt;"√"</formula>
    </cfRule>
  </conditionalFormatting>
  <conditionalFormatting sqref="K4796">
    <cfRule type="expression" dxfId="95" priority="10846">
      <formula>AND($K$4796&lt;&gt;0,$K$4796&lt;&gt;"")</formula>
    </cfRule>
    <cfRule type="expression" dxfId="94" priority="10847" stopIfTrue="1">
      <formula>$L$4796&lt;&gt;"√"</formula>
    </cfRule>
  </conditionalFormatting>
  <conditionalFormatting sqref="L777">
    <cfRule type="expression" dxfId="93" priority="10849" stopIfTrue="1">
      <formula>OR($L$777="F/S",$L$777="")</formula>
    </cfRule>
    <cfRule type="cellIs" dxfId="92" priority="10850" stopIfTrue="1" operator="notEqual">
      <formula>0</formula>
    </cfRule>
  </conditionalFormatting>
  <conditionalFormatting sqref="O777">
    <cfRule type="expression" dxfId="91" priority="10851" stopIfTrue="1">
      <formula>OR($O$777="F/S",$O$777="")</formula>
    </cfRule>
    <cfRule type="cellIs" dxfId="90" priority="10852" stopIfTrue="1" operator="notEqual">
      <formula>0</formula>
    </cfRule>
  </conditionalFormatting>
  <conditionalFormatting sqref="I777">
    <cfRule type="expression" dxfId="89" priority="43" stopIfTrue="1">
      <formula>$I777="适用"</formula>
    </cfRule>
    <cfRule type="expression" dxfId="88" priority="44" stopIfTrue="1">
      <formula>$I777="不适用"</formula>
    </cfRule>
  </conditionalFormatting>
  <conditionalFormatting sqref="Q777">
    <cfRule type="expression" dxfId="87" priority="42" stopIfTrue="1">
      <formula>$Q777="请输入"</formula>
    </cfRule>
  </conditionalFormatting>
  <conditionalFormatting sqref="L792:L794 L796:L803">
    <cfRule type="expression" dxfId="86" priority="10856" stopIfTrue="1">
      <formula>OR($L$792="F/S",$L$792="")</formula>
    </cfRule>
    <cfRule type="cellIs" dxfId="85" priority="10857" stopIfTrue="1" operator="notEqual">
      <formula>0</formula>
    </cfRule>
  </conditionalFormatting>
  <conditionalFormatting sqref="O792:O810">
    <cfRule type="expression" dxfId="84" priority="10858" stopIfTrue="1">
      <formula>OR($O$792="F/S",$O$792="")</formula>
    </cfRule>
    <cfRule type="cellIs" dxfId="83" priority="10859" stopIfTrue="1" operator="notEqual">
      <formula>0</formula>
    </cfRule>
  </conditionalFormatting>
  <conditionalFormatting sqref="I792">
    <cfRule type="expression" dxfId="82" priority="33" stopIfTrue="1">
      <formula>$I792="适用"</formula>
    </cfRule>
    <cfRule type="expression" dxfId="81" priority="34" stopIfTrue="1">
      <formula>$I792="不适用"</formula>
    </cfRule>
  </conditionalFormatting>
  <conditionalFormatting sqref="L811:L813 L816:L825">
    <cfRule type="expression" dxfId="80" priority="10863" stopIfTrue="1">
      <formula>OR($L$811="F/S",$L$811="")</formula>
    </cfRule>
    <cfRule type="cellIs" dxfId="79" priority="10864" stopIfTrue="1" operator="notEqual">
      <formula>0</formula>
    </cfRule>
  </conditionalFormatting>
  <conditionalFormatting sqref="O811:O832">
    <cfRule type="expression" dxfId="78" priority="10865" stopIfTrue="1">
      <formula>OR($O$811="F/S",$O$811="")</formula>
    </cfRule>
    <cfRule type="cellIs" dxfId="77" priority="10866" stopIfTrue="1" operator="notEqual">
      <formula>0</formula>
    </cfRule>
  </conditionalFormatting>
  <conditionalFormatting sqref="I811">
    <cfRule type="expression" dxfId="76" priority="23" stopIfTrue="1">
      <formula>$I811="适用"</formula>
    </cfRule>
    <cfRule type="expression" dxfId="75" priority="24" stopIfTrue="1">
      <formula>$I811="不适用"</formula>
    </cfRule>
  </conditionalFormatting>
  <conditionalFormatting sqref="L833:L835 L838:L847">
    <cfRule type="expression" dxfId="74" priority="10870" stopIfTrue="1">
      <formula>OR($L$833="F/S",$L$833="")</formula>
    </cfRule>
    <cfRule type="cellIs" dxfId="73" priority="10871" stopIfTrue="1" operator="notEqual">
      <formula>0</formula>
    </cfRule>
  </conditionalFormatting>
  <conditionalFormatting sqref="O833:O847">
    <cfRule type="expression" dxfId="72" priority="10872" stopIfTrue="1">
      <formula>OR($O$833="F/S",$O$833="")</formula>
    </cfRule>
    <cfRule type="cellIs" dxfId="71" priority="10873" stopIfTrue="1" operator="notEqual">
      <formula>0</formula>
    </cfRule>
  </conditionalFormatting>
  <conditionalFormatting sqref="I833">
    <cfRule type="expression" dxfId="70" priority="16" stopIfTrue="1">
      <formula>$I833="适用"</formula>
    </cfRule>
    <cfRule type="expression" dxfId="69" priority="17" stopIfTrue="1">
      <formula>$I833="不适用"</formula>
    </cfRule>
  </conditionalFormatting>
  <conditionalFormatting sqref="Q833:Q847">
    <cfRule type="expression" dxfId="68" priority="15" stopIfTrue="1">
      <formula>$Q833="请输入"</formula>
    </cfRule>
  </conditionalFormatting>
  <conditionalFormatting sqref="G711:G719">
    <cfRule type="expression" dxfId="67" priority="10889">
      <formula>$D711&gt;1</formula>
    </cfRule>
    <cfRule type="expression" dxfId="66" priority="10890">
      <formula>$C711="%IN"</formula>
    </cfRule>
    <cfRule type="expression" dxfId="65" priority="10891" stopIfTrue="1">
      <formula>$E711=0</formula>
    </cfRule>
  </conditionalFormatting>
  <conditionalFormatting sqref="G726:G731">
    <cfRule type="expression" dxfId="64" priority="10892">
      <formula>$D726&gt;1</formula>
    </cfRule>
    <cfRule type="expression" dxfId="63" priority="10893">
      <formula>$C726="%IN"</formula>
    </cfRule>
    <cfRule type="expression" dxfId="62" priority="10894" stopIfTrue="1">
      <formula>$E726=0</formula>
    </cfRule>
  </conditionalFormatting>
  <conditionalFormatting sqref="G745:G753">
    <cfRule type="expression" dxfId="61" priority="10895">
      <formula>$D745&gt;1</formula>
    </cfRule>
    <cfRule type="expression" dxfId="60" priority="10896">
      <formula>$C745="%IN"</formula>
    </cfRule>
    <cfRule type="expression" dxfId="59" priority="10897" stopIfTrue="1">
      <formula>$E745=0</formula>
    </cfRule>
  </conditionalFormatting>
  <conditionalFormatting sqref="G767:G775">
    <cfRule type="expression" dxfId="58" priority="10898">
      <formula>$D767&gt;1</formula>
    </cfRule>
    <cfRule type="expression" dxfId="57" priority="10899">
      <formula>$C767="%IN"</formula>
    </cfRule>
    <cfRule type="expression" dxfId="56" priority="10900" stopIfTrue="1">
      <formula>$E767=0</formula>
    </cfRule>
  </conditionalFormatting>
  <conditionalFormatting sqref="G782:G790">
    <cfRule type="expression" dxfId="55" priority="10901">
      <formula>$D782&gt;1</formula>
    </cfRule>
    <cfRule type="expression" dxfId="54" priority="10902">
      <formula>$C782="%IN"</formula>
    </cfRule>
    <cfRule type="expression" dxfId="53" priority="10903" stopIfTrue="1">
      <formula>$E782=0</formula>
    </cfRule>
  </conditionalFormatting>
  <conditionalFormatting sqref="G797:G802">
    <cfRule type="expression" dxfId="52" priority="10904">
      <formula>$D797&gt;1</formula>
    </cfRule>
    <cfRule type="expression" dxfId="51" priority="10905">
      <formula>$C797="%IN"</formula>
    </cfRule>
    <cfRule type="expression" dxfId="50" priority="10906" stopIfTrue="1">
      <formula>$E797=0</formula>
    </cfRule>
  </conditionalFormatting>
  <conditionalFormatting sqref="G816:G824">
    <cfRule type="expression" dxfId="49" priority="10907">
      <formula>$D816&gt;1</formula>
    </cfRule>
    <cfRule type="expression" dxfId="48" priority="10908">
      <formula>$C816="%IN"</formula>
    </cfRule>
    <cfRule type="expression" dxfId="47" priority="10909" stopIfTrue="1">
      <formula>$E816=0</formula>
    </cfRule>
  </conditionalFormatting>
  <conditionalFormatting sqref="G838:G846">
    <cfRule type="expression" dxfId="46" priority="10910">
      <formula>$D838&gt;1</formula>
    </cfRule>
    <cfRule type="expression" dxfId="45" priority="10911">
      <formula>$C838="%IN"</formula>
    </cfRule>
    <cfRule type="expression" dxfId="44" priority="10912" stopIfTrue="1">
      <formula>$E838=0</formula>
    </cfRule>
  </conditionalFormatting>
  <conditionalFormatting sqref="J736">
    <cfRule type="expression" dxfId="43" priority="10913">
      <formula>AND(J$736&lt;&gt;0,J$736&lt;&gt;"")</formula>
    </cfRule>
    <cfRule type="expression" dxfId="42" priority="10914" stopIfTrue="1">
      <formula>J$737&lt;&gt;"√"</formula>
    </cfRule>
  </conditionalFormatting>
  <conditionalFormatting sqref="K738">
    <cfRule type="expression" dxfId="41" priority="10915">
      <formula>AND($K$738&lt;&gt;0,$K$738&lt;&gt;"")</formula>
    </cfRule>
    <cfRule type="expression" dxfId="40" priority="10916" stopIfTrue="1">
      <formula>$L$738&lt;&gt;"√"</formula>
    </cfRule>
  </conditionalFormatting>
  <conditionalFormatting sqref="J758">
    <cfRule type="expression" dxfId="39" priority="10917">
      <formula>AND(J$758&lt;&gt;0,J$758&lt;&gt;"")</formula>
    </cfRule>
    <cfRule type="expression" dxfId="38" priority="10918" stopIfTrue="1">
      <formula>J$759&lt;&gt;"√"</formula>
    </cfRule>
  </conditionalFormatting>
  <conditionalFormatting sqref="K760">
    <cfRule type="expression" dxfId="37" priority="10919">
      <formula>AND($K$760&lt;&gt;0,$K$760&lt;&gt;"")</formula>
    </cfRule>
    <cfRule type="expression" dxfId="36" priority="10920" stopIfTrue="1">
      <formula>$L$760&lt;&gt;"√"</formula>
    </cfRule>
  </conditionalFormatting>
  <conditionalFormatting sqref="J807">
    <cfRule type="expression" dxfId="35" priority="10921">
      <formula>AND(J$807&lt;&gt;0,J$807&lt;&gt;"")</formula>
    </cfRule>
    <cfRule type="expression" dxfId="34" priority="10922" stopIfTrue="1">
      <formula>J$808&lt;&gt;"√"</formula>
    </cfRule>
  </conditionalFormatting>
  <conditionalFormatting sqref="K809">
    <cfRule type="expression" dxfId="33" priority="10923">
      <formula>AND($K$809&lt;&gt;0,$K$809&lt;&gt;"")</formula>
    </cfRule>
    <cfRule type="expression" dxfId="32" priority="10924" stopIfTrue="1">
      <formula>$L$809&lt;&gt;"√"</formula>
    </cfRule>
  </conditionalFormatting>
  <conditionalFormatting sqref="J829">
    <cfRule type="expression" dxfId="31" priority="10925">
      <formula>AND(J$829&lt;&gt;0,J$829&lt;&gt;"")</formula>
    </cfRule>
    <cfRule type="expression" dxfId="30" priority="10926" stopIfTrue="1">
      <formula>J$830&lt;&gt;"√"</formula>
    </cfRule>
  </conditionalFormatting>
  <conditionalFormatting sqref="K831">
    <cfRule type="expression" dxfId="29" priority="10927">
      <formula>AND($K$831&lt;&gt;0,$K$831&lt;&gt;"")</formula>
    </cfRule>
    <cfRule type="expression" dxfId="28" priority="10928" stopIfTrue="1">
      <formula>$L$831&lt;&gt;"√"</formula>
    </cfRule>
  </conditionalFormatting>
  <conditionalFormatting sqref="G1966:G1969">
    <cfRule type="expression" dxfId="27" priority="10929">
      <formula>$D1966&gt;1</formula>
    </cfRule>
    <cfRule type="expression" dxfId="26" priority="10930">
      <formula>$C1966="%IN"</formula>
    </cfRule>
    <cfRule type="expression" dxfId="25" priority="10931" stopIfTrue="1">
      <formula>$E1966=0</formula>
    </cfRule>
  </conditionalFormatting>
  <conditionalFormatting sqref="G2066:G2070">
    <cfRule type="expression" dxfId="24" priority="10932">
      <formula>$D2066&gt;1</formula>
    </cfRule>
    <cfRule type="expression" dxfId="23" priority="10933">
      <formula>$C2066="%IN"</formula>
    </cfRule>
    <cfRule type="expression" dxfId="22" priority="10934" stopIfTrue="1">
      <formula>$E2066=0</formula>
    </cfRule>
  </conditionalFormatting>
  <conditionalFormatting sqref="G2082:G2090">
    <cfRule type="expression" dxfId="21" priority="10935">
      <formula>$D2082&gt;1</formula>
    </cfRule>
    <cfRule type="expression" dxfId="20" priority="10936">
      <formula>$C2082="%IN"</formula>
    </cfRule>
    <cfRule type="expression" dxfId="19" priority="10937" stopIfTrue="1">
      <formula>$E2082=0</formula>
    </cfRule>
  </conditionalFormatting>
  <conditionalFormatting sqref="G2095:G2103">
    <cfRule type="expression" dxfId="18" priority="10938">
      <formula>$D2095&gt;1</formula>
    </cfRule>
    <cfRule type="expression" dxfId="17" priority="10939">
      <formula>$C2095="%IN"</formula>
    </cfRule>
    <cfRule type="expression" dxfId="16" priority="10940" stopIfTrue="1">
      <formula>$E2095=0</formula>
    </cfRule>
  </conditionalFormatting>
  <conditionalFormatting sqref="G2108:G2116">
    <cfRule type="expression" dxfId="15" priority="10941">
      <formula>$D2108&gt;1</formula>
    </cfRule>
    <cfRule type="expression" dxfId="14" priority="10942">
      <formula>$C2108="%IN"</formula>
    </cfRule>
    <cfRule type="expression" dxfId="13" priority="10943" stopIfTrue="1">
      <formula>$E2108=0</formula>
    </cfRule>
  </conditionalFormatting>
  <conditionalFormatting sqref="N2133">
    <cfRule type="expression" dxfId="12" priority="10944">
      <formula>AND(N$2133&lt;&gt;0,N$2133&lt;&gt;"")</formula>
    </cfRule>
    <cfRule type="expression" dxfId="11" priority="10945" stopIfTrue="1">
      <formula>N$2134&lt;&gt;"√"</formula>
    </cfRule>
  </conditionalFormatting>
  <conditionalFormatting sqref="K2135">
    <cfRule type="expression" dxfId="10" priority="10946">
      <formula>AND($K$2135&lt;&gt;0,$K$2135&lt;&gt;"")</formula>
    </cfRule>
    <cfRule type="expression" dxfId="9" priority="10947" stopIfTrue="1">
      <formula>$L$2135&lt;&gt;"√"</formula>
    </cfRule>
  </conditionalFormatting>
  <conditionalFormatting sqref="I2075">
    <cfRule type="expression" dxfId="8" priority="10948">
      <formula>AND(I$2075&lt;&gt;0,I$2075&lt;&gt;"")</formula>
    </cfRule>
    <cfRule type="expression" dxfId="7" priority="10949" stopIfTrue="1">
      <formula>I$2076&lt;&gt;"√"</formula>
    </cfRule>
  </conditionalFormatting>
  <conditionalFormatting sqref="K2077">
    <cfRule type="expression" dxfId="6" priority="10950">
      <formula>AND($K$2077&lt;&gt;0,$K$2077&lt;&gt;"")</formula>
    </cfRule>
    <cfRule type="expression" dxfId="5" priority="10951" stopIfTrue="1">
      <formula>$L$2077&lt;&gt;"√"</formula>
    </cfRule>
  </conditionalFormatting>
  <conditionalFormatting sqref="S3:S4 S7">
    <cfRule type="containsText" dxfId="4" priority="4" stopIfTrue="1" operator="containsText" text="删除">
      <formula>NOT(ISERROR(SEARCH("删除",S3)))</formula>
    </cfRule>
    <cfRule type="containsText" dxfId="3" priority="5" stopIfTrue="1" operator="containsText" text="修改">
      <formula>NOT(ISERROR(SEARCH("修改",S3)))</formula>
    </cfRule>
    <cfRule type="containsText" dxfId="2" priority="6" stopIfTrue="1" operator="containsText" text="新增">
      <formula>NOT(ISERROR(SEARCH("新增",S3)))</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893:I5899 H1966:K1970 H2880:I2888 H3609:H3616 H3591:I3597 H3342:H3348 H3522:H3529 H3272:K3275 M2417:M2422 H3631:K3632 H3621:K3627 H3494:I3500 P3397:P3407 M3397:M3405 H3397:J3405 H3369 H3362:H3367 H3279:I3285 H3218:M3224 H2764:H2770 J3173:M3173 N3224 J3236:N3236 J3317:K3317 H3261:K3268 H3322:I3328 H2824:I2828 H3309:I3317 H3289:I3297 H3229:I3236 H3332:H3338 H3180:M3186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18:H3419 I3413:I3419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1:I4127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3:M3199 H3205:M3211 P3368 I3384:K3393 H3393 H3424:I3430 M3384:M3393 H3407:J3407 P3384:P3393 M3407 H3373:H3379 J3373:J3379 H3446:I3453 H3474:H3480 H3504:H3510 H3571:H3577 H3581:I3587 H3484:H3490 J3484:J3490 H3435:I3441 K3338 H3457:I3462 H3352:H3358 J993:J1005 H1658:H1664 J1433:J1440 H1433:H1440 H1513:H1519 M923:M932 H923:J932 H913:I919 H903:I909 H882:H889 H2835:M2846 M1878:M1881 L3982:L3987 H1016:I1026 H864:H870 J864:J870 M862:M870 H875:H880 H4779:I4788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5:I3255 J3245:K3245 J3247:K3255 H3763:I3768 H3561:H3567 H3811:I3817 H3773:I3775 H3777:I3780 H3782:I3789 H3804:I3804 H3749:K3758 M3982:P3988 H3717:I3725 H3730:K3745 H3684:K3686 H3688:K3699 H3701:K3704 H3706:K3712 H3793:H3799 H3832:I3838 H3859:H3865 H3869:H3875 H3930:I3936 H3940:I3946 H3950:H3956 K3950:Q3956 H3960:I3966 H3889:I3895 Q4067:Q4072 H3661:K3672 L4067:L4072 H4054:I4060 H3879:H3885 H4001:I4009 J3879:J3885 K4065:Q4065 K4060:L4060 K4013:K4019 H4033:H4039 K4033:K4039 K4023:K4029 H4023:H4029 H4013:H4019 H4043:H4049 J4043:J4049 H3971:I3978 H3919:I3925 H3821:H3827 K3966:L3966 K3982:K3988 I3827 H3907:H3914 H3806:I3809 H3982:H3988 H3544:I3550 Q3982:Q3987 H1474:H1482 N1474:N1482 H1062:I1070 H1150:I1158 H1414:I1419 H992:I1004 H1913:H1918 N1913:N1918 L2278:L2284 H2335:H2340 N2335:N2340 H2434:H2454 L2434:L2455 K2434:K2454 M2434:M2454 K2417:L2423 I2417:J2422 H3634:K3648 H3842:I3847 H3534:I3540 H4216:I4221 H4181:I4197 H4264:K4268 H4313:N4316 H4300:N4306 H4290:I4296 H4201:I4212 H4150:K4156 H4171:I4177 H4139:H4145 J4139:J4145 H4160:H4166 J4160:J4166 J4177:K4177 M4077:M4083 H4110:I4116 K4077:K4083 H4099:H4105 H4089:O4095 J4099:J4105 K4259 H4250:I4259 H4345:O4349 K4322:M4328 J4333:J4339 L4333:L4339 I4322:I4328 J4128 H5612:K5619 H5849:H5855 H5798:M5802 J5865:K5865 M5660:M5666 I5670:J5676 I5680:J5686 H5700:H5706 H5720:H5726 H5750:M5759 I5763:J5772 H6171:H6183 I5904:I5910 H6189:J6195 I6010:I6017 I5948:I5954 I5926:I5932 I5871:I5877 H5552:H5556 H5565:H5566 H5560:H5563 P5637:P5646 H5568 M5551:M5556 H5690:H5696 H5710:H5716 P5560:P5574 H5730:J5736 H5570:H5574 P5763:P5772 M5763:M5772 P5624:P5633 M5624:M5633 I5696:J5696 P5551:P5556 M5637:M5646 H5744:J5744 M5560:M5574 I5716:J5716 P5750:P5759 H5859:H5865 I5624:J5633 H5740:I5743 H6095:H6104 I5637:J5646 H6216:J6224 K5835 I5845:K5845 H5777:I5794 J5855:K5855 H5839:H5845 M5650:M5656 H6109:H6114 H6119:H6123 H6128:H6134 H6139:H6143 H6148:J6152 H6157:J6161 H6244:H6248 H6057:H6061 I5937:I5943 I6034:I6051 I6022:I6029 I5999:I6005 I5978:I5994 I5959:I5973 I5915:I5921 H6226:J6239 H6197:J6210 I5882:I5888 H6086:H6090 H6077:H6081 H6066:H6072 H6166:H6169 I5821:I5835 I5807:I5819 H5807:H5820 H5822:H5835 H5401:I5404 H5396:I5399 H5391:I5394 J5257:J5260 J5262:J5265 H5267:H5273 H5242:H5245 H5247:H5250 H5252:H5255 H5257:H5260 H5262:H5265 K5273 H5308:H5317 P5308:P5317 M5308:M5317 J5308:J5317 J5295:K5304 H5295:H5304 H4272:H4277 P5295:P5304 H5280:H5289 J5280:K5289 I4272:L4278 M4272:M4277 J5267:J5273 J5242:J5245 J5247:J5250 J5252:J5255 K5425:K5452 P5424:P5452 H5358:M5368 H5341:M5352 H5374:M5384 H5324:M5335 L5424:M5452 H5445:I5452 P5341:P5352 P5324:P5335 H5425:I5428 H5430:I5433 H5435:I5438 H5440:I5443 P5384 H5406:I5409 H5411:I5418 P5368 H5506:K5538 H5540:K5547 H5460:K5490 H5492:K5499 J5237:J5240 H4728:I4735 H5175:H5181 H5088:I5094 H5077:I5083 H5066:I5072 H5055:I5061 H5039:I5050 H5023:I5034 H5011:L5017 H5001:N5007 H4947:J4955 H4929:I4935 H4452:K4455 H4851:I4860 H4427:M4436 P4411 H4397:N4411 H4416:K4422 H4477:H4484 H4460:I4473 H4384:H4391 M4493:M4497 M4824:M4833 P4394 P4427:P4436 P4493:P4497 P4824:P4833 H4753:I4764 H4440:K4447 I4832:I4833 H4354:K4358 I4817:I4818 H4838:I4847 H4372:H4374 H4809:H4818 H4802:H4803 I4802:I4809 K4372:P4383 H4377:H4380 I4372:J4391 K4386:P4391 H4717:I4723 H4697:I4713 H4686:I4692 H4655:I4661 H4636:I4651 H4625:I4631 H4615:I4621 H4600:H4611 H4585:H4596 H4568:K4574 H4545:K4555 H4521:K4532 H4510:I4515 H4501:I4506 H4493:K4497 H5237:H5240 H4768:I4774 H5159:I5171 H5130:I5135 J4824:J4833 H5149:H5155 H5139:H5145 I5155 I5145 H5099:I5118 H5122:I5126 I4873:I4874 H4666:I4682 H4824:H4833 H4916:J4925 H4960:I4964 H4363:K4365 P4865:P4874 H4865:H4874 J4865:J4874 I4879:I4896 H4880 H4883:H4896 H4987:I4997 H4968:I4982 H5197:H5206 J5206:K5206 H4739:I4748 J5227:J5230 J5222:J5225 H5212:H5215 H5227:H5230 H5222:H5225 H5217:H5220 J5192:K5192 H5186:H5192 J5212:J5215 J5217:J5220 H2199:H2200 M5296:M5304 K4128:K4135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I2066:I2070">
      <formula1>-922337203685477</formula1>
      <formula2>922337203685477</formula2>
    </dataValidation>
    <dataValidation type="list" allowBlank="1" showErrorMessage="1" sqref="I6241 I3598 I3588 I3578 I3568 I3558 I3541 I3531 I3511 I3501 I3491 I3481 I3471 I3454 I3443 I3432 I3628 I3618 I3175 I3188 I3200 I3213 I3225 I3240 I3256 I3269 I3276 I3286 I3306 I3319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0 I3381 I3394 I3409 I3421 I3349 I3339 I3329 I3359 I3657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79 I3968 I3957 I3947 I3937 I3927 I3916 I3896 I3886 I3876 I3866 I3856 I3839 I3829 I3818 I3801 I3790 I3770 I3760 I3746 I3727 I3713 I3681 I3997 I4061 I4051 I4030 I4020 I4010 I4040 I4736 I5500 I4233 I4247 I4261 I4269 I4287 I4297 I4308 I4317 I4330 I4340 I4222 I4213 I4096 I4107 I4118 I4136 I4147 I4157 I4168 I4178 I4198 I4074 I4084 I5795 I5548 I5557 I5575 I5601 I5745 I5727 I5707 I5687 I5667 I5647 I5621 I5774 I5634 I5657 I5677 I5697 I5717 I5737 I5760 I5804 I5836 I5846 I5856 I5868 I5879 I5890 I5901 I5912 I5923 I5934 I5945 I5956 I5975 I5996 I6007 I6019 I6031 I6054 I6063 I6074 I6083 I6092 I6106 I6116 I6125 I6136 I6145 I6154 I6163 I6185 I6212 I5305 I5290 I5275 I5419 I5385 I5369 I5353 I5336 I5319 I5454 I4835 I4351 I4360 I4367 I4392 I4413 I4424 I4437 I4449 I4457 I4474 I4488 I4498 I4507 I4516 I4540 I4563 I4582 I4597 I4612 I4622 I4633 I4652 I4663 I4683 I4694 I4714 I4725 I4750 I4765 I4776 I4799 I4821 I4848 I5172 I5156 I5146 I5136 I5127 I5096 I5085 I5074 I5063 I5052 I5036 I5020 I5008 I4998 I4984 I4965 I4957 I4944 I4926 I4913 I4898 I4876 I4862 I5119 I5208 I5194 I518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25:K6225 H3776:I3776 H3660:K3660 H3633:K3633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4:I3514 H3521:I3521 H3608:I3608 H3601:I3601 H3228:I3228 I3412 H881:I881 H874:I874 H1393:L1393 H1541:L1541 H1548:L1548 H1497:K1497 L1356:P1356 H1353:J1353 H1371:L1371 J950:K950 H991:K991 H3810:I3810 H3805:I3805 H3716:I3716 H3687:K3687 H3700:K3700 H3705:K3705 H3906:I3906 J4065:J4066 H4064:Q4064 H4000:K4000 H3899:I3899 H3781:I3781 H5604:K5604 H5569:K5569 H5567:K5567 H5564:K5564 H6170:K6170 H5551:J5551 H5593:R5594 H5589:R5589 H5580:R5580 H5611:K5611 H6215:K6215 H6188:K6188 H6196:K6196 H5266:J5266 H5261:J5261 H5256:J5256 H5251:J5251 H5246:J5246 H5400:J5400 H5395:J5395 H5390:J5390 H5424:J5424 H5429:J5429 H5434:J5434 H5439:J5439 H5444:J5444 H5410:J5410 H5405:J5405 H5539:K5539 H5505:K5505 H5491:K5491 H5459:K5459 H5241:J5241 H5226:J5226 H5216:J5216 H5221:J5221 H5211:J5211 H5236:J5236 I523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21 H1952:J1955 I1793:I1794 H2162:J2168 H3412:H3417 H4879 H4804:H4808 K4384:P4385 H4881:H4882 J2194:J2198 H2194:H2198 H5231:H5235 J5231:J5235 H101:H105 H94:H99">
      <formula1>"—"</formula1>
    </dataValidation>
    <dataValidation type="list" showDropDown="1" showErrorMessage="1" errorTitle="REAL" error="该单元格不能填写，显示为‘—’。" prompt="如已执行新金融准则，则该单元格不能填写，显示为‘—’" sqref="I5820 J1935 H1936:I1936 H1937 I1934:J1934 H2035:H2044 H2046 L2053:O2061 J3246:K3246 H4375:H4376 H4381:H4383 H853:H855 I701:I703">
      <formula1>"—"</formula1>
    </dataValidation>
    <dataValidation type="decimal" allowBlank="1" showInputMessage="1" showErrorMessage="1" errorTitle="WPE" error="请输入数值！" sqref="I5176:I5181 L4135 L4128:L4133 N2024:O2030 I3577:K3577 J1391 H1391 J1016:J1026 J1014 L1391 J1664:K1664 K1735 J1674:K1681 I1674 L4177 N2016:O2020 H504 L489 H489 J489 N550 J504 L504">
      <formula1>-922337203685477</formula1>
      <formula2>922337203685477</formula2>
    </dataValidation>
    <dataValidation type="list" showDropDown="1" showErrorMessage="1" errorTitle="REAL" error="该单元格不能填写，显示为‘—’。" sqref="I4865:I4872 L3406:O3406 I3406:J3406 I3368:O3368 L3048:L3061 I3062:K3104 L3090:O3104 I2967:N2980 I2939:J2966 K2925:K2938 I2687:O2695 L2654:L2663 I2676:K2685 I2665:K2674 L1804:O1809 L1843:O1851 K1828:M1836 I1851:K1851 I1809:K1809 I2144:J2144 J2145 H2146:I2146 H2147 I2356:J2356 J2357 H2358:I2358 H2359 I2523:I2527 I2500:I2503 H3384:H3392 I1498:J1498 J1499 H1501 H1500:I1500 I4810:I4816 I4824:I4831">
      <formula1>"—"</formula1>
    </dataValidation>
    <dataValidation type="list" allowBlank="1" showInputMessage="1" showErrorMessage="1" sqref="L4941 L4284 M4283 H4283 L4134 H4133:I4133 L3303 H3302:I3302 L3111 P3110 H3110 H2702 P2702 L2703 L3993:L3994 Q3993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68:I3468 L3469 H3555:I3555 L3556 H3654:K3654 L3655 H3678:K3678 L3679 H3853:I3853 L3854 H4537:K4537 L4538 H4560:K4560 L4561 H4579:K4579 L4580 H4940:I4940 H4795 L479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51" location="Notes!G7" display="^"/>
    <hyperlink ref="O24" location="Notes!NOTE_1704a" display="Notes!NOTE_1704a"/>
    <hyperlink ref="O1639" location="Notes!NOTE_1400a" display="Notes!NOTE_1400a"/>
    <hyperlink ref="K4865" location="Notes!NOTE_1121i" display="Notes!NOTE_1121i"/>
    <hyperlink ref="K4866" location="Notes!NOTE_1122u" display="Notes!NOTE_1122u"/>
    <hyperlink ref="K4867" location="Notes!NOTE_1221y" display="Notes!NOTE_1221y"/>
    <hyperlink ref="K4868" location="Notes!NOTE_1124f" display="Notes!NOTE_1124f"/>
    <hyperlink ref="K4869" location="Notes!NOTE_1505k" display="Notes!NOTE_1505k"/>
    <hyperlink ref="K4870" location="Notes!NOTE_1508k" display="Notes!NOTE_1508k"/>
    <hyperlink ref="K4871" location="Notes!NOTE_1531g" display="Notes!NOTE_1531g"/>
    <hyperlink ref="K4880" location="Notes!NOTE_1400b" display="Notes!NOTE_1400b"/>
    <hyperlink ref="K4883" location="Notes!NOTE_1511b" display="Notes!NOTE_1511b"/>
    <hyperlink ref="K4884" location="Notes!NOTE_1521h" display="Notes!NOTE_1521h"/>
    <hyperlink ref="K4885" location="Notes!NOTE_1601k" display="Notes!NOTE_1601k"/>
    <hyperlink ref="K4886" location="Notes!NOTE_1605a" display="Notes!NOTE_1605a"/>
    <hyperlink ref="K4887" location="Notes!NOTE_1604g" display="Notes!NOTE_1604g"/>
    <hyperlink ref="K4888" location="Notes!NOTE_1621c" display="Notes!NOTE_1621c"/>
    <hyperlink ref="K4889" location="Notes!NOTE_1631b" display="Notes!NOTE_1631b"/>
    <hyperlink ref="K4890" location="Notes!NOTE_1701a" display="Notes!NOTE_1701a"/>
    <hyperlink ref="K4891" location="Notes!NOTE_1711b" display="Notes!NOTE_1711b"/>
    <hyperlink ref="K4892" location="Notes!NOTE_1315f" display="Notes!NOTE_1315f"/>
    <hyperlink ref="L671" location="Notes!NOTE_1704a" display="Notes!NOTE_1704a"/>
    <hyperlink ref="L3373" location="Notes!NOTE_1704a" display="Notes!NOTE_1704a"/>
    <hyperlink ref="L3484" location="Notes!NOTE_1704a" display="Notes!NOTE_1704a"/>
    <hyperlink ref="L3879" location="Notes!NOTE_1704a" display="Notes!NOTE_1704a"/>
    <hyperlink ref="L4043" location="Notes!NOTE_1704a" display="Notes!NOTE_1704a"/>
    <hyperlink ref="L4139" location="Notes!NOTE_1704a" display="Notes!NOTE_1704a"/>
    <hyperlink ref="L4160"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4" location="Notes!NOTE_9120p" display="Notes!NOTE_9120p"/>
    <hyperlink ref="K3591" location="Notes!NOTE_9120p" display="Notes!NOTE_9120p"/>
    <hyperlink ref="K3889"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099" location="Notes!NOTE_1704a" display="Notes!NOTE_1704a"/>
    <hyperlink ref="K5211" location="Notes!NOTE_1015a" display="Notes!NOTE_1015a"/>
    <hyperlink ref="K5216" location="Notes!NOTE_1121m" display="Notes!NOTE_1121m"/>
    <hyperlink ref="K5221" location="Notes!NOTE_1122c" display="Notes!NOTE_1122c"/>
    <hyperlink ref="K5226" location="Notes!NOTE_1221c" display="Notes!NOTE_1221c"/>
    <hyperlink ref="K5231" location="Notes!NOTE_1501f" display="Notes!NOTE_1501f"/>
    <hyperlink ref="K5236" location="Notes!NOTE_1531f" display="Notes!NOTE_1531f"/>
    <hyperlink ref="K5251" location="Notes!NOTE_2001c" display="Notes!NOTE_2001c"/>
    <hyperlink ref="K5241" location="Notes!NOTE_2202d" display="Notes!NOTE_2202d"/>
    <hyperlink ref="K5246" location="Notes!NOTE_2241g" display="Notes!NOTE_2241g"/>
    <hyperlink ref="K5261" location="Notes!NOTE_2501c" display="Notes!NOTE_2501c"/>
    <hyperlink ref="K5256" location="Notes!NOTE_2502e" display="Notes!NOTE_2502e"/>
    <hyperlink ref="K526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299" location="Notes!NOTE_1829e" display="Notes!NOTE_1829e"/>
    <hyperlink ref="J3465" location="Notes!NOTE_2202e" display="Notes!NOTE_2202e"/>
    <hyperlink ref="J3552" location="Notes!NOTE_2205f" display="Notes!NOTE_2205f"/>
    <hyperlink ref="L3651" location="Notes!NOTE_2211a" display="Notes!NOTE_2211a"/>
    <hyperlink ref="L3675" location="Notes!NOTE_2211a" display="Notes!NOTE_2211a"/>
    <hyperlink ref="M3763" location="Notes!NOTE_2231a" display="Notes!NOTE_2231a"/>
    <hyperlink ref="M3764" location="Notes!NOTE_2232a" display="Notes!NOTE_2232a"/>
    <hyperlink ref="M3765" location="Notes!NOTE_2241e" display="Notes!NOTE_2241e"/>
    <hyperlink ref="J3850" location="Notes!NOTE_2241e" display="Notes!NOTE_2241e"/>
    <hyperlink ref="M3930" location="Notes!NOTE_2501a" display="Notes!NOTE_2501a"/>
    <hyperlink ref="M3931" location="Notes!NOTE_2502b" display="Notes!NOTE_2502b"/>
    <hyperlink ref="M3932" location="Notes!NOTE_2706a" display="Notes!NOTE_2706a"/>
    <hyperlink ref="R3990" location="Notes!NOTE_2396a" display="Notes!NOTE_2396a"/>
    <hyperlink ref="J4130" location="Notes!NOTE_2706a" display="Notes!NOTE_2706a"/>
    <hyperlink ref="O4280" location="Notes!NOTE_2401a" display="Notes!NOTE_2401a"/>
    <hyperlink ref="P4272" location="Notes!NOTE_9371h" display="Notes!NOTE_9371h"/>
    <hyperlink ref="P4273" location="Notes!NOTE_9371i" display="Notes!NOTE_9371i"/>
    <hyperlink ref="N5280" location="Notes!NOTE_2401b" display="Notes!NOTE_2401b"/>
    <hyperlink ref="N5295" location="Notes!NOTE_2401b" display="Notes!NOTE_2401b"/>
    <hyperlink ref="N4636" location="Notes!NOTE_2221a" display="Notes!NOTE_2221a"/>
    <hyperlink ref="N4779" location="Notes!NOTE_9371h" display="Notes!NOTE_9371h"/>
    <hyperlink ref="N4780" location="Notes!NOTE_9371i" display="Notes!NOTE_9371i"/>
    <hyperlink ref="K4791" location="Notes!NOTE_2401b" display="Notes!NOTE_2401b"/>
    <hyperlink ref="L4802" location="Notes!NOTE_1511b" display="Notes!NOTE_1511b"/>
    <hyperlink ref="K4937" location="Notes!NOTE_6710a" display="Notes!NOTE_6710a"/>
    <hyperlink ref="L4929" location="Notes!NOTE_9371h" display="Notes!NOTE_9371h"/>
    <hyperlink ref="L4930" location="Notes!NOTE_9371i" display="Notes!NOTE_9371i"/>
    <hyperlink ref="N5281" location="Notes!NOTE_6710b" display="Notes!NOTE_6710b"/>
    <hyperlink ref="N5296" location="Notes!NOTE_6710b" display="Notes!NOTE_6710b"/>
    <hyperlink ref="M496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华软金信科技（北京）有限公司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43861</v>
      </c>
      <c r="I3" s="14" t="s">
        <v>6594</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华软金信科技（北京）有限公司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43861</v>
      </c>
      <c r="H3" s="14" t="s">
        <v>6595</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6643</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6644</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43861.470752314803</v>
      </c>
    </row>
    <row r="16" spans="1:28">
      <c r="L16" s="2806" t="s">
        <v>4969</v>
      </c>
      <c r="M16" s="2806" t="s">
        <v>6656</v>
      </c>
    </row>
    <row r="17" spans="12:13">
      <c r="L17" s="2806" t="s">
        <v>4970</v>
      </c>
    </row>
    <row r="18" spans="12:13">
      <c r="L18" s="2806" t="s">
        <v>4971</v>
      </c>
    </row>
    <row r="19" spans="12:13">
      <c r="L19" s="2806" t="s">
        <v>4972</v>
      </c>
      <c r="M19" s="2806" t="s">
        <v>6645</v>
      </c>
    </row>
    <row r="20" spans="12:13">
      <c r="L20" s="2806" t="s">
        <v>4973</v>
      </c>
      <c r="M20" s="2806" t="s">
        <v>6646</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6647</v>
      </c>
    </row>
    <row r="25" spans="12:13">
      <c r="L25" s="2806" t="s">
        <v>4978</v>
      </c>
    </row>
    <row r="26" spans="12:13">
      <c r="L26" s="2806" t="s">
        <v>4979</v>
      </c>
      <c r="M26" s="2806" t="s">
        <v>5880</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6608</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6648</v>
      </c>
    </row>
  </sheetData>
  <sheetProtection algorithmName="SHA-512" hashValue="zt/Np25AvTuQU+VWI58Ww7S25l8VIMMFVjZuJHfCeejeZTsk7ZFONashw2QY8hYnzh+XUmT32FaJ3LkqGBHJ5w==" saltValue="fIii9kk2nF5D9QQTVU95Yw==" spinCount="100000" sheet="1" scenarios="1" formatCells="0" autoFilter="0"/>
  <phoneticPr fontId="163" type="noConversion"/>
  <pageMargins left="0.75" right="0.75" top="1" bottom="1" header="0.5" footer="0.5"/>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K138"/>
  <sheetViews>
    <sheetView showZeros="0" workbookViewId="0">
      <selection activeCell="K121" sqref="K121"/>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华软金信科技（北京）有限公司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45" t="s">
        <v>6596</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340266.93</v>
      </c>
      <c r="E13" s="152">
        <f>IF(D$55=0,"",D13/D$55)</f>
        <v>8.0000000000000004E-4</v>
      </c>
      <c r="F13" s="70">
        <f t="shared" ref="F13:F27" si="3">VLOOKUP($B13,Sheet_Trialbal,3,0)</f>
        <v>0</v>
      </c>
      <c r="G13" s="152" t="str">
        <f>IF(F$55=0,"",F13/F$55)</f>
        <v/>
      </c>
      <c r="H13" s="152" t="str">
        <f t="shared" ref="H13:H30" si="4">IF(OR(G13="",E13=""),"",G13-E13)</f>
        <v/>
      </c>
      <c r="I13" s="70">
        <f t="shared" ref="I13" si="5">IF(OR(F13="",D13=""),"",F13-D13)</f>
        <v>-340266.93</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18">
      <c r="A18" s="30"/>
      <c r="B18" s="150">
        <v>1122</v>
      </c>
      <c r="C18" s="151" t="str">
        <f t="shared" si="0"/>
        <v>应收账款</v>
      </c>
      <c r="D18" s="70">
        <f t="shared" si="2"/>
        <v>0</v>
      </c>
      <c r="E18" s="152">
        <f t="shared" si="6"/>
        <v>0</v>
      </c>
      <c r="F18" s="70">
        <f t="shared" si="3"/>
        <v>0</v>
      </c>
      <c r="G18" s="152" t="str">
        <f t="shared" si="7"/>
        <v/>
      </c>
      <c r="H18" s="152" t="str">
        <f t="shared" si="8"/>
        <v/>
      </c>
      <c r="I18" s="70">
        <f t="shared" si="9"/>
        <v>0</v>
      </c>
      <c r="J18" s="152" t="str">
        <f t="shared" si="10"/>
        <v/>
      </c>
      <c r="K18" s="163"/>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496233.65</v>
      </c>
      <c r="E20" s="152">
        <f t="shared" si="6"/>
        <v>1.1000000000000001E-3</v>
      </c>
      <c r="F20" s="70">
        <f t="shared" si="3"/>
        <v>0</v>
      </c>
      <c r="G20" s="152" t="str">
        <f t="shared" si="7"/>
        <v/>
      </c>
      <c r="H20" s="152" t="str">
        <f t="shared" si="8"/>
        <v/>
      </c>
      <c r="I20" s="70">
        <f t="shared" si="9"/>
        <v>-496233.65</v>
      </c>
      <c r="J20" s="152">
        <f t="shared" si="10"/>
        <v>-1</v>
      </c>
      <c r="K20" s="163"/>
    </row>
    <row r="21" spans="1:11" ht="24">
      <c r="A21" s="30"/>
      <c r="B21" s="150">
        <v>1220</v>
      </c>
      <c r="C21" s="151" t="str">
        <f>IF($B21="","",VLOOKUP($B21,Sheet_Items,2,0))</f>
        <v>其他应收款（报表项目）</v>
      </c>
      <c r="D21" s="70">
        <f t="shared" si="2"/>
        <v>4191637.3</v>
      </c>
      <c r="E21" s="152">
        <f t="shared" si="6"/>
        <v>9.2999999999999992E-3</v>
      </c>
      <c r="F21" s="70">
        <f t="shared" si="3"/>
        <v>0</v>
      </c>
      <c r="G21" s="152" t="str">
        <f t="shared" si="7"/>
        <v/>
      </c>
      <c r="H21" s="152" t="str">
        <f t="shared" si="8"/>
        <v/>
      </c>
      <c r="I21" s="70">
        <f t="shared" si="9"/>
        <v>-4191637.3</v>
      </c>
      <c r="J21" s="152">
        <f t="shared" si="10"/>
        <v>-1</v>
      </c>
      <c r="K21" s="3104" t="s">
        <v>6814</v>
      </c>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t="str">
        <f t="shared" si="7"/>
        <v/>
      </c>
      <c r="H27" s="152" t="str">
        <f t="shared" si="8"/>
        <v/>
      </c>
      <c r="I27" s="70">
        <f t="shared" si="9"/>
        <v>0</v>
      </c>
      <c r="J27" s="152" t="str">
        <f t="shared" si="10"/>
        <v/>
      </c>
      <c r="K27" s="163"/>
    </row>
    <row r="28" spans="1:11" ht="18">
      <c r="A28" s="30"/>
      <c r="B28" s="150">
        <v>1498</v>
      </c>
      <c r="C28" s="153" t="str">
        <f t="shared" si="0"/>
        <v>流动资产合计</v>
      </c>
      <c r="D28" s="154">
        <f>SUM(D13:D27)-SUM(D22,D23)</f>
        <v>5028137.88</v>
      </c>
      <c r="E28" s="154">
        <f>SUM(E13:E27)-SUM(E22,E23)</f>
        <v>0.01</v>
      </c>
      <c r="F28" s="154">
        <f t="shared" ref="F28:I28" si="11">SUM(F13:F27)-SUM(F22,F23)</f>
        <v>0</v>
      </c>
      <c r="G28" s="154">
        <f t="shared" si="11"/>
        <v>0</v>
      </c>
      <c r="H28" s="154">
        <f t="shared" si="11"/>
        <v>0</v>
      </c>
      <c r="I28" s="154">
        <f t="shared" si="11"/>
        <v>-5028137.88</v>
      </c>
      <c r="J28" s="152">
        <f t="shared" si="10"/>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IF(D$55=0,"",D30/D$55)</f>
        <v>0</v>
      </c>
      <c r="F30" s="70">
        <f t="shared" ref="F30:F53" si="14">VLOOKUP($B30,Sheet_Trialbal,3,0)</f>
        <v>0</v>
      </c>
      <c r="G30" s="152" t="str">
        <f>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5">IF(D$55=0,"",D31/D$55)</f>
        <v>0</v>
      </c>
      <c r="F31" s="70">
        <f t="shared" si="14"/>
        <v>0</v>
      </c>
      <c r="G31" s="152" t="str">
        <f t="shared" ref="G31:G53" si="16">IF(F$55=0,"",F31/F$55)</f>
        <v/>
      </c>
      <c r="H31" s="152" t="str">
        <f t="shared" ref="H31:H53" si="17">IF(OR(G31="",E31=""),"",G31-E31)</f>
        <v/>
      </c>
      <c r="I31" s="70">
        <f t="shared" ref="I31:I53" si="18">IF(OR(F31="",D31=""),"",F31-D31)</f>
        <v>0</v>
      </c>
      <c r="J31" s="152" t="str">
        <f t="shared" ref="J31:J53" si="19">IF(OR(I31="",D31="",D31=0),"",I31/D31)</f>
        <v/>
      </c>
      <c r="K31" s="163"/>
    </row>
    <row r="32" spans="1:11" ht="18">
      <c r="A32" s="30"/>
      <c r="B32" s="150">
        <v>1508</v>
      </c>
      <c r="C32" s="151" t="str">
        <f t="shared" si="0"/>
        <v>其他债权投资</v>
      </c>
      <c r="D32" s="70">
        <f t="shared" si="13"/>
        <v>0</v>
      </c>
      <c r="E32" s="152">
        <f t="shared" si="15"/>
        <v>0</v>
      </c>
      <c r="F32" s="70">
        <f t="shared" si="14"/>
        <v>0</v>
      </c>
      <c r="G32" s="152" t="str">
        <f t="shared" si="16"/>
        <v/>
      </c>
      <c r="H32" s="152" t="str">
        <f t="shared" si="17"/>
        <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t="str">
        <f t="shared" si="16"/>
        <v/>
      </c>
      <c r="H33" s="152" t="str">
        <f t="shared" si="17"/>
        <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t="str">
        <f t="shared" si="16"/>
        <v/>
      </c>
      <c r="H34" s="152" t="str">
        <f t="shared" si="17"/>
        <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t="str">
        <f t="shared" si="16"/>
        <v/>
      </c>
      <c r="H35" s="152" t="str">
        <f t="shared" si="17"/>
        <v/>
      </c>
      <c r="I35" s="70">
        <f t="shared" si="18"/>
        <v>0</v>
      </c>
      <c r="J35" s="152" t="str">
        <f t="shared" si="19"/>
        <v/>
      </c>
      <c r="K35" s="163"/>
    </row>
    <row r="36" spans="1:11" ht="18">
      <c r="A36" s="30"/>
      <c r="B36" s="150">
        <v>1511</v>
      </c>
      <c r="C36" s="151" t="str">
        <f t="shared" si="0"/>
        <v>长期股权投资</v>
      </c>
      <c r="D36" s="70">
        <f t="shared" si="13"/>
        <v>445619464.50999999</v>
      </c>
      <c r="E36" s="152">
        <f t="shared" si="15"/>
        <v>0.9859</v>
      </c>
      <c r="F36" s="70">
        <f t="shared" si="14"/>
        <v>0</v>
      </c>
      <c r="G36" s="152" t="str">
        <f t="shared" si="16"/>
        <v/>
      </c>
      <c r="H36" s="152" t="str">
        <f t="shared" si="17"/>
        <v/>
      </c>
      <c r="I36" s="70">
        <f t="shared" si="18"/>
        <v>-445619464.50999999</v>
      </c>
      <c r="J36" s="152">
        <f t="shared" si="19"/>
        <v>-1</v>
      </c>
      <c r="K36" s="163"/>
    </row>
    <row r="37" spans="1:11" ht="18">
      <c r="A37" s="30"/>
      <c r="B37" s="150">
        <v>1538</v>
      </c>
      <c r="C37" s="151" t="str">
        <f t="shared" si="0"/>
        <v>其他权益工具投资</v>
      </c>
      <c r="D37" s="70">
        <f t="shared" si="13"/>
        <v>0</v>
      </c>
      <c r="E37" s="152">
        <f t="shared" si="15"/>
        <v>0</v>
      </c>
      <c r="F37" s="70">
        <f t="shared" si="14"/>
        <v>0</v>
      </c>
      <c r="G37" s="152" t="str">
        <f t="shared" si="16"/>
        <v/>
      </c>
      <c r="H37" s="152" t="str">
        <f t="shared" si="17"/>
        <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t="str">
        <f t="shared" si="16"/>
        <v/>
      </c>
      <c r="H38" s="152" t="str">
        <f t="shared" si="17"/>
        <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t="str">
        <f t="shared" si="16"/>
        <v/>
      </c>
      <c r="H39" s="152" t="str">
        <f t="shared" si="17"/>
        <v/>
      </c>
      <c r="I39" s="70">
        <f t="shared" si="18"/>
        <v>0</v>
      </c>
      <c r="J39" s="152" t="str">
        <f t="shared" si="19"/>
        <v/>
      </c>
      <c r="K39" s="163"/>
    </row>
    <row r="40" spans="1:11" ht="18">
      <c r="A40" s="30"/>
      <c r="B40" s="150">
        <v>1611</v>
      </c>
      <c r="C40" s="151" t="str">
        <f>IF($B40="","",VLOOKUP($B40,Sheet_Items,2,0))</f>
        <v>固定资产（报表项目）</v>
      </c>
      <c r="D40" s="70">
        <f t="shared" si="13"/>
        <v>221616.66</v>
      </c>
      <c r="E40" s="152">
        <f t="shared" si="15"/>
        <v>5.0000000000000001E-4</v>
      </c>
      <c r="F40" s="70">
        <f t="shared" si="14"/>
        <v>0</v>
      </c>
      <c r="G40" s="152" t="str">
        <f t="shared" si="16"/>
        <v/>
      </c>
      <c r="H40" s="152" t="str">
        <f t="shared" si="17"/>
        <v/>
      </c>
      <c r="I40" s="70">
        <f t="shared" si="18"/>
        <v>-221616.66</v>
      </c>
      <c r="J40" s="152">
        <f t="shared" si="19"/>
        <v>-1</v>
      </c>
      <c r="K40" s="163"/>
    </row>
    <row r="41" spans="1:11" ht="18">
      <c r="A41" s="30"/>
      <c r="B41" s="150">
        <v>1601</v>
      </c>
      <c r="C41" s="151" t="str">
        <f t="shared" si="0"/>
        <v>其中：固定资产</v>
      </c>
      <c r="D41" s="70">
        <f t="shared" si="13"/>
        <v>221616.66</v>
      </c>
      <c r="E41" s="152">
        <f t="shared" si="15"/>
        <v>5.0000000000000001E-4</v>
      </c>
      <c r="F41" s="70">
        <f t="shared" si="14"/>
        <v>0</v>
      </c>
      <c r="G41" s="152" t="str">
        <f t="shared" si="16"/>
        <v/>
      </c>
      <c r="H41" s="152" t="str">
        <f t="shared" si="17"/>
        <v/>
      </c>
      <c r="I41" s="70">
        <f t="shared" si="18"/>
        <v>-221616.66</v>
      </c>
      <c r="J41" s="152">
        <f t="shared" si="19"/>
        <v>-1</v>
      </c>
      <c r="K41" s="163"/>
    </row>
    <row r="42" spans="1:11" ht="18">
      <c r="A42" s="30"/>
      <c r="B42" s="150">
        <v>1606</v>
      </c>
      <c r="C42" s="151" t="str">
        <f>IF($B42="","",VLOOKUP($B42,Sheet_Items,6,0))</f>
        <v>固定资产清理</v>
      </c>
      <c r="D42" s="70">
        <f t="shared" si="13"/>
        <v>0</v>
      </c>
      <c r="E42" s="152">
        <f t="shared" si="15"/>
        <v>0</v>
      </c>
      <c r="F42" s="70">
        <f t="shared" si="14"/>
        <v>0</v>
      </c>
      <c r="G42" s="152" t="str">
        <f t="shared" si="16"/>
        <v/>
      </c>
      <c r="H42" s="152" t="str">
        <f t="shared" si="17"/>
        <v/>
      </c>
      <c r="I42" s="70">
        <f t="shared" si="18"/>
        <v>0</v>
      </c>
      <c r="J42" s="152" t="str">
        <f t="shared" si="19"/>
        <v/>
      </c>
      <c r="K42" s="163"/>
    </row>
    <row r="43" spans="1:11" ht="18">
      <c r="A43" s="30"/>
      <c r="B43" s="150">
        <v>1616</v>
      </c>
      <c r="C43" s="151" t="str">
        <f>IF($B43="","",VLOOKUP($B43,Sheet_Items,2,0))</f>
        <v>在建工程（报表项目）</v>
      </c>
      <c r="D43" s="70">
        <f t="shared" si="13"/>
        <v>0</v>
      </c>
      <c r="E43" s="152">
        <f t="shared" si="15"/>
        <v>0</v>
      </c>
      <c r="F43" s="70">
        <f t="shared" si="14"/>
        <v>0</v>
      </c>
      <c r="G43" s="152" t="str">
        <f t="shared" si="16"/>
        <v/>
      </c>
      <c r="H43" s="152" t="str">
        <f t="shared" si="17"/>
        <v/>
      </c>
      <c r="I43" s="70">
        <f t="shared" si="18"/>
        <v>0</v>
      </c>
      <c r="J43" s="152" t="str">
        <f t="shared" si="19"/>
        <v/>
      </c>
      <c r="K43" s="163"/>
    </row>
    <row r="44" spans="1:11" ht="18">
      <c r="A44" s="30"/>
      <c r="B44" s="150">
        <v>1604</v>
      </c>
      <c r="C44" s="151" t="str">
        <f t="shared" si="0"/>
        <v>其中：在建工程</v>
      </c>
      <c r="D44" s="70">
        <f t="shared" si="13"/>
        <v>0</v>
      </c>
      <c r="E44" s="152">
        <f t="shared" si="15"/>
        <v>0</v>
      </c>
      <c r="F44" s="70">
        <f t="shared" si="14"/>
        <v>0</v>
      </c>
      <c r="G44" s="152" t="str">
        <f t="shared" si="16"/>
        <v/>
      </c>
      <c r="H44" s="152" t="str">
        <f t="shared" si="17"/>
        <v/>
      </c>
      <c r="I44" s="70">
        <f t="shared" si="18"/>
        <v>0</v>
      </c>
      <c r="J44" s="152" t="str">
        <f t="shared" si="19"/>
        <v/>
      </c>
      <c r="K44" s="163"/>
    </row>
    <row r="45" spans="1:11" ht="18">
      <c r="A45" s="30"/>
      <c r="B45" s="150">
        <v>1605</v>
      </c>
      <c r="C45" s="151" t="str">
        <f t="shared" si="0"/>
        <v>工程物资</v>
      </c>
      <c r="D45" s="70">
        <f t="shared" si="13"/>
        <v>0</v>
      </c>
      <c r="E45" s="152">
        <f t="shared" si="15"/>
        <v>0</v>
      </c>
      <c r="F45" s="70">
        <f t="shared" si="14"/>
        <v>0</v>
      </c>
      <c r="G45" s="152" t="str">
        <f t="shared" si="16"/>
        <v/>
      </c>
      <c r="H45" s="152" t="str">
        <f t="shared" si="17"/>
        <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t="str">
        <f t="shared" si="16"/>
        <v/>
      </c>
      <c r="H46" s="152" t="str">
        <f t="shared" si="17"/>
        <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t="str">
        <f t="shared" si="16"/>
        <v/>
      </c>
      <c r="H47" s="152" t="str">
        <f t="shared" si="17"/>
        <v/>
      </c>
      <c r="I47" s="70">
        <f t="shared" si="18"/>
        <v>0</v>
      </c>
      <c r="J47" s="152" t="str">
        <f t="shared" si="19"/>
        <v/>
      </c>
      <c r="K47" s="163"/>
    </row>
    <row r="48" spans="1:11" ht="18">
      <c r="A48" s="30"/>
      <c r="B48" s="150">
        <v>1701</v>
      </c>
      <c r="C48" s="151" t="str">
        <f t="shared" si="0"/>
        <v>无形资产</v>
      </c>
      <c r="D48" s="70">
        <f t="shared" si="13"/>
        <v>132000</v>
      </c>
      <c r="E48" s="152">
        <f t="shared" si="15"/>
        <v>2.9999999999999997E-4</v>
      </c>
      <c r="F48" s="70">
        <f t="shared" si="14"/>
        <v>0</v>
      </c>
      <c r="G48" s="152" t="str">
        <f t="shared" si="16"/>
        <v/>
      </c>
      <c r="H48" s="152" t="str">
        <f t="shared" si="17"/>
        <v/>
      </c>
      <c r="I48" s="70">
        <f t="shared" si="18"/>
        <v>-132000</v>
      </c>
      <c r="J48" s="152">
        <f t="shared" si="19"/>
        <v>-1</v>
      </c>
      <c r="K48" s="163"/>
    </row>
    <row r="49" spans="1:11" ht="24">
      <c r="A49" s="30"/>
      <c r="B49" s="150">
        <v>1700</v>
      </c>
      <c r="C49" s="151" t="str">
        <f t="shared" si="0"/>
        <v>开发支出</v>
      </c>
      <c r="D49" s="70">
        <f t="shared" si="13"/>
        <v>0</v>
      </c>
      <c r="E49" s="152">
        <f t="shared" si="15"/>
        <v>0</v>
      </c>
      <c r="F49" s="70">
        <f t="shared" si="14"/>
        <v>0</v>
      </c>
      <c r="G49" s="152" t="str">
        <f t="shared" si="16"/>
        <v/>
      </c>
      <c r="H49" s="152" t="str">
        <f t="shared" si="17"/>
        <v/>
      </c>
      <c r="I49" s="70">
        <f t="shared" si="18"/>
        <v>0</v>
      </c>
      <c r="J49" s="152" t="str">
        <f t="shared" si="19"/>
        <v/>
      </c>
      <c r="K49" s="3104" t="s">
        <v>6815</v>
      </c>
    </row>
    <row r="50" spans="1:11" ht="18">
      <c r="A50" s="30"/>
      <c r="B50" s="150">
        <v>1711</v>
      </c>
      <c r="C50" s="151" t="str">
        <f t="shared" si="0"/>
        <v>商誉</v>
      </c>
      <c r="D50" s="70">
        <f t="shared" si="13"/>
        <v>0</v>
      </c>
      <c r="E50" s="152">
        <f t="shared" si="15"/>
        <v>0</v>
      </c>
      <c r="F50" s="70">
        <f t="shared" si="14"/>
        <v>0</v>
      </c>
      <c r="G50" s="152" t="str">
        <f t="shared" si="16"/>
        <v/>
      </c>
      <c r="H50" s="152" t="str">
        <f t="shared" si="17"/>
        <v/>
      </c>
      <c r="I50" s="70">
        <f t="shared" si="18"/>
        <v>0</v>
      </c>
      <c r="J50" s="152" t="str">
        <f t="shared" si="19"/>
        <v/>
      </c>
      <c r="K50" s="163"/>
    </row>
    <row r="51" spans="1:11" ht="18">
      <c r="A51" s="30"/>
      <c r="B51" s="150">
        <v>1801</v>
      </c>
      <c r="C51" s="151" t="str">
        <f t="shared" si="0"/>
        <v>长期待摊费用</v>
      </c>
      <c r="D51" s="70">
        <f t="shared" si="13"/>
        <v>983014.49</v>
      </c>
      <c r="E51" s="152">
        <f t="shared" si="15"/>
        <v>2.2000000000000001E-3</v>
      </c>
      <c r="F51" s="70">
        <f t="shared" si="14"/>
        <v>0</v>
      </c>
      <c r="G51" s="152" t="str">
        <f t="shared" si="16"/>
        <v/>
      </c>
      <c r="H51" s="152" t="str">
        <f t="shared" si="17"/>
        <v/>
      </c>
      <c r="I51" s="70">
        <f t="shared" si="18"/>
        <v>-983014.49</v>
      </c>
      <c r="J51" s="152">
        <f t="shared" si="19"/>
        <v>-1</v>
      </c>
      <c r="K51" s="163"/>
    </row>
    <row r="52" spans="1:11" ht="18">
      <c r="A52" s="30"/>
      <c r="B52" s="150">
        <v>1811</v>
      </c>
      <c r="C52" s="151" t="str">
        <f t="shared" si="0"/>
        <v>递延所得税资产</v>
      </c>
      <c r="D52" s="70">
        <f t="shared" si="13"/>
        <v>0</v>
      </c>
      <c r="E52" s="152">
        <f t="shared" si="15"/>
        <v>0</v>
      </c>
      <c r="F52" s="70">
        <f t="shared" si="14"/>
        <v>0</v>
      </c>
      <c r="G52" s="152" t="str">
        <f t="shared" si="16"/>
        <v/>
      </c>
      <c r="H52" s="152" t="str">
        <f t="shared" si="17"/>
        <v/>
      </c>
      <c r="I52" s="70">
        <f t="shared" si="18"/>
        <v>0</v>
      </c>
      <c r="J52" s="152" t="str">
        <f t="shared" si="19"/>
        <v/>
      </c>
      <c r="K52" s="163"/>
    </row>
    <row r="53" spans="1:11" ht="18">
      <c r="A53" s="30"/>
      <c r="B53" s="150">
        <v>1996</v>
      </c>
      <c r="C53" s="151" t="str">
        <f t="shared" si="0"/>
        <v>其他非流动资产</v>
      </c>
      <c r="D53" s="70">
        <f t="shared" si="13"/>
        <v>0</v>
      </c>
      <c r="E53" s="152">
        <f t="shared" si="15"/>
        <v>0</v>
      </c>
      <c r="F53" s="70">
        <f t="shared" si="14"/>
        <v>0</v>
      </c>
      <c r="G53" s="152" t="str">
        <f t="shared" si="16"/>
        <v/>
      </c>
      <c r="H53" s="152" t="str">
        <f t="shared" si="17"/>
        <v/>
      </c>
      <c r="I53" s="70">
        <f t="shared" si="18"/>
        <v>0</v>
      </c>
      <c r="J53" s="152" t="str">
        <f t="shared" si="19"/>
        <v/>
      </c>
      <c r="K53" s="163"/>
    </row>
    <row r="54" spans="1:11" ht="18">
      <c r="A54" s="30"/>
      <c r="B54" s="150">
        <v>1998</v>
      </c>
      <c r="C54" s="153" t="str">
        <f t="shared" ref="C54:C93" si="20">IF($B54="","",VLOOKUP($B54,Sheet_Items,6,0))</f>
        <v>非流动资产合计</v>
      </c>
      <c r="D54" s="154">
        <f>SUM(D30:D53)-SUM(D41,D42,D44,D45)</f>
        <v>446956095.66000003</v>
      </c>
      <c r="E54" s="156">
        <f t="shared" ref="E54:I54" si="21">SUM(E30:E53)-SUM(E41,E42,E44,E45)</f>
        <v>0.9889</v>
      </c>
      <c r="F54" s="154">
        <f t="shared" si="21"/>
        <v>0</v>
      </c>
      <c r="G54" s="156">
        <f t="shared" si="21"/>
        <v>0</v>
      </c>
      <c r="H54" s="156">
        <f t="shared" si="21"/>
        <v>0</v>
      </c>
      <c r="I54" s="154">
        <f t="shared" si="21"/>
        <v>-446956095.66000003</v>
      </c>
      <c r="J54" s="152">
        <f t="shared" si="1"/>
        <v>-1</v>
      </c>
      <c r="K54" s="163"/>
    </row>
    <row r="55" spans="1:11" ht="18">
      <c r="A55" s="30"/>
      <c r="B55" s="150">
        <v>1999</v>
      </c>
      <c r="C55" s="153" t="str">
        <f t="shared" si="20"/>
        <v>资产总计</v>
      </c>
      <c r="D55" s="154">
        <f t="shared" ref="D55:I55" si="22">SUM(D28,D54)</f>
        <v>451984233.54000002</v>
      </c>
      <c r="E55" s="156">
        <f t="shared" si="22"/>
        <v>0.99890000000000001</v>
      </c>
      <c r="F55" s="154">
        <f t="shared" si="22"/>
        <v>0</v>
      </c>
      <c r="G55" s="156">
        <f t="shared" si="22"/>
        <v>0</v>
      </c>
      <c r="H55" s="156">
        <f t="shared" si="22"/>
        <v>0</v>
      </c>
      <c r="I55" s="154">
        <f t="shared" si="22"/>
        <v>-451984233.54000002</v>
      </c>
      <c r="J55" s="155">
        <f t="shared" ref="J55:J93" si="23">IF(OR(I55="",D55="",D55=0),"",I55/D55)</f>
        <v>-1</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18">
      <c r="A57" s="30"/>
      <c r="B57" s="150">
        <v>2001</v>
      </c>
      <c r="C57" s="151" t="str">
        <f t="shared" si="20"/>
        <v>短期借款</v>
      </c>
      <c r="D57" s="70">
        <f t="shared" ref="D57:D71" si="26">VLOOKUP($B57,Sheet_Trialbal,10,0)</f>
        <v>0</v>
      </c>
      <c r="E57" s="152">
        <f>IF(D$85=0,"",D57/D$85)</f>
        <v>0</v>
      </c>
      <c r="F57" s="70">
        <f t="shared" ref="F57:F71" si="27">VLOOKUP($B57,Sheet_Trialbal,3,0)</f>
        <v>0</v>
      </c>
      <c r="G57" s="152" t="str">
        <f>IF(F$85=0,"",F57/F$85)</f>
        <v/>
      </c>
      <c r="H57" s="152" t="str">
        <f t="shared" si="24"/>
        <v/>
      </c>
      <c r="I57" s="70">
        <f t="shared" si="25"/>
        <v>0</v>
      </c>
      <c r="J57" s="152" t="str">
        <f t="shared" si="23"/>
        <v/>
      </c>
      <c r="K57" s="163"/>
    </row>
    <row r="58" spans="1:11" ht="18">
      <c r="A58" s="30"/>
      <c r="B58" s="150">
        <v>2102</v>
      </c>
      <c r="C58" s="151" t="str">
        <f t="shared" si="20"/>
        <v>交易性金融负债</v>
      </c>
      <c r="D58" s="70">
        <f t="shared" si="26"/>
        <v>0</v>
      </c>
      <c r="E58" s="152">
        <f t="shared" ref="E58:E71" si="28">IF(D$85=0,"",D58/D$85)</f>
        <v>0</v>
      </c>
      <c r="F58" s="70">
        <f t="shared" si="27"/>
        <v>0</v>
      </c>
      <c r="G58" s="152" t="str">
        <f t="shared" ref="G58:G71" si="29">IF(F$85=0,"",F58/F$85)</f>
        <v/>
      </c>
      <c r="H58" s="152" t="str">
        <f t="shared" ref="H58:H71" si="30">IF(OR(G58="",E58=""),"",G58-E58)</f>
        <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t="str">
        <f t="shared" si="29"/>
        <v/>
      </c>
      <c r="H59" s="152" t="str">
        <f t="shared" si="30"/>
        <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t="str">
        <f t="shared" si="29"/>
        <v/>
      </c>
      <c r="H60" s="152" t="str">
        <f t="shared" si="30"/>
        <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t="str">
        <f t="shared" si="29"/>
        <v/>
      </c>
      <c r="H61" s="152" t="str">
        <f t="shared" si="30"/>
        <v/>
      </c>
      <c r="I61" s="70">
        <f t="shared" si="31"/>
        <v>0</v>
      </c>
      <c r="J61" s="152" t="str">
        <f t="shared" si="32"/>
        <v/>
      </c>
      <c r="K61" s="163"/>
    </row>
    <row r="62" spans="1:11" ht="18">
      <c r="A62" s="30"/>
      <c r="B62" s="150">
        <v>2202</v>
      </c>
      <c r="C62" s="151" t="str">
        <f t="shared" si="20"/>
        <v>应付账款</v>
      </c>
      <c r="D62" s="70">
        <f t="shared" si="26"/>
        <v>0</v>
      </c>
      <c r="E62" s="152">
        <f t="shared" si="28"/>
        <v>0</v>
      </c>
      <c r="F62" s="70">
        <f t="shared" si="27"/>
        <v>0</v>
      </c>
      <c r="G62" s="152" t="str">
        <f t="shared" si="29"/>
        <v/>
      </c>
      <c r="H62" s="152" t="str">
        <f t="shared" si="30"/>
        <v/>
      </c>
      <c r="I62" s="70">
        <f t="shared" si="31"/>
        <v>0</v>
      </c>
      <c r="J62" s="152" t="str">
        <f t="shared" si="32"/>
        <v/>
      </c>
      <c r="K62" s="163"/>
    </row>
    <row r="63" spans="1:11" ht="18">
      <c r="A63" s="30"/>
      <c r="B63" s="150">
        <v>2205</v>
      </c>
      <c r="C63" s="151" t="str">
        <f t="shared" si="20"/>
        <v>预收款项</v>
      </c>
      <c r="D63" s="70">
        <f t="shared" si="26"/>
        <v>0</v>
      </c>
      <c r="E63" s="152">
        <f t="shared" si="28"/>
        <v>0</v>
      </c>
      <c r="F63" s="70">
        <f t="shared" si="27"/>
        <v>0</v>
      </c>
      <c r="G63" s="152" t="str">
        <f t="shared" si="29"/>
        <v/>
      </c>
      <c r="H63" s="152" t="str">
        <f t="shared" si="30"/>
        <v/>
      </c>
      <c r="I63" s="70">
        <f t="shared" si="31"/>
        <v>0</v>
      </c>
      <c r="J63" s="152" t="str">
        <f t="shared" si="32"/>
        <v/>
      </c>
      <c r="K63" s="163"/>
    </row>
    <row r="64" spans="1:11" ht="18">
      <c r="A64" s="30"/>
      <c r="B64" s="150">
        <v>2211</v>
      </c>
      <c r="C64" s="151" t="str">
        <f t="shared" si="20"/>
        <v>应付职工薪酬</v>
      </c>
      <c r="D64" s="70">
        <f t="shared" si="26"/>
        <v>2712561.36</v>
      </c>
      <c r="E64" s="152">
        <f t="shared" si="28"/>
        <v>6.7999999999999996E-3</v>
      </c>
      <c r="F64" s="70">
        <f t="shared" si="27"/>
        <v>0</v>
      </c>
      <c r="G64" s="152" t="str">
        <f t="shared" si="29"/>
        <v/>
      </c>
      <c r="H64" s="152" t="str">
        <f t="shared" si="30"/>
        <v/>
      </c>
      <c r="I64" s="70">
        <f t="shared" si="31"/>
        <v>-2712561.36</v>
      </c>
      <c r="J64" s="152">
        <f t="shared" si="32"/>
        <v>-1</v>
      </c>
      <c r="K64" s="3104" t="s">
        <v>6816</v>
      </c>
    </row>
    <row r="65" spans="1:11" ht="18">
      <c r="A65" s="30"/>
      <c r="B65" s="150">
        <v>2221</v>
      </c>
      <c r="C65" s="151" t="str">
        <f t="shared" si="20"/>
        <v>应交税费</v>
      </c>
      <c r="D65" s="70">
        <f t="shared" si="26"/>
        <v>44562.07</v>
      </c>
      <c r="E65" s="152">
        <f t="shared" si="28"/>
        <v>1E-4</v>
      </c>
      <c r="F65" s="70">
        <f t="shared" si="27"/>
        <v>0</v>
      </c>
      <c r="G65" s="152" t="str">
        <f t="shared" si="29"/>
        <v/>
      </c>
      <c r="H65" s="152" t="str">
        <f t="shared" si="30"/>
        <v/>
      </c>
      <c r="I65" s="70">
        <f t="shared" si="31"/>
        <v>-44562.07</v>
      </c>
      <c r="J65" s="152">
        <f t="shared" si="32"/>
        <v>-1</v>
      </c>
      <c r="K65" s="163"/>
    </row>
    <row r="66" spans="1:11" ht="24">
      <c r="A66" s="30"/>
      <c r="B66" s="150">
        <v>2246</v>
      </c>
      <c r="C66" s="151" t="str">
        <f>IF($B66="","",VLOOKUP($B66,Sheet_Items,2,0))</f>
        <v>其他应付款（报表项目）</v>
      </c>
      <c r="D66" s="70">
        <f t="shared" si="26"/>
        <v>396457994.25</v>
      </c>
      <c r="E66" s="152">
        <f t="shared" si="28"/>
        <v>0.99309999999999998</v>
      </c>
      <c r="F66" s="70">
        <f t="shared" si="27"/>
        <v>0</v>
      </c>
      <c r="G66" s="152" t="str">
        <f t="shared" si="29"/>
        <v/>
      </c>
      <c r="H66" s="152" t="str">
        <f t="shared" si="30"/>
        <v/>
      </c>
      <c r="I66" s="70">
        <f t="shared" si="31"/>
        <v>-396457994.25</v>
      </c>
      <c r="J66" s="152">
        <f t="shared" si="32"/>
        <v>-1</v>
      </c>
      <c r="K66" s="3104" t="s">
        <v>6817</v>
      </c>
    </row>
    <row r="67" spans="1:11" ht="18">
      <c r="A67" s="30"/>
      <c r="B67" s="150">
        <v>2231</v>
      </c>
      <c r="C67" s="151" t="str">
        <f t="shared" si="20"/>
        <v>其中：应付利息</v>
      </c>
      <c r="D67" s="70">
        <f t="shared" si="26"/>
        <v>0</v>
      </c>
      <c r="E67" s="152">
        <f t="shared" si="28"/>
        <v>0</v>
      </c>
      <c r="F67" s="70">
        <f t="shared" si="27"/>
        <v>0</v>
      </c>
      <c r="G67" s="152" t="str">
        <f t="shared" si="29"/>
        <v/>
      </c>
      <c r="H67" s="152" t="str">
        <f t="shared" si="30"/>
        <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t="str">
        <f t="shared" si="29"/>
        <v/>
      </c>
      <c r="H68" s="152" t="str">
        <f t="shared" si="30"/>
        <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t="str">
        <f t="shared" si="29"/>
        <v/>
      </c>
      <c r="H69" s="152" t="str">
        <f t="shared" si="30"/>
        <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t="str">
        <f t="shared" si="29"/>
        <v/>
      </c>
      <c r="H70" s="152" t="str">
        <f t="shared" si="30"/>
        <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t="str">
        <f t="shared" si="29"/>
        <v/>
      </c>
      <c r="H71" s="152" t="str">
        <f t="shared" si="30"/>
        <v/>
      </c>
      <c r="I71" s="70">
        <f t="shared" si="31"/>
        <v>0</v>
      </c>
      <c r="J71" s="152" t="str">
        <f t="shared" si="32"/>
        <v/>
      </c>
      <c r="K71" s="163"/>
    </row>
    <row r="72" spans="1:11" ht="18">
      <c r="A72" s="30"/>
      <c r="B72" s="150">
        <v>2498</v>
      </c>
      <c r="C72" s="153" t="str">
        <f t="shared" si="20"/>
        <v>流动负债合计</v>
      </c>
      <c r="D72" s="154">
        <f>SUM(D57:D71)-SUM(D67,D68)</f>
        <v>399215117.68000001</v>
      </c>
      <c r="E72" s="156">
        <f t="shared" ref="E72:I72" si="33">SUM(E57:E71)-SUM(E67,E68)</f>
        <v>1</v>
      </c>
      <c r="F72" s="154">
        <f t="shared" si="33"/>
        <v>0</v>
      </c>
      <c r="G72" s="156">
        <f t="shared" si="33"/>
        <v>0</v>
      </c>
      <c r="H72" s="156">
        <f t="shared" si="33"/>
        <v>0</v>
      </c>
      <c r="I72" s="154">
        <f t="shared" si="33"/>
        <v>-399215117.68000001</v>
      </c>
      <c r="J72" s="152">
        <f t="shared" si="23"/>
        <v>-1</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t="str">
        <f t="shared" ref="G74:G83" si="39">IF(F$85=0,"",F74/F$85)</f>
        <v/>
      </c>
      <c r="H74" s="152" t="str">
        <f t="shared" si="34"/>
        <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t="str">
        <f t="shared" si="39"/>
        <v/>
      </c>
      <c r="H75" s="152" t="str">
        <f t="shared" si="34"/>
        <v/>
      </c>
      <c r="I75" s="70">
        <f t="shared" si="35"/>
        <v>0</v>
      </c>
      <c r="J75" s="152" t="str">
        <f t="shared" si="23"/>
        <v/>
      </c>
      <c r="K75" s="163"/>
    </row>
    <row r="76" spans="1:11" ht="18">
      <c r="A76" s="30"/>
      <c r="B76" s="150">
        <v>2706</v>
      </c>
      <c r="C76" s="151" t="str">
        <f>IF($B76="","",VLOOKUP($B76,Sheet_Items,2,0))</f>
        <v>长期应付款（报表项目）</v>
      </c>
      <c r="D76" s="70">
        <f t="shared" si="36"/>
        <v>0</v>
      </c>
      <c r="E76" s="152">
        <f t="shared" si="37"/>
        <v>0</v>
      </c>
      <c r="F76" s="70">
        <f t="shared" si="38"/>
        <v>0</v>
      </c>
      <c r="G76" s="152" t="str">
        <f t="shared" si="39"/>
        <v/>
      </c>
      <c r="H76" s="152" t="str">
        <f t="shared" si="34"/>
        <v/>
      </c>
      <c r="I76" s="70">
        <f t="shared" si="35"/>
        <v>0</v>
      </c>
      <c r="J76" s="152" t="str">
        <f t="shared" si="23"/>
        <v/>
      </c>
      <c r="K76" s="163"/>
    </row>
    <row r="77" spans="1:11" ht="18">
      <c r="A77" s="30"/>
      <c r="B77" s="150">
        <v>2701</v>
      </c>
      <c r="C77" s="151" t="str">
        <f t="shared" si="20"/>
        <v>其中：长期应付款</v>
      </c>
      <c r="D77" s="70">
        <f t="shared" si="36"/>
        <v>0</v>
      </c>
      <c r="E77" s="152">
        <f t="shared" si="37"/>
        <v>0</v>
      </c>
      <c r="F77" s="70">
        <f t="shared" si="38"/>
        <v>0</v>
      </c>
      <c r="G77" s="152" t="str">
        <f t="shared" si="39"/>
        <v/>
      </c>
      <c r="H77" s="152" t="str">
        <f t="shared" si="34"/>
        <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0</v>
      </c>
      <c r="G78" s="152" t="str">
        <f t="shared" si="39"/>
        <v/>
      </c>
      <c r="H78" s="152" t="str">
        <f t="shared" si="34"/>
        <v/>
      </c>
      <c r="I78" s="70">
        <f t="shared" si="35"/>
        <v>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t="str">
        <f t="shared" si="39"/>
        <v/>
      </c>
      <c r="H79" s="152" t="str">
        <f t="shared" si="34"/>
        <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t="str">
        <f t="shared" si="39"/>
        <v/>
      </c>
      <c r="H80" s="152" t="str">
        <f t="shared" si="34"/>
        <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t="str">
        <f t="shared" si="39"/>
        <v/>
      </c>
      <c r="H81" s="152" t="str">
        <f t="shared" si="34"/>
        <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t="str">
        <f t="shared" si="39"/>
        <v/>
      </c>
      <c r="H82" s="152" t="str">
        <f t="shared" si="34"/>
        <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t="str">
        <f t="shared" si="39"/>
        <v/>
      </c>
      <c r="H83" s="152" t="str">
        <f t="shared" si="34"/>
        <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0</v>
      </c>
      <c r="G84" s="156">
        <f>SUM(G74:G83)-SUM(G77,G78)</f>
        <v>0</v>
      </c>
      <c r="H84" s="156"/>
      <c r="I84" s="154">
        <f>SUM(I74:I83)-SUM(I77,I78)</f>
        <v>0</v>
      </c>
      <c r="J84" s="155" t="str">
        <f t="shared" si="23"/>
        <v/>
      </c>
      <c r="K84" s="163"/>
    </row>
    <row r="85" spans="1:11" ht="18">
      <c r="A85" s="30"/>
      <c r="B85" s="150">
        <v>2999</v>
      </c>
      <c r="C85" s="153" t="str">
        <f t="shared" si="20"/>
        <v>负债合计</v>
      </c>
      <c r="D85" s="154">
        <f>SUM(D72,D84)</f>
        <v>399215117.68000001</v>
      </c>
      <c r="E85" s="156">
        <f>SUM(E72,E84)</f>
        <v>1</v>
      </c>
      <c r="F85" s="154">
        <f>SUM(F72,F84)</f>
        <v>0</v>
      </c>
      <c r="G85" s="156">
        <f>SUM(G72,G84)</f>
        <v>0</v>
      </c>
      <c r="H85" s="156"/>
      <c r="I85" s="154">
        <f>SUM(I72,I84)</f>
        <v>-399215117.68000001</v>
      </c>
      <c r="J85" s="155">
        <f t="shared" si="23"/>
        <v>-1</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100000000</v>
      </c>
      <c r="E87" s="152">
        <f t="shared" ref="E87:E97" si="43">IF(D$98=0,"",D87/D$98)</f>
        <v>1.895</v>
      </c>
      <c r="F87" s="70">
        <f t="shared" ref="F87:F95" si="44">VLOOKUP($B87,Sheet_Trialbal,3,0)</f>
        <v>0</v>
      </c>
      <c r="G87" s="152">
        <f t="shared" ref="G87:G97" si="45">IF(F$98=0,"",F87/F$98)</f>
        <v>0</v>
      </c>
      <c r="H87" s="152">
        <f t="shared" si="40"/>
        <v>-1.895</v>
      </c>
      <c r="I87" s="70">
        <f t="shared" si="41"/>
        <v>-100000000</v>
      </c>
      <c r="J87" s="152">
        <f t="shared" si="23"/>
        <v>-1</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18">
      <c r="A89" s="30"/>
      <c r="B89" s="150">
        <v>4002</v>
      </c>
      <c r="C89" s="151" t="str">
        <f t="shared" si="20"/>
        <v>资本公积</v>
      </c>
      <c r="D89" s="70">
        <f t="shared" si="42"/>
        <v>0</v>
      </c>
      <c r="E89" s="152">
        <f t="shared" si="43"/>
        <v>0</v>
      </c>
      <c r="F89" s="70">
        <f t="shared" si="44"/>
        <v>0</v>
      </c>
      <c r="G89" s="152">
        <f t="shared" si="45"/>
        <v>0</v>
      </c>
      <c r="H89" s="152">
        <f t="shared" si="40"/>
        <v>0</v>
      </c>
      <c r="I89" s="70">
        <f t="shared" si="41"/>
        <v>0</v>
      </c>
      <c r="J89" s="152" t="str">
        <f t="shared" si="23"/>
        <v/>
      </c>
      <c r="K89" s="163"/>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0</v>
      </c>
      <c r="E93" s="152">
        <f t="shared" si="43"/>
        <v>0</v>
      </c>
      <c r="F93" s="70">
        <f t="shared" si="44"/>
        <v>0</v>
      </c>
      <c r="G93" s="152">
        <f t="shared" si="45"/>
        <v>0</v>
      </c>
      <c r="H93" s="152">
        <f t="shared" si="40"/>
        <v>0</v>
      </c>
      <c r="I93" s="70">
        <f t="shared" si="41"/>
        <v>0</v>
      </c>
      <c r="J93" s="152" t="str">
        <f t="shared" si="23"/>
        <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-47230884.140000001</v>
      </c>
      <c r="E95" s="152">
        <f t="shared" si="43"/>
        <v>-0.89500000000000002</v>
      </c>
      <c r="F95" s="70">
        <f t="shared" si="44"/>
        <v>-25297789.149999999</v>
      </c>
      <c r="G95" s="152">
        <f t="shared" si="45"/>
        <v>1</v>
      </c>
      <c r="H95" s="152">
        <f t="shared" si="40"/>
        <v>1.895</v>
      </c>
      <c r="I95" s="70">
        <f t="shared" si="41"/>
        <v>21933094.989999998</v>
      </c>
      <c r="J95" s="152">
        <f t="shared" si="47"/>
        <v>-0.46439999999999998</v>
      </c>
      <c r="K95" s="163"/>
    </row>
    <row r="96" spans="1:11" ht="18">
      <c r="A96" s="30"/>
      <c r="B96" s="150">
        <v>4298</v>
      </c>
      <c r="C96" s="164" t="str">
        <f t="shared" si="46"/>
        <v>归属于母公司所有者权益合计</v>
      </c>
      <c r="D96" s="154">
        <f>SUM(D87:D89,-D90,D91:D95)</f>
        <v>52769115.859999999</v>
      </c>
      <c r="E96" s="155">
        <f t="shared" si="43"/>
        <v>1</v>
      </c>
      <c r="F96" s="154">
        <f>SUM(F87:F89,-F90,F91:F95)</f>
        <v>-25297789.149999999</v>
      </c>
      <c r="G96" s="155">
        <f t="shared" si="45"/>
        <v>1</v>
      </c>
      <c r="H96" s="155">
        <f t="shared" si="40"/>
        <v>0</v>
      </c>
      <c r="I96" s="154">
        <f>SUM(I87:I89,-I90,I91:I95)</f>
        <v>-78066905.010000005</v>
      </c>
      <c r="J96" s="152">
        <f t="shared" si="47"/>
        <v>-1.4794</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52769115.859999999</v>
      </c>
      <c r="E98" s="156">
        <f t="shared" si="48"/>
        <v>1</v>
      </c>
      <c r="F98" s="154">
        <f t="shared" si="48"/>
        <v>-25297789.149999999</v>
      </c>
      <c r="G98" s="156">
        <f t="shared" si="48"/>
        <v>1</v>
      </c>
      <c r="H98" s="156">
        <f t="shared" si="48"/>
        <v>0</v>
      </c>
      <c r="I98" s="154">
        <f t="shared" si="48"/>
        <v>-78066905.010000005</v>
      </c>
      <c r="J98" s="152">
        <f t="shared" si="47"/>
        <v>-1.4794</v>
      </c>
      <c r="K98" s="163"/>
    </row>
    <row r="99" spans="1:11" ht="18">
      <c r="A99" s="30"/>
      <c r="B99" s="150">
        <v>5000</v>
      </c>
      <c r="C99" s="153" t="str">
        <f t="shared" si="46"/>
        <v>负债和所有者权益总计</v>
      </c>
      <c r="D99" s="154">
        <f>SUM(D85,D98)</f>
        <v>451984233.54000002</v>
      </c>
      <c r="E99" s="152"/>
      <c r="F99" s="154">
        <f>SUM(F85,F98)</f>
        <v>-25297789.149999999</v>
      </c>
      <c r="G99" s="152"/>
      <c r="H99" s="152" t="str">
        <f t="shared" ref="H99:H101" si="49">IF(OR(G99="",E99=""),"",G99-E99)</f>
        <v/>
      </c>
      <c r="I99" s="154">
        <f>SUM(I85,I98)</f>
        <v>-477282022.69</v>
      </c>
      <c r="J99" s="152">
        <f t="shared" si="47"/>
        <v>-1.056</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6282.79</v>
      </c>
      <c r="E101" s="152"/>
      <c r="F101" s="70">
        <f t="shared" ref="F101:F114" si="53">VLOOKUP($B101,Sheet_Trialbal,3,0)</f>
        <v>328458.53999999998</v>
      </c>
      <c r="G101" s="152"/>
      <c r="H101" s="152" t="str">
        <f t="shared" si="49"/>
        <v/>
      </c>
      <c r="I101" s="70">
        <f t="shared" si="50"/>
        <v>322175.75</v>
      </c>
      <c r="J101" s="152">
        <f t="shared" si="47"/>
        <v>51.2791</v>
      </c>
      <c r="K101" s="163"/>
    </row>
    <row r="102" spans="1:11" ht="18">
      <c r="A102" s="30"/>
      <c r="B102" s="150">
        <v>6401</v>
      </c>
      <c r="C102" s="151" t="str">
        <f t="shared" si="51"/>
        <v>营业成本</v>
      </c>
      <c r="D102" s="70">
        <f t="shared" si="52"/>
        <v>0</v>
      </c>
      <c r="E102" s="152"/>
      <c r="F102" s="70">
        <f t="shared" si="53"/>
        <v>8990453.4299999997</v>
      </c>
      <c r="G102" s="152"/>
      <c r="H102" s="152" t="str">
        <f t="shared" ref="H102:H114" si="54">IF(OR(G102="",E102=""),"",G102-E102)</f>
        <v/>
      </c>
      <c r="I102" s="70">
        <f t="shared" ref="I102:I114" si="55">IF(OR(F102="",D102=""),"",F102-D102)</f>
        <v>8990453.4299999997</v>
      </c>
      <c r="J102" s="152" t="str">
        <f t="shared" ref="J102:J115" si="56">IF(OR(I102="",D102="",D102=0),"",I102/D102)</f>
        <v/>
      </c>
      <c r="K102" s="163"/>
    </row>
    <row r="103" spans="1:11" ht="18">
      <c r="A103" s="30"/>
      <c r="B103" s="150">
        <v>6600</v>
      </c>
      <c r="C103" s="151" t="str">
        <f t="shared" si="51"/>
        <v>税金及附加</v>
      </c>
      <c r="D103" s="70">
        <f t="shared" si="52"/>
        <v>102037.26</v>
      </c>
      <c r="E103" s="152"/>
      <c r="F103" s="70">
        <f t="shared" si="53"/>
        <v>88392.34</v>
      </c>
      <c r="G103" s="152"/>
      <c r="H103" s="152" t="str">
        <f t="shared" si="54"/>
        <v/>
      </c>
      <c r="I103" s="70">
        <f t="shared" si="55"/>
        <v>-13644.92</v>
      </c>
      <c r="J103" s="152">
        <f t="shared" si="56"/>
        <v>-0.13370000000000001</v>
      </c>
      <c r="K103" s="163"/>
    </row>
    <row r="104" spans="1:11" ht="18">
      <c r="A104" s="30"/>
      <c r="B104" s="150">
        <v>6601</v>
      </c>
      <c r="C104" s="151" t="str">
        <f t="shared" si="51"/>
        <v>销售费用</v>
      </c>
      <c r="D104" s="70">
        <f t="shared" si="52"/>
        <v>533561.96</v>
      </c>
      <c r="E104" s="152"/>
      <c r="F104" s="70">
        <f t="shared" si="53"/>
        <v>6019256.5999999996</v>
      </c>
      <c r="G104" s="152"/>
      <c r="H104" s="152" t="str">
        <f t="shared" si="54"/>
        <v/>
      </c>
      <c r="I104" s="70">
        <f t="shared" si="55"/>
        <v>5485694.6399999997</v>
      </c>
      <c r="J104" s="152">
        <f t="shared" si="56"/>
        <v>10.2813</v>
      </c>
      <c r="K104" s="163"/>
    </row>
    <row r="105" spans="1:11" ht="18">
      <c r="A105" s="30"/>
      <c r="B105" s="150">
        <v>6602</v>
      </c>
      <c r="C105" s="151" t="str">
        <f t="shared" si="51"/>
        <v>管理费用</v>
      </c>
      <c r="D105" s="70">
        <f t="shared" si="52"/>
        <v>10602460.369999999</v>
      </c>
      <c r="E105" s="152"/>
      <c r="F105" s="70">
        <f t="shared" si="53"/>
        <v>15303416.08</v>
      </c>
      <c r="G105" s="152"/>
      <c r="H105" s="152" t="str">
        <f t="shared" si="54"/>
        <v/>
      </c>
      <c r="I105" s="70">
        <f t="shared" si="55"/>
        <v>4700955.71</v>
      </c>
      <c r="J105" s="152">
        <f t="shared" si="56"/>
        <v>0.44340000000000002</v>
      </c>
      <c r="K105" s="3104" t="s">
        <v>6818</v>
      </c>
    </row>
    <row r="106" spans="1:11" ht="18">
      <c r="A106" s="30"/>
      <c r="B106" s="150">
        <v>6606</v>
      </c>
      <c r="C106" s="151" t="str">
        <f t="shared" si="51"/>
        <v>研发费用</v>
      </c>
      <c r="D106" s="70">
        <f t="shared" si="52"/>
        <v>6800845.5</v>
      </c>
      <c r="E106" s="152"/>
      <c r="F106" s="70">
        <f t="shared" si="53"/>
        <v>0</v>
      </c>
      <c r="G106" s="152"/>
      <c r="H106" s="152" t="str">
        <f t="shared" si="54"/>
        <v/>
      </c>
      <c r="I106" s="70">
        <f t="shared" si="55"/>
        <v>-6800845.5</v>
      </c>
      <c r="J106" s="152">
        <f t="shared" si="56"/>
        <v>-1</v>
      </c>
      <c r="K106" s="163"/>
    </row>
    <row r="107" spans="1:11" ht="18">
      <c r="A107" s="30"/>
      <c r="B107" s="150">
        <v>6603</v>
      </c>
      <c r="C107" s="151" t="str">
        <f t="shared" si="51"/>
        <v>财务费用</v>
      </c>
      <c r="D107" s="70">
        <f t="shared" si="52"/>
        <v>4448695.43</v>
      </c>
      <c r="E107" s="152"/>
      <c r="F107" s="70">
        <f t="shared" si="53"/>
        <v>1495429.05</v>
      </c>
      <c r="G107" s="152"/>
      <c r="H107" s="152" t="str">
        <f t="shared" si="54"/>
        <v/>
      </c>
      <c r="I107" s="70">
        <f t="shared" si="55"/>
        <v>-2953266.38</v>
      </c>
      <c r="J107" s="152">
        <f t="shared" si="56"/>
        <v>-0.66379999999999995</v>
      </c>
      <c r="K107" s="3104" t="s">
        <v>6819</v>
      </c>
    </row>
    <row r="108" spans="1:11" ht="18">
      <c r="A108" s="30"/>
      <c r="B108" s="150">
        <v>6181</v>
      </c>
      <c r="C108" s="151" t="str">
        <f t="shared" si="51"/>
        <v>其他收益</v>
      </c>
      <c r="D108" s="70">
        <f t="shared" si="52"/>
        <v>0</v>
      </c>
      <c r="E108" s="152"/>
      <c r="F108" s="70">
        <f t="shared" si="53"/>
        <v>10113.33</v>
      </c>
      <c r="G108" s="152"/>
      <c r="H108" s="152" t="str">
        <f t="shared" si="54"/>
        <v/>
      </c>
      <c r="I108" s="70">
        <f t="shared" si="55"/>
        <v>10113.33</v>
      </c>
      <c r="J108" s="152" t="str">
        <f t="shared" si="56"/>
        <v/>
      </c>
      <c r="K108" s="163"/>
    </row>
    <row r="109" spans="1:11" ht="18">
      <c r="A109" s="30"/>
      <c r="B109" s="150">
        <v>6111</v>
      </c>
      <c r="C109" s="151" t="str">
        <f t="shared" si="51"/>
        <v>投资收益</v>
      </c>
      <c r="D109" s="70">
        <f t="shared" si="52"/>
        <v>0</v>
      </c>
      <c r="E109" s="152"/>
      <c r="F109" s="70">
        <f t="shared" si="53"/>
        <v>0</v>
      </c>
      <c r="G109" s="152"/>
      <c r="H109" s="152" t="str">
        <f t="shared" si="54"/>
        <v/>
      </c>
      <c r="I109" s="70">
        <f t="shared" si="55"/>
        <v>0</v>
      </c>
      <c r="J109" s="152" t="str">
        <f t="shared" si="56"/>
        <v/>
      </c>
      <c r="K109" s="163"/>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3895.59</v>
      </c>
      <c r="G112" s="152"/>
      <c r="H112" s="152" t="str">
        <f t="shared" si="54"/>
        <v/>
      </c>
      <c r="I112" s="70">
        <f t="shared" si="55"/>
        <v>3895.59</v>
      </c>
      <c r="J112" s="152" t="str">
        <f t="shared" si="56"/>
        <v/>
      </c>
      <c r="K112" s="163"/>
    </row>
    <row r="113" spans="1:11" ht="24">
      <c r="A113" s="30"/>
      <c r="B113" s="150">
        <v>6671</v>
      </c>
      <c r="C113" s="151" t="str">
        <f>IF($B113="","",VLOOKUP($B113,Sheet_Items,6,0))</f>
        <v>资产减值损失（损失以“-”号填列）</v>
      </c>
      <c r="D113" s="70">
        <f t="shared" si="52"/>
        <v>-29565.119999999999</v>
      </c>
      <c r="E113" s="152"/>
      <c r="F113" s="70">
        <f t="shared" si="53"/>
        <v>0</v>
      </c>
      <c r="G113" s="152"/>
      <c r="H113" s="152" t="str">
        <f t="shared" si="54"/>
        <v/>
      </c>
      <c r="I113" s="70">
        <f t="shared" si="55"/>
        <v>29565.119999999999</v>
      </c>
      <c r="J113" s="152">
        <f t="shared" si="56"/>
        <v>-1</v>
      </c>
      <c r="K113" s="163"/>
    </row>
    <row r="114" spans="1:11" ht="18">
      <c r="A114" s="30"/>
      <c r="B114" s="150">
        <v>6171</v>
      </c>
      <c r="C114" s="151" t="str">
        <f t="shared" si="51"/>
        <v>资产处置收益</v>
      </c>
      <c r="D114" s="70">
        <f t="shared" si="52"/>
        <v>0</v>
      </c>
      <c r="E114" s="152"/>
      <c r="F114" s="70">
        <f t="shared" si="53"/>
        <v>0</v>
      </c>
      <c r="G114" s="152"/>
      <c r="H114" s="152" t="str">
        <f t="shared" si="54"/>
        <v/>
      </c>
      <c r="I114" s="70">
        <f t="shared" si="55"/>
        <v>0</v>
      </c>
      <c r="J114" s="152" t="str">
        <f t="shared" si="56"/>
        <v/>
      </c>
      <c r="K114" s="163"/>
    </row>
    <row r="115" spans="1:11" ht="18">
      <c r="A115" s="30"/>
      <c r="B115" s="150">
        <v>6689</v>
      </c>
      <c r="C115" s="153" t="str">
        <f t="shared" si="51"/>
        <v>营业利润</v>
      </c>
      <c r="D115" s="154">
        <f>SUM(D101)-SUM(D102:D107)+SUM(D108:D114)</f>
        <v>-22510882.850000001</v>
      </c>
      <c r="E115" s="152">
        <f t="shared" ref="E115:I115" si="57">SUM(E101)-SUM(E102:E107)+SUM(E108:E114)</f>
        <v>0</v>
      </c>
      <c r="F115" s="154">
        <f t="shared" si="57"/>
        <v>-31554480.039999999</v>
      </c>
      <c r="G115" s="152">
        <f t="shared" si="57"/>
        <v>0</v>
      </c>
      <c r="H115" s="152">
        <f t="shared" si="57"/>
        <v>0</v>
      </c>
      <c r="I115" s="154">
        <f t="shared" si="57"/>
        <v>-9043597.1899999995</v>
      </c>
      <c r="J115" s="152">
        <f t="shared" si="56"/>
        <v>0.4017</v>
      </c>
      <c r="K115" s="163"/>
    </row>
    <row r="116" spans="1:11" ht="18">
      <c r="A116" s="30"/>
      <c r="B116" s="150">
        <v>6710</v>
      </c>
      <c r="C116" s="151" t="str">
        <f t="shared" si="51"/>
        <v>营业外收入</v>
      </c>
      <c r="D116" s="70">
        <f>VLOOKUP($B116,Sheet_Trialbal,10,0)</f>
        <v>0</v>
      </c>
      <c r="E116" s="152"/>
      <c r="F116" s="70">
        <f>VLOOKUP($B116,Sheet_Trialbal,3,0)</f>
        <v>0</v>
      </c>
      <c r="G116" s="152"/>
      <c r="H116" s="152" t="str">
        <f t="shared" ref="H116:H125" si="58">IF(OR(G116="",E116=""),"",G116-E116)</f>
        <v/>
      </c>
      <c r="I116" s="70">
        <f>IF(OR(F116="",D116=""),"",F116-D116)</f>
        <v>0</v>
      </c>
      <c r="J116" s="152" t="str">
        <f t="shared" si="47"/>
        <v/>
      </c>
      <c r="K116" s="163"/>
    </row>
    <row r="117" spans="1:11" ht="18">
      <c r="A117" s="30"/>
      <c r="B117" s="150">
        <v>6711</v>
      </c>
      <c r="C117" s="151" t="str">
        <f t="shared" si="51"/>
        <v>营业外支出</v>
      </c>
      <c r="D117" s="70">
        <f>VLOOKUP($B117,Sheet_Trialbal,10,0)</f>
        <v>0</v>
      </c>
      <c r="E117" s="152"/>
      <c r="F117" s="70">
        <f>VLOOKUP($B117,Sheet_Trialbal,3,0)</f>
        <v>0</v>
      </c>
      <c r="G117" s="152"/>
      <c r="H117" s="152" t="str">
        <f t="shared" si="58"/>
        <v/>
      </c>
      <c r="I117" s="70">
        <f>IF(OR(F117="",D117=""),"",F117-D117)</f>
        <v>0</v>
      </c>
      <c r="J117" s="152" t="str">
        <f t="shared" si="47"/>
        <v/>
      </c>
      <c r="K117" s="163"/>
    </row>
    <row r="118" spans="1:11" ht="18">
      <c r="A118" s="30"/>
      <c r="B118" s="150">
        <v>6788</v>
      </c>
      <c r="C118" s="153" t="str">
        <f t="shared" si="51"/>
        <v>利润总额</v>
      </c>
      <c r="D118" s="154">
        <f>SUM(D115,D116,-D117)</f>
        <v>-22510882.850000001</v>
      </c>
      <c r="E118" s="152"/>
      <c r="F118" s="154">
        <f>SUM(F115,F116,-F117)</f>
        <v>-31554480.039999999</v>
      </c>
      <c r="G118" s="152"/>
      <c r="H118" s="152" t="str">
        <f t="shared" si="58"/>
        <v/>
      </c>
      <c r="I118" s="154">
        <f>SUM(I115,I116,-I117)</f>
        <v>-9043597.1899999995</v>
      </c>
      <c r="J118" s="155">
        <f t="shared" si="47"/>
        <v>0.4017</v>
      </c>
      <c r="K118" s="163"/>
    </row>
    <row r="119" spans="1:11" ht="18">
      <c r="A119" s="30"/>
      <c r="B119" s="150">
        <v>6791</v>
      </c>
      <c r="C119" s="151" t="str">
        <f t="shared" si="51"/>
        <v>所得税费用</v>
      </c>
      <c r="D119" s="70">
        <f>VLOOKUP($B119,Sheet_Trialbal,10,0)</f>
        <v>0</v>
      </c>
      <c r="E119" s="152"/>
      <c r="F119" s="70">
        <f>VLOOKUP($B119,Sheet_Trialbal,3,0)</f>
        <v>-6256690.8899999997</v>
      </c>
      <c r="G119" s="152"/>
      <c r="H119" s="152" t="str">
        <f t="shared" si="58"/>
        <v/>
      </c>
      <c r="I119" s="70">
        <f t="shared" ref="I119:I125" si="59">IF(OR(F119="",D119=""),"",F119-D119)</f>
        <v>-6256690.8899999997</v>
      </c>
      <c r="J119" s="152" t="str">
        <f t="shared" si="47"/>
        <v/>
      </c>
      <c r="K119" s="163"/>
    </row>
    <row r="120" spans="1:11" ht="18">
      <c r="A120" s="30"/>
      <c r="B120" s="150">
        <v>6799</v>
      </c>
      <c r="C120" s="153" t="str">
        <f t="shared" si="51"/>
        <v>净利润</v>
      </c>
      <c r="D120" s="154">
        <f>SUM(D118,-D119)</f>
        <v>-22510882.850000001</v>
      </c>
      <c r="E120" s="152"/>
      <c r="F120" s="154">
        <f>SUM(F118,-F119)</f>
        <v>-25297789.149999999</v>
      </c>
      <c r="G120" s="152"/>
      <c r="H120" s="152" t="str">
        <f t="shared" si="58"/>
        <v/>
      </c>
      <c r="I120" s="154">
        <f t="shared" si="59"/>
        <v>-2786906.3</v>
      </c>
      <c r="J120" s="155">
        <f t="shared" si="47"/>
        <v>0.12379999999999999</v>
      </c>
      <c r="K120" s="163"/>
    </row>
    <row r="121" spans="1:11" ht="18">
      <c r="A121" s="30"/>
      <c r="B121" s="150">
        <v>6811</v>
      </c>
      <c r="C121" s="151" t="str">
        <f t="shared" si="51"/>
        <v>归属于母公司所有者的净利润</v>
      </c>
      <c r="D121" s="70">
        <f>VLOOKUP($B121,Sheet_Trialbal,10,0)</f>
        <v>-22510882.850000001</v>
      </c>
      <c r="E121" s="152"/>
      <c r="F121" s="70">
        <f>VLOOKUP($B121,Sheet_Trialbal,3,0)</f>
        <v>-25297789.149999999</v>
      </c>
      <c r="G121" s="152"/>
      <c r="H121" s="152" t="str">
        <f t="shared" si="58"/>
        <v/>
      </c>
      <c r="I121" s="70">
        <f t="shared" si="59"/>
        <v>-2786906.3</v>
      </c>
      <c r="J121" s="152">
        <f t="shared" si="47"/>
        <v>0.12379999999999999</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-22510882.850000001</v>
      </c>
      <c r="E124" s="152"/>
      <c r="F124" s="154">
        <f>SUM(F120,F123)</f>
        <v>-25297789.149999999</v>
      </c>
      <c r="G124" s="152"/>
      <c r="H124" s="152" t="str">
        <f t="shared" si="58"/>
        <v/>
      </c>
      <c r="I124" s="154">
        <f t="shared" si="59"/>
        <v>-2786906.3</v>
      </c>
      <c r="J124" s="155">
        <f t="shared" si="47"/>
        <v>0.12379999999999999</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华软金信科技（北京）有限公司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6"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1</v>
      </c>
      <c r="E10" s="70"/>
      <c r="F10" s="75">
        <f>IF(F61=0,"",F62/F61)</f>
        <v>-26.371700000000001</v>
      </c>
      <c r="G10" s="70"/>
      <c r="H10" s="34"/>
      <c r="I10" s="56"/>
      <c r="J10" s="101" t="s">
        <v>5014</v>
      </c>
    </row>
    <row r="11" spans="1:10" ht="18">
      <c r="A11" s="30"/>
      <c r="B11" s="31"/>
      <c r="C11" s="72" t="s">
        <v>5015</v>
      </c>
      <c r="D11" s="75">
        <f>IF(D$61=0,"",D64/D$61)</f>
        <v>-3582.9436999999998</v>
      </c>
      <c r="E11" s="70"/>
      <c r="F11" s="75">
        <f>IF(F$61=0,"",F64/F$61)</f>
        <v>-96.068399999999997</v>
      </c>
      <c r="G11" s="70"/>
      <c r="H11" s="34"/>
      <c r="I11" s="56"/>
      <c r="J11" s="101" t="s">
        <v>5016</v>
      </c>
    </row>
    <row r="12" spans="1:10" ht="18">
      <c r="A12" s="30"/>
      <c r="B12" s="31"/>
      <c r="C12" s="72" t="s">
        <v>5017</v>
      </c>
      <c r="D12" s="75">
        <f>IF(D$55=0,"",D65/D$55)</f>
        <v>-4.9799999999999997E-2</v>
      </c>
      <c r="E12" s="70"/>
      <c r="F12" s="75" t="str">
        <f>IF(F$55=0,"",F65/F$55)</f>
        <v/>
      </c>
      <c r="G12" s="70"/>
      <c r="H12" s="34"/>
      <c r="I12" s="56"/>
      <c r="J12" s="101" t="s">
        <v>5018</v>
      </c>
    </row>
    <row r="13" spans="1:10" ht="18">
      <c r="A13" s="30"/>
      <c r="B13" s="31"/>
      <c r="C13" s="72" t="s">
        <v>5019</v>
      </c>
      <c r="D13" s="75">
        <f>IF(D60=0,"",D65/D60)</f>
        <v>-0.42659999999999998</v>
      </c>
      <c r="E13" s="70"/>
      <c r="F13" s="75">
        <f>IF(F60=0,"",F65/F60)</f>
        <v>1</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t="str">
        <f>IF(D47=0,"",D$61/D47)</f>
        <v/>
      </c>
      <c r="E15" s="70"/>
      <c r="F15" s="70" t="str">
        <f>IF(F47=0,"",F$61/F47)</f>
        <v/>
      </c>
      <c r="G15" s="70"/>
      <c r="H15" s="34"/>
      <c r="I15" s="56"/>
      <c r="J15" s="101" t="s">
        <v>5023</v>
      </c>
    </row>
    <row r="16" spans="1:10" ht="18">
      <c r="A16" s="30"/>
      <c r="B16" s="31"/>
      <c r="C16" s="72" t="s">
        <v>5024</v>
      </c>
      <c r="D16" s="70" t="str">
        <f>IF(D52=0,"",D67/D52)</f>
        <v/>
      </c>
      <c r="E16" s="70"/>
      <c r="F16" s="70" t="str">
        <f>IF(F52=0,"",F67/F52)</f>
        <v/>
      </c>
      <c r="G16" s="70"/>
      <c r="H16" s="34"/>
      <c r="I16" s="56"/>
      <c r="J16" s="101" t="s">
        <v>5025</v>
      </c>
    </row>
    <row r="17" spans="1:10" ht="18">
      <c r="A17" s="30"/>
      <c r="B17" s="31"/>
      <c r="C17" s="72" t="s">
        <v>5026</v>
      </c>
      <c r="D17" s="70">
        <f>IF(D56=0,"",D$61/D56)</f>
        <v>0</v>
      </c>
      <c r="E17" s="70"/>
      <c r="F17" s="70">
        <f>IF(F56=0,"",F$61/F56)</f>
        <v>0</v>
      </c>
      <c r="G17" s="70"/>
      <c r="H17" s="34"/>
      <c r="I17" s="56"/>
      <c r="J17" s="101" t="s">
        <v>5027</v>
      </c>
    </row>
    <row r="18" spans="1:10" ht="18">
      <c r="A18" s="30"/>
      <c r="B18" s="31"/>
      <c r="C18" s="72" t="s">
        <v>5028</v>
      </c>
      <c r="D18" s="70">
        <f>IF(D58=0,"",D$61/D58)</f>
        <v>0</v>
      </c>
      <c r="E18" s="70"/>
      <c r="F18" s="70" t="str">
        <f>IF(F58=0,"",F$61/F58)</f>
        <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0.01</v>
      </c>
      <c r="E20" s="70"/>
      <c r="F20" s="70" t="str">
        <f>IF(F$57=0,"",F53/F$57)</f>
        <v/>
      </c>
      <c r="G20" s="70"/>
      <c r="H20" s="34"/>
      <c r="I20" s="56"/>
      <c r="J20" s="101" t="s">
        <v>5032</v>
      </c>
    </row>
    <row r="21" spans="1:10" ht="18">
      <c r="A21" s="30"/>
      <c r="B21" s="31"/>
      <c r="C21" s="72" t="s">
        <v>5033</v>
      </c>
      <c r="D21" s="70">
        <f>IF(D$57=0,"",D54/D$57)</f>
        <v>0.01</v>
      </c>
      <c r="E21" s="70"/>
      <c r="F21" s="70" t="str">
        <f>IF(F$57=0,"",F54/F$57)</f>
        <v/>
      </c>
      <c r="G21" s="70"/>
      <c r="H21" s="34"/>
      <c r="I21" s="56"/>
      <c r="J21" s="101" t="s">
        <v>5034</v>
      </c>
    </row>
    <row r="22" spans="1:10" ht="18">
      <c r="A22" s="30"/>
      <c r="B22" s="31"/>
      <c r="C22" s="72" t="s">
        <v>5035</v>
      </c>
      <c r="D22" s="70">
        <f>IF(D$57=0,"",D70/D$57)</f>
        <v>0</v>
      </c>
      <c r="E22" s="70"/>
      <c r="F22" s="70" t="str">
        <f>IF(F$57=0,"",F70/F$57)</f>
        <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0.88329999999999997</v>
      </c>
      <c r="E24" s="75"/>
      <c r="F24" s="75" t="str">
        <f>IF(F55=0,"",F59/F55)</f>
        <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51.2791</v>
      </c>
      <c r="G26" s="75"/>
      <c r="H26" s="34"/>
      <c r="I26" s="56"/>
      <c r="J26" s="101" t="s">
        <v>5041</v>
      </c>
    </row>
    <row r="27" spans="1:10" ht="18">
      <c r="A27" s="30"/>
      <c r="B27" s="31"/>
      <c r="C27" s="72" t="s">
        <v>5042</v>
      </c>
      <c r="D27" s="75" t="str">
        <f>IF(H64=0,"",(D64-H64)/H64)</f>
        <v/>
      </c>
      <c r="E27" s="75"/>
      <c r="F27" s="75">
        <f>IF(D64=0,"",(F64-D64)/D64)</f>
        <v>0.4017</v>
      </c>
      <c r="G27" s="75"/>
      <c r="H27" s="34"/>
      <c r="I27" s="56"/>
      <c r="J27" s="101" t="s">
        <v>5043</v>
      </c>
    </row>
    <row r="28" spans="1:10" ht="18">
      <c r="A28" s="30"/>
      <c r="B28" s="31"/>
      <c r="C28" s="72" t="s">
        <v>5044</v>
      </c>
      <c r="D28" s="75" t="str">
        <f>IF(H65=0,"",(D65-H65)/H65)</f>
        <v/>
      </c>
      <c r="E28" s="75"/>
      <c r="F28" s="75">
        <f>IF(D65=0,"",(F65-D65)/D65)</f>
        <v>0.12379999999999999</v>
      </c>
      <c r="G28" s="75"/>
      <c r="H28" s="34"/>
      <c r="I28" s="56"/>
      <c r="J28" s="101" t="s">
        <v>5045</v>
      </c>
    </row>
    <row r="29" spans="1:10" ht="18">
      <c r="A29" s="30"/>
      <c r="B29" s="31"/>
      <c r="C29" s="72" t="s">
        <v>5046</v>
      </c>
      <c r="D29" s="75" t="str">
        <f>IF(H60=0,"",(D60-H60)/H60)</f>
        <v/>
      </c>
      <c r="E29" s="75"/>
      <c r="F29" s="75">
        <f>IF(D60=0,"",(F60-D60)/D60)</f>
        <v>-1.4794</v>
      </c>
      <c r="G29" s="75"/>
      <c r="H29" s="34"/>
      <c r="I29" s="56"/>
      <c r="J29" s="101" t="s">
        <v>5047</v>
      </c>
    </row>
    <row r="30" spans="1:10" ht="18">
      <c r="A30" s="30"/>
      <c r="B30" s="31"/>
      <c r="C30" s="72" t="s">
        <v>5048</v>
      </c>
      <c r="D30" s="75" t="str">
        <f>IF(H55=0,"",(D55-H55)/H55)</f>
        <v/>
      </c>
      <c r="E30" s="75"/>
      <c r="F30" s="75">
        <f>IF(D55=0,"",(F55-D55)/D55)</f>
        <v>-1</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320" t="s">
        <v>5059</v>
      </c>
      <c r="I41" s="3321"/>
      <c r="J41" s="97" t="s">
        <v>5060</v>
      </c>
    </row>
    <row r="42" spans="1:10" ht="18">
      <c r="A42" s="30"/>
      <c r="B42" s="108"/>
      <c r="C42" s="109" t="s">
        <v>5061</v>
      </c>
      <c r="D42" s="110"/>
      <c r="E42" s="111"/>
      <c r="F42" s="110"/>
      <c r="G42" s="110"/>
      <c r="H42" s="3322"/>
      <c r="I42" s="3323"/>
      <c r="J42" s="96"/>
    </row>
    <row r="43" spans="1:10" ht="18">
      <c r="A43" s="30"/>
      <c r="B43" s="112"/>
      <c r="C43" s="113" t="s">
        <v>5062</v>
      </c>
      <c r="D43" s="114"/>
      <c r="E43" s="115"/>
      <c r="F43" s="114"/>
      <c r="G43" s="114"/>
      <c r="H43" s="3324"/>
      <c r="I43" s="3325"/>
      <c r="J43" s="96"/>
    </row>
    <row r="44" spans="1:10" ht="18">
      <c r="A44" s="30"/>
      <c r="B44" s="116">
        <v>1122</v>
      </c>
      <c r="C44" s="113" t="s">
        <v>124</v>
      </c>
      <c r="D44" s="117">
        <f>VLOOKUP($B44,Sheet_Trialbal,10,0)</f>
        <v>0</v>
      </c>
      <c r="E44" s="117"/>
      <c r="F44" s="117">
        <f>VLOOKUP($B44,Sheet_Trialbal,3,0)</f>
        <v>0</v>
      </c>
      <c r="G44" s="117"/>
      <c r="H44" s="3318"/>
      <c r="I44" s="3319"/>
      <c r="J44" s="101" t="s">
        <v>5063</v>
      </c>
    </row>
    <row r="45" spans="1:10" ht="18">
      <c r="A45" s="30"/>
      <c r="B45" s="116">
        <v>1122.1231</v>
      </c>
      <c r="C45" s="113" t="s">
        <v>5064</v>
      </c>
      <c r="D45" s="114">
        <f>VLOOKUP($B45,Sheet_Trialbal,10,0)</f>
        <v>0</v>
      </c>
      <c r="E45" s="114"/>
      <c r="F45" s="114">
        <f>VLOOKUP($B45,Sheet_Trialbal,3,0)</f>
        <v>0</v>
      </c>
      <c r="G45" s="114"/>
      <c r="H45" s="3318"/>
      <c r="I45" s="3319"/>
      <c r="J45" s="101" t="s">
        <v>5063</v>
      </c>
    </row>
    <row r="46" spans="1:10" ht="18">
      <c r="A46" s="30"/>
      <c r="B46" s="116"/>
      <c r="C46" s="113" t="s">
        <v>5065</v>
      </c>
      <c r="D46" s="118">
        <f>D44+D45</f>
        <v>0</v>
      </c>
      <c r="E46" s="118"/>
      <c r="F46" s="118">
        <f>F44+F45</f>
        <v>0</v>
      </c>
      <c r="G46" s="118"/>
      <c r="H46" s="3312">
        <f>H44+H45</f>
        <v>0</v>
      </c>
      <c r="I46" s="3313">
        <f>I44+I45</f>
        <v>0</v>
      </c>
      <c r="J46" s="96"/>
    </row>
    <row r="47" spans="1:10" ht="18">
      <c r="A47" s="30"/>
      <c r="B47" s="116"/>
      <c r="C47" s="120" t="s">
        <v>5066</v>
      </c>
      <c r="D47" s="118">
        <f>(D46+H46)/2</f>
        <v>0</v>
      </c>
      <c r="E47" s="118"/>
      <c r="F47" s="118">
        <f>(D46+F46)/2</f>
        <v>0</v>
      </c>
      <c r="G47" s="118"/>
      <c r="H47" s="3312"/>
      <c r="I47" s="3313"/>
      <c r="J47" s="96"/>
    </row>
    <row r="48" spans="1:10" ht="18">
      <c r="A48" s="30"/>
      <c r="B48" s="116">
        <v>1125</v>
      </c>
      <c r="C48" s="113" t="s">
        <v>162</v>
      </c>
      <c r="D48" s="117">
        <f>VLOOKUP($B48,Sheet_Trialbal,10,0)</f>
        <v>496233.65</v>
      </c>
      <c r="E48" s="117"/>
      <c r="F48" s="117">
        <f>VLOOKUP($B48,Sheet_Trialbal,3,0)</f>
        <v>0</v>
      </c>
      <c r="G48" s="117"/>
      <c r="H48" s="3312"/>
      <c r="I48" s="3313"/>
      <c r="J48" s="96"/>
    </row>
    <row r="49" spans="1:10" ht="18">
      <c r="A49" s="30"/>
      <c r="B49" s="116">
        <v>1400</v>
      </c>
      <c r="C49" s="113" t="s">
        <v>229</v>
      </c>
      <c r="D49" s="117">
        <f>VLOOKUP($B49,Sheet_Trialbal,10,0)</f>
        <v>0</v>
      </c>
      <c r="E49" s="117"/>
      <c r="F49" s="117">
        <f>VLOOKUP($B49,Sheet_Trialbal,3,0)</f>
        <v>0</v>
      </c>
      <c r="G49" s="117"/>
      <c r="H49" s="3318"/>
      <c r="I49" s="3319"/>
      <c r="J49" s="101" t="s">
        <v>5063</v>
      </c>
    </row>
    <row r="50" spans="1:10" ht="18">
      <c r="A50" s="30"/>
      <c r="B50" s="116">
        <v>1400.1470999999999</v>
      </c>
      <c r="C50" s="113" t="s">
        <v>5067</v>
      </c>
      <c r="D50" s="114">
        <f>VLOOKUP($B50,Sheet_Trialbal,10,0)</f>
        <v>0</v>
      </c>
      <c r="E50" s="114"/>
      <c r="F50" s="114">
        <f>VLOOKUP($B50,Sheet_Trialbal,3,0)</f>
        <v>0</v>
      </c>
      <c r="G50" s="114"/>
      <c r="H50" s="3318"/>
      <c r="I50" s="3319"/>
      <c r="J50" s="101" t="s">
        <v>5063</v>
      </c>
    </row>
    <row r="51" spans="1:10" ht="18">
      <c r="A51" s="30"/>
      <c r="B51" s="116"/>
      <c r="C51" s="113" t="s">
        <v>5068</v>
      </c>
      <c r="D51" s="118">
        <f>D49+D50</f>
        <v>0</v>
      </c>
      <c r="E51" s="118"/>
      <c r="F51" s="118">
        <f>F49+F50</f>
        <v>0</v>
      </c>
      <c r="G51" s="118"/>
      <c r="H51" s="3312">
        <f>H49+H50</f>
        <v>0</v>
      </c>
      <c r="I51" s="3313">
        <f>I49+I50</f>
        <v>0</v>
      </c>
      <c r="J51" s="96"/>
    </row>
    <row r="52" spans="1:10" ht="18">
      <c r="A52" s="30"/>
      <c r="B52" s="116"/>
      <c r="C52" s="120" t="s">
        <v>5069</v>
      </c>
      <c r="D52" s="118">
        <f>(D51+H51)/2</f>
        <v>0</v>
      </c>
      <c r="E52" s="118"/>
      <c r="F52" s="118">
        <f>(D51+F51)/2</f>
        <v>0</v>
      </c>
      <c r="G52" s="118"/>
      <c r="H52" s="3312"/>
      <c r="I52" s="3313"/>
      <c r="J52" s="96"/>
    </row>
    <row r="53" spans="1:10" ht="18">
      <c r="A53" s="30"/>
      <c r="B53" s="116">
        <v>1498</v>
      </c>
      <c r="C53" s="113" t="s">
        <v>286</v>
      </c>
      <c r="D53" s="117">
        <f>VLOOKUP($B53,Sheet_Trialbal,10,0)</f>
        <v>5028137.88</v>
      </c>
      <c r="E53" s="117"/>
      <c r="F53" s="117">
        <f>VLOOKUP($B53,Sheet_Trialbal,3,0)</f>
        <v>0</v>
      </c>
      <c r="G53" s="117"/>
      <c r="H53" s="3312"/>
      <c r="I53" s="3313"/>
      <c r="J53" s="96"/>
    </row>
    <row r="54" spans="1:10" ht="18">
      <c r="A54" s="30"/>
      <c r="B54" s="116"/>
      <c r="C54" s="120" t="s">
        <v>5070</v>
      </c>
      <c r="D54" s="118">
        <f>D53-D48-D49</f>
        <v>4531904.2300000004</v>
      </c>
      <c r="E54" s="118"/>
      <c r="F54" s="118">
        <f>F53-F48-F49</f>
        <v>0</v>
      </c>
      <c r="G54" s="118"/>
      <c r="H54" s="3312"/>
      <c r="I54" s="3313"/>
      <c r="J54" s="96"/>
    </row>
    <row r="55" spans="1:10" ht="18">
      <c r="A55" s="30"/>
      <c r="B55" s="116">
        <v>1999</v>
      </c>
      <c r="C55" s="113" t="s">
        <v>5071</v>
      </c>
      <c r="D55" s="117">
        <f>VLOOKUP($B55,Sheet_Trialbal,10,0)</f>
        <v>451984233.54000002</v>
      </c>
      <c r="E55" s="117"/>
      <c r="F55" s="117">
        <f>VLOOKUP($B55,Sheet_Trialbal,3,0)</f>
        <v>0</v>
      </c>
      <c r="G55" s="117"/>
      <c r="H55" s="3318"/>
      <c r="I55" s="3319"/>
      <c r="J55" s="101" t="s">
        <v>5063</v>
      </c>
    </row>
    <row r="56" spans="1:10" ht="18">
      <c r="A56" s="30"/>
      <c r="B56" s="116"/>
      <c r="C56" s="120" t="s">
        <v>5072</v>
      </c>
      <c r="D56" s="118">
        <f>(D55+H55)/2</f>
        <v>225992116.77000001</v>
      </c>
      <c r="E56" s="118"/>
      <c r="F56" s="118">
        <f>(D55+F55)/2</f>
        <v>225992116.77000001</v>
      </c>
      <c r="G56" s="117"/>
      <c r="H56" s="3312"/>
      <c r="I56" s="3313"/>
      <c r="J56" s="96"/>
    </row>
    <row r="57" spans="1:10" ht="18">
      <c r="A57" s="30"/>
      <c r="B57" s="116">
        <v>2498</v>
      </c>
      <c r="C57" s="113" t="s">
        <v>566</v>
      </c>
      <c r="D57" s="117">
        <f>VLOOKUP($B57,Sheet_Trialbal,10,0)</f>
        <v>399215117.68000001</v>
      </c>
      <c r="E57" s="117"/>
      <c r="F57" s="117">
        <f>VLOOKUP($B57,Sheet_Trialbal,3,0)</f>
        <v>0</v>
      </c>
      <c r="G57" s="117"/>
      <c r="H57" s="3312"/>
      <c r="I57" s="3313"/>
      <c r="J57" s="96"/>
    </row>
    <row r="58" spans="1:10" ht="18">
      <c r="A58" s="30"/>
      <c r="B58" s="116"/>
      <c r="C58" s="113" t="s">
        <v>5073</v>
      </c>
      <c r="D58" s="118">
        <f>D53-D57</f>
        <v>-394186979.80000001</v>
      </c>
      <c r="E58" s="118"/>
      <c r="F58" s="118">
        <f>F53-F57</f>
        <v>0</v>
      </c>
      <c r="G58" s="118"/>
      <c r="H58" s="3312"/>
      <c r="I58" s="3313"/>
      <c r="J58" s="96"/>
    </row>
    <row r="59" spans="1:10" ht="18">
      <c r="A59" s="30"/>
      <c r="B59" s="116">
        <v>2999</v>
      </c>
      <c r="C59" s="113" t="s">
        <v>5074</v>
      </c>
      <c r="D59" s="117">
        <f t="shared" ref="D59:D70" si="0">VLOOKUP($B59,Sheet_Trialbal,10,0)</f>
        <v>399215117.68000001</v>
      </c>
      <c r="E59" s="117"/>
      <c r="F59" s="117">
        <f t="shared" ref="F59:F70" si="1">VLOOKUP($B59,Sheet_Trialbal,3,0)</f>
        <v>0</v>
      </c>
      <c r="G59" s="117"/>
      <c r="H59" s="3312"/>
      <c r="I59" s="3313"/>
      <c r="J59" s="96"/>
    </row>
    <row r="60" spans="1:10" ht="18">
      <c r="A60" s="30"/>
      <c r="B60" s="116">
        <v>4999</v>
      </c>
      <c r="C60" s="113" t="s">
        <v>5075</v>
      </c>
      <c r="D60" s="117">
        <f t="shared" si="0"/>
        <v>52769115.859999999</v>
      </c>
      <c r="E60" s="117"/>
      <c r="F60" s="117">
        <f t="shared" si="1"/>
        <v>-25297789.149999999</v>
      </c>
      <c r="G60" s="117"/>
      <c r="H60" s="3318"/>
      <c r="I60" s="3319"/>
      <c r="J60" s="101" t="s">
        <v>5063</v>
      </c>
    </row>
    <row r="61" spans="1:10" ht="18">
      <c r="A61" s="30"/>
      <c r="B61" s="116">
        <v>6001</v>
      </c>
      <c r="C61" s="113" t="s">
        <v>631</v>
      </c>
      <c r="D61" s="117">
        <f>VLOOKUP($B61,Sheet_Trialbal,10,0)</f>
        <v>6282.79</v>
      </c>
      <c r="E61" s="117"/>
      <c r="F61" s="117">
        <f>VLOOKUP($B61,Sheet_Trialbal,3,0)</f>
        <v>328458.53999999998</v>
      </c>
      <c r="G61" s="117"/>
      <c r="H61" s="3316"/>
      <c r="I61" s="3317"/>
      <c r="J61" s="101" t="s">
        <v>5063</v>
      </c>
    </row>
    <row r="62" spans="1:10" ht="18">
      <c r="A62" s="30"/>
      <c r="B62" s="116"/>
      <c r="C62" s="113" t="s">
        <v>5076</v>
      </c>
      <c r="D62" s="117">
        <f>D61-D67</f>
        <v>6282.79</v>
      </c>
      <c r="E62" s="117"/>
      <c r="F62" s="117">
        <f>F61-F67</f>
        <v>-8661994.8900000006</v>
      </c>
      <c r="G62" s="117"/>
      <c r="H62" s="73"/>
      <c r="I62" s="56"/>
      <c r="J62" s="96"/>
    </row>
    <row r="63" spans="1:10" ht="18">
      <c r="A63" s="30"/>
      <c r="B63" s="116">
        <v>6111</v>
      </c>
      <c r="C63" s="113" t="s">
        <v>656</v>
      </c>
      <c r="D63" s="117">
        <f>VLOOKUP($B63,Sheet_Trialbal,10,0)</f>
        <v>0</v>
      </c>
      <c r="E63" s="117"/>
      <c r="F63" s="117">
        <f>VLOOKUP($B63,Sheet_Trialbal,3,0)</f>
        <v>0</v>
      </c>
      <c r="G63" s="117"/>
      <c r="H63" s="74" t="s">
        <v>5059</v>
      </c>
      <c r="I63" s="56"/>
      <c r="J63" s="96"/>
    </row>
    <row r="64" spans="1:10" ht="18">
      <c r="A64" s="30"/>
      <c r="B64" s="116">
        <v>6689</v>
      </c>
      <c r="C64" s="113" t="s">
        <v>833</v>
      </c>
      <c r="D64" s="117">
        <f>VLOOKUP($B64,Sheet_Trialbal,10,0)</f>
        <v>-22510882.850000001</v>
      </c>
      <c r="E64" s="117"/>
      <c r="F64" s="117">
        <f>VLOOKUP($B64,Sheet_Trialbal,3,0)</f>
        <v>-31554480.039999999</v>
      </c>
      <c r="G64" s="117"/>
      <c r="H64" s="3316"/>
      <c r="I64" s="3317"/>
      <c r="J64" s="101" t="s">
        <v>5063</v>
      </c>
    </row>
    <row r="65" spans="1:10" ht="18">
      <c r="A65" s="30"/>
      <c r="B65" s="116">
        <v>6799</v>
      </c>
      <c r="C65" s="113" t="s">
        <v>871</v>
      </c>
      <c r="D65" s="117">
        <f>VLOOKUP($B65,Sheet_Trialbal,10,0)</f>
        <v>-22510882.850000001</v>
      </c>
      <c r="E65" s="117"/>
      <c r="F65" s="117">
        <f>VLOOKUP($B65,Sheet_Trialbal,3,0)</f>
        <v>-25297789.149999999</v>
      </c>
      <c r="G65" s="117"/>
      <c r="H65" s="3316"/>
      <c r="I65" s="3317"/>
      <c r="J65" s="101" t="s">
        <v>5063</v>
      </c>
    </row>
    <row r="66" spans="1:10" ht="18">
      <c r="A66" s="30"/>
      <c r="B66" s="116">
        <v>6811</v>
      </c>
      <c r="C66" s="113" t="s">
        <v>5077</v>
      </c>
      <c r="D66" s="117">
        <f>VLOOKUP($B66,Sheet_Trialbal,10,0)</f>
        <v>-22510882.850000001</v>
      </c>
      <c r="E66" s="117"/>
      <c r="F66" s="117">
        <f>VLOOKUP($B66,Sheet_Trialbal,3,0)</f>
        <v>-25297789.149999999</v>
      </c>
      <c r="G66" s="117"/>
      <c r="H66" s="34"/>
      <c r="I66" s="56"/>
      <c r="J66" s="96"/>
    </row>
    <row r="67" spans="1:10" ht="18">
      <c r="A67" s="30"/>
      <c r="B67" s="116">
        <v>6401</v>
      </c>
      <c r="C67" s="113" t="s">
        <v>671</v>
      </c>
      <c r="D67" s="117">
        <f t="shared" si="0"/>
        <v>0</v>
      </c>
      <c r="E67" s="117"/>
      <c r="F67" s="117">
        <f t="shared" si="1"/>
        <v>8990453.4299999997</v>
      </c>
      <c r="G67" s="117"/>
      <c r="H67" s="3312"/>
      <c r="I67" s="3313"/>
      <c r="J67" s="96"/>
    </row>
    <row r="68" spans="1:10" ht="18">
      <c r="A68" s="30"/>
      <c r="B68" s="116">
        <v>6601</v>
      </c>
      <c r="C68" s="113" t="s">
        <v>680</v>
      </c>
      <c r="D68" s="117">
        <f t="shared" si="0"/>
        <v>533561.96</v>
      </c>
      <c r="E68" s="117"/>
      <c r="F68" s="117">
        <f t="shared" si="1"/>
        <v>6019256.5999999996</v>
      </c>
      <c r="G68" s="117"/>
      <c r="H68" s="3312"/>
      <c r="I68" s="3313"/>
      <c r="J68" s="96"/>
    </row>
    <row r="69" spans="1:10" ht="18">
      <c r="A69" s="30"/>
      <c r="B69" s="116">
        <v>6602</v>
      </c>
      <c r="C69" s="113" t="s">
        <v>685</v>
      </c>
      <c r="D69" s="117">
        <f t="shared" si="0"/>
        <v>10602460.369999999</v>
      </c>
      <c r="E69" s="117"/>
      <c r="F69" s="117">
        <f t="shared" si="1"/>
        <v>15303416.08</v>
      </c>
      <c r="G69" s="117"/>
      <c r="H69" s="3312"/>
      <c r="I69" s="3313"/>
      <c r="J69" s="96"/>
    </row>
    <row r="70" spans="1:10" ht="18">
      <c r="A70" s="30"/>
      <c r="B70" s="121">
        <v>7399</v>
      </c>
      <c r="C70" s="122" t="s">
        <v>2272</v>
      </c>
      <c r="D70" s="123">
        <f t="shared" si="0"/>
        <v>340266.93</v>
      </c>
      <c r="E70" s="123"/>
      <c r="F70" s="123">
        <f t="shared" si="1"/>
        <v>58808.95</v>
      </c>
      <c r="G70" s="123"/>
      <c r="H70" s="3314"/>
      <c r="I70" s="3315"/>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华软金信科技（北京）有限公司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43861</v>
      </c>
      <c r="J3" s="14" t="s">
        <v>2524</v>
      </c>
      <c r="K3" s="2789" t="s">
        <v>6605</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340266.93</v>
      </c>
      <c r="E13" s="152">
        <f>IF(D$55=0,"",D13/D$55)</f>
        <v>8.0000000000000004E-4</v>
      </c>
      <c r="F13" s="70">
        <f t="shared" ref="F13:F27" si="3">VLOOKUP($B13,Sheet_Trialbal,6,0)</f>
        <v>0</v>
      </c>
      <c r="G13" s="152" t="str">
        <f>IF(F$55=0,"",F13/F$55)</f>
        <v/>
      </c>
      <c r="H13" s="152" t="str">
        <f t="shared" ref="H13:H30" si="4">IF(OR(G13="",E13=""),"",G13-E13)</f>
        <v/>
      </c>
      <c r="I13" s="70">
        <f t="shared" ref="I13" si="5">IF(OR(F13="",D13=""),"",F13-D13)</f>
        <v>-340266.93</v>
      </c>
      <c r="J13" s="152">
        <f t="shared" si="1"/>
        <v>-1</v>
      </c>
      <c r="K13" s="163"/>
    </row>
    <row r="14" spans="1:11" ht="18">
      <c r="A14" s="30"/>
      <c r="B14" s="150">
        <v>1102</v>
      </c>
      <c r="C14" s="151" t="str">
        <f t="shared" si="0"/>
        <v>交易性金融资产</v>
      </c>
      <c r="D14" s="70">
        <f t="shared" si="2"/>
        <v>0</v>
      </c>
      <c r="E14" s="152">
        <f t="shared" ref="E14:E27" si="6">IF(D$55=0,"",D14/D$55)</f>
        <v>0</v>
      </c>
      <c r="F14" s="70">
        <f t="shared" si="3"/>
        <v>0</v>
      </c>
      <c r="G14" s="152" t="str">
        <f t="shared" ref="G14:G27" si="7">IF(F$55=0,"",F14/F$55)</f>
        <v/>
      </c>
      <c r="H14" s="152" t="str">
        <f t="shared" ref="H14:H27" si="8">IF(OR(G14="",E14=""),"",G14-E14)</f>
        <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t="str">
        <f t="shared" si="7"/>
        <v/>
      </c>
      <c r="H15" s="152" t="str">
        <f t="shared" si="8"/>
        <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t="str">
        <f t="shared" si="7"/>
        <v/>
      </c>
      <c r="H16" s="152" t="str">
        <f t="shared" si="8"/>
        <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t="str">
        <f t="shared" si="7"/>
        <v/>
      </c>
      <c r="H17" s="152" t="str">
        <f t="shared" si="8"/>
        <v/>
      </c>
      <c r="I17" s="70">
        <f t="shared" si="9"/>
        <v>0</v>
      </c>
      <c r="J17" s="152" t="str">
        <f t="shared" si="10"/>
        <v/>
      </c>
      <c r="K17" s="163"/>
    </row>
    <row r="18" spans="1:11" ht="18">
      <c r="A18" s="30"/>
      <c r="B18" s="150">
        <v>1122</v>
      </c>
      <c r="C18" s="151" t="str">
        <f t="shared" si="0"/>
        <v>应收账款</v>
      </c>
      <c r="D18" s="70">
        <f t="shared" si="2"/>
        <v>0</v>
      </c>
      <c r="E18" s="152">
        <f t="shared" si="6"/>
        <v>0</v>
      </c>
      <c r="F18" s="70">
        <f t="shared" si="3"/>
        <v>0</v>
      </c>
      <c r="G18" s="152" t="str">
        <f t="shared" si="7"/>
        <v/>
      </c>
      <c r="H18" s="152" t="str">
        <f t="shared" si="8"/>
        <v/>
      </c>
      <c r="I18" s="70">
        <f t="shared" si="9"/>
        <v>0</v>
      </c>
      <c r="J18" s="152" t="str">
        <f t="shared" si="10"/>
        <v/>
      </c>
      <c r="K18" s="163"/>
    </row>
    <row r="19" spans="1:11" ht="18">
      <c r="A19" s="30"/>
      <c r="B19" s="150">
        <v>1124</v>
      </c>
      <c r="C19" s="151" t="str">
        <f t="shared" si="0"/>
        <v>应收款项融资</v>
      </c>
      <c r="D19" s="70">
        <f t="shared" si="2"/>
        <v>0</v>
      </c>
      <c r="E19" s="152">
        <f t="shared" si="6"/>
        <v>0</v>
      </c>
      <c r="F19" s="70">
        <f t="shared" si="3"/>
        <v>0</v>
      </c>
      <c r="G19" s="152" t="str">
        <f t="shared" si="7"/>
        <v/>
      </c>
      <c r="H19" s="152" t="str">
        <f t="shared" si="8"/>
        <v/>
      </c>
      <c r="I19" s="70">
        <f t="shared" si="9"/>
        <v>0</v>
      </c>
      <c r="J19" s="152" t="str">
        <f t="shared" si="10"/>
        <v/>
      </c>
      <c r="K19" s="163"/>
    </row>
    <row r="20" spans="1:11" ht="18">
      <c r="A20" s="30"/>
      <c r="B20" s="150">
        <v>1125</v>
      </c>
      <c r="C20" s="151" t="str">
        <f t="shared" si="0"/>
        <v>预付款项</v>
      </c>
      <c r="D20" s="70">
        <f t="shared" si="2"/>
        <v>496233.65</v>
      </c>
      <c r="E20" s="152">
        <f t="shared" si="6"/>
        <v>1.1000000000000001E-3</v>
      </c>
      <c r="F20" s="70">
        <f t="shared" si="3"/>
        <v>0</v>
      </c>
      <c r="G20" s="152" t="str">
        <f t="shared" si="7"/>
        <v/>
      </c>
      <c r="H20" s="152" t="str">
        <f t="shared" si="8"/>
        <v/>
      </c>
      <c r="I20" s="70">
        <f t="shared" si="9"/>
        <v>-496233.65</v>
      </c>
      <c r="J20" s="152">
        <f t="shared" si="10"/>
        <v>-1</v>
      </c>
      <c r="K20" s="163"/>
    </row>
    <row r="21" spans="1:11" ht="18">
      <c r="A21" s="30"/>
      <c r="B21" s="150">
        <v>1220</v>
      </c>
      <c r="C21" s="151" t="str">
        <f>IF($B21="","",VLOOKUP($B21,Sheet_Items,2,0))</f>
        <v>其他应收款（报表项目）</v>
      </c>
      <c r="D21" s="70">
        <f t="shared" si="2"/>
        <v>4191637.3</v>
      </c>
      <c r="E21" s="152">
        <f t="shared" si="6"/>
        <v>9.2999999999999992E-3</v>
      </c>
      <c r="F21" s="70">
        <f t="shared" si="3"/>
        <v>0</v>
      </c>
      <c r="G21" s="152" t="str">
        <f t="shared" si="7"/>
        <v/>
      </c>
      <c r="H21" s="152" t="str">
        <f t="shared" si="8"/>
        <v/>
      </c>
      <c r="I21" s="70">
        <f t="shared" si="9"/>
        <v>-4191637.3</v>
      </c>
      <c r="J21" s="152">
        <f t="shared" si="10"/>
        <v>-1</v>
      </c>
      <c r="K21" s="163"/>
    </row>
    <row r="22" spans="1:11" ht="18">
      <c r="A22" s="30"/>
      <c r="B22" s="150">
        <v>1132</v>
      </c>
      <c r="C22" s="151" t="str">
        <f t="shared" si="0"/>
        <v>其中：应收利息</v>
      </c>
      <c r="D22" s="70">
        <f t="shared" si="2"/>
        <v>0</v>
      </c>
      <c r="E22" s="152">
        <f t="shared" si="6"/>
        <v>0</v>
      </c>
      <c r="F22" s="70">
        <f t="shared" si="3"/>
        <v>0</v>
      </c>
      <c r="G22" s="152" t="str">
        <f t="shared" si="7"/>
        <v/>
      </c>
      <c r="H22" s="152" t="str">
        <f t="shared" si="8"/>
        <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t="str">
        <f t="shared" si="7"/>
        <v/>
      </c>
      <c r="H23" s="152" t="str">
        <f t="shared" si="8"/>
        <v/>
      </c>
      <c r="I23" s="70">
        <f t="shared" si="9"/>
        <v>0</v>
      </c>
      <c r="J23" s="152" t="str">
        <f t="shared" si="10"/>
        <v/>
      </c>
      <c r="K23" s="163"/>
    </row>
    <row r="24" spans="1:11" ht="18">
      <c r="A24" s="30"/>
      <c r="B24" s="150">
        <v>1400</v>
      </c>
      <c r="C24" s="151" t="str">
        <f t="shared" si="0"/>
        <v>存货</v>
      </c>
      <c r="D24" s="70">
        <f t="shared" si="2"/>
        <v>0</v>
      </c>
      <c r="E24" s="152">
        <f t="shared" si="6"/>
        <v>0</v>
      </c>
      <c r="F24" s="70">
        <f t="shared" si="3"/>
        <v>0</v>
      </c>
      <c r="G24" s="152" t="str">
        <f t="shared" si="7"/>
        <v/>
      </c>
      <c r="H24" s="152" t="str">
        <f t="shared" si="8"/>
        <v/>
      </c>
      <c r="I24" s="70">
        <f t="shared" si="9"/>
        <v>0</v>
      </c>
      <c r="J24" s="152" t="str">
        <f t="shared" si="10"/>
        <v/>
      </c>
      <c r="K24" s="163"/>
    </row>
    <row r="25" spans="1:11" ht="18">
      <c r="A25" s="30"/>
      <c r="B25" s="150">
        <v>1315</v>
      </c>
      <c r="C25" s="151" t="str">
        <f t="shared" si="0"/>
        <v>持有待售资产</v>
      </c>
      <c r="D25" s="70">
        <f t="shared" si="2"/>
        <v>0</v>
      </c>
      <c r="E25" s="152">
        <f t="shared" si="6"/>
        <v>0</v>
      </c>
      <c r="F25" s="70">
        <f t="shared" si="3"/>
        <v>0</v>
      </c>
      <c r="G25" s="152" t="str">
        <f t="shared" si="7"/>
        <v/>
      </c>
      <c r="H25" s="152" t="str">
        <f t="shared" si="8"/>
        <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t="str">
        <f t="shared" si="7"/>
        <v/>
      </c>
      <c r="H26" s="152" t="str">
        <f t="shared" si="8"/>
        <v/>
      </c>
      <c r="I26" s="70">
        <f t="shared" si="9"/>
        <v>0</v>
      </c>
      <c r="J26" s="152" t="str">
        <f t="shared" si="10"/>
        <v/>
      </c>
      <c r="K26" s="163"/>
    </row>
    <row r="27" spans="1:11" ht="18">
      <c r="A27" s="30"/>
      <c r="B27" s="150">
        <v>1496</v>
      </c>
      <c r="C27" s="151" t="str">
        <f t="shared" si="0"/>
        <v>其他流动资产</v>
      </c>
      <c r="D27" s="70">
        <f t="shared" si="2"/>
        <v>0</v>
      </c>
      <c r="E27" s="152">
        <f t="shared" si="6"/>
        <v>0</v>
      </c>
      <c r="F27" s="70">
        <f t="shared" si="3"/>
        <v>0</v>
      </c>
      <c r="G27" s="152" t="str">
        <f t="shared" si="7"/>
        <v/>
      </c>
      <c r="H27" s="152" t="str">
        <f t="shared" si="8"/>
        <v/>
      </c>
      <c r="I27" s="70">
        <f t="shared" si="9"/>
        <v>0</v>
      </c>
      <c r="J27" s="152" t="str">
        <f t="shared" si="10"/>
        <v/>
      </c>
      <c r="K27" s="163"/>
    </row>
    <row r="28" spans="1:11" ht="18">
      <c r="A28" s="30"/>
      <c r="B28" s="150">
        <v>1498</v>
      </c>
      <c r="C28" s="153" t="str">
        <f t="shared" si="0"/>
        <v>流动资产合计</v>
      </c>
      <c r="D28" s="154">
        <f>SUM(D13:D27)-SUM(D22,D23)</f>
        <v>5028137.88</v>
      </c>
      <c r="E28" s="155">
        <f t="shared" ref="E28:I28" si="11">SUM(E13:E27)-SUM(E22,E23)</f>
        <v>1.12E-2</v>
      </c>
      <c r="F28" s="154">
        <f t="shared" si="11"/>
        <v>0</v>
      </c>
      <c r="G28" s="155">
        <f t="shared" si="11"/>
        <v>0</v>
      </c>
      <c r="H28" s="155">
        <f t="shared" si="11"/>
        <v>0</v>
      </c>
      <c r="I28" s="154">
        <f t="shared" si="11"/>
        <v>-5028137.88</v>
      </c>
      <c r="J28" s="155">
        <f t="shared" si="1"/>
        <v>-1</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t="str">
        <f t="shared" ref="G30" si="16">IF(F$55=0,"",F30/F$55)</f>
        <v/>
      </c>
      <c r="H30" s="152" t="str">
        <f t="shared" si="4"/>
        <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t="str">
        <f t="shared" ref="G31:G53" si="18">IF(F$55=0,"",F31/F$55)</f>
        <v/>
      </c>
      <c r="H31" s="152" t="str">
        <f t="shared" ref="H31:H53" si="19">IF(OR(G31="",E31=""),"",G31-E31)</f>
        <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t="str">
        <f t="shared" si="18"/>
        <v/>
      </c>
      <c r="H32" s="152" t="str">
        <f t="shared" si="19"/>
        <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t="str">
        <f t="shared" si="18"/>
        <v/>
      </c>
      <c r="H33" s="152" t="str">
        <f t="shared" si="19"/>
        <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t="str">
        <f t="shared" si="18"/>
        <v/>
      </c>
      <c r="H34" s="152" t="str">
        <f t="shared" si="19"/>
        <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t="str">
        <f t="shared" si="18"/>
        <v/>
      </c>
      <c r="H35" s="152" t="str">
        <f t="shared" si="19"/>
        <v/>
      </c>
      <c r="I35" s="70">
        <f t="shared" si="20"/>
        <v>0</v>
      </c>
      <c r="J35" s="152" t="str">
        <f t="shared" si="21"/>
        <v/>
      </c>
      <c r="K35" s="163"/>
    </row>
    <row r="36" spans="1:11" ht="18">
      <c r="A36" s="30"/>
      <c r="B36" s="150">
        <v>1511</v>
      </c>
      <c r="C36" s="151" t="str">
        <f t="shared" si="0"/>
        <v>长期股权投资</v>
      </c>
      <c r="D36" s="70">
        <f t="shared" si="13"/>
        <v>445619464.50999999</v>
      </c>
      <c r="E36" s="152">
        <f t="shared" si="17"/>
        <v>0.9859</v>
      </c>
      <c r="F36" s="70">
        <f t="shared" si="15"/>
        <v>0</v>
      </c>
      <c r="G36" s="152" t="str">
        <f t="shared" si="18"/>
        <v/>
      </c>
      <c r="H36" s="152" t="str">
        <f t="shared" si="19"/>
        <v/>
      </c>
      <c r="I36" s="70">
        <f t="shared" si="20"/>
        <v>-445619464.50999999</v>
      </c>
      <c r="J36" s="152">
        <f t="shared" si="21"/>
        <v>-1</v>
      </c>
      <c r="K36" s="163"/>
    </row>
    <row r="37" spans="1:11" ht="18">
      <c r="A37" s="30"/>
      <c r="B37" s="150">
        <v>1538</v>
      </c>
      <c r="C37" s="151" t="str">
        <f t="shared" si="0"/>
        <v>其他权益工具投资</v>
      </c>
      <c r="D37" s="70">
        <f t="shared" si="13"/>
        <v>0</v>
      </c>
      <c r="E37" s="152">
        <f t="shared" si="17"/>
        <v>0</v>
      </c>
      <c r="F37" s="70">
        <f t="shared" si="15"/>
        <v>0</v>
      </c>
      <c r="G37" s="152" t="str">
        <f t="shared" si="18"/>
        <v/>
      </c>
      <c r="H37" s="152" t="str">
        <f t="shared" si="19"/>
        <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t="str">
        <f t="shared" si="18"/>
        <v/>
      </c>
      <c r="H38" s="152" t="str">
        <f t="shared" si="19"/>
        <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t="str">
        <f t="shared" si="18"/>
        <v/>
      </c>
      <c r="H39" s="152" t="str">
        <f t="shared" si="19"/>
        <v/>
      </c>
      <c r="I39" s="70">
        <f t="shared" si="20"/>
        <v>0</v>
      </c>
      <c r="J39" s="152" t="str">
        <f t="shared" si="21"/>
        <v/>
      </c>
      <c r="K39" s="163"/>
    </row>
    <row r="40" spans="1:11" ht="18">
      <c r="A40" s="30"/>
      <c r="B40" s="150">
        <v>1611</v>
      </c>
      <c r="C40" s="151" t="str">
        <f>IF($B40="","",VLOOKUP($B40,Sheet_Items,2,0))</f>
        <v>固定资产（报表项目）</v>
      </c>
      <c r="D40" s="70">
        <f t="shared" si="13"/>
        <v>221616.66</v>
      </c>
      <c r="E40" s="152">
        <f t="shared" si="17"/>
        <v>5.0000000000000001E-4</v>
      </c>
      <c r="F40" s="70">
        <f t="shared" si="15"/>
        <v>0</v>
      </c>
      <c r="G40" s="152" t="str">
        <f t="shared" si="18"/>
        <v/>
      </c>
      <c r="H40" s="152" t="str">
        <f t="shared" si="19"/>
        <v/>
      </c>
      <c r="I40" s="70">
        <f t="shared" si="20"/>
        <v>-221616.66</v>
      </c>
      <c r="J40" s="152">
        <f t="shared" si="21"/>
        <v>-1</v>
      </c>
      <c r="K40" s="163"/>
    </row>
    <row r="41" spans="1:11" ht="18">
      <c r="A41" s="30"/>
      <c r="B41" s="150">
        <v>1601</v>
      </c>
      <c r="C41" s="151" t="str">
        <f>IF($B41="","",VLOOKUP($B41,Sheet_Items,6,0))</f>
        <v>其中：固定资产</v>
      </c>
      <c r="D41" s="70">
        <f t="shared" si="13"/>
        <v>221616.66</v>
      </c>
      <c r="E41" s="152">
        <f t="shared" si="17"/>
        <v>5.0000000000000001E-4</v>
      </c>
      <c r="F41" s="70">
        <f t="shared" si="15"/>
        <v>0</v>
      </c>
      <c r="G41" s="152" t="str">
        <f t="shared" si="18"/>
        <v/>
      </c>
      <c r="H41" s="152" t="str">
        <f t="shared" si="19"/>
        <v/>
      </c>
      <c r="I41" s="70">
        <f t="shared" si="20"/>
        <v>-221616.66</v>
      </c>
      <c r="J41" s="152">
        <f t="shared" si="21"/>
        <v>-1</v>
      </c>
      <c r="K41" s="163"/>
    </row>
    <row r="42" spans="1:11" ht="18">
      <c r="A42" s="30"/>
      <c r="B42" s="150">
        <v>1606</v>
      </c>
      <c r="C42" s="151" t="str">
        <f>IF($B42="","",VLOOKUP($B42,Sheet_Items,6,0))</f>
        <v>固定资产清理</v>
      </c>
      <c r="D42" s="70">
        <f t="shared" si="13"/>
        <v>0</v>
      </c>
      <c r="E42" s="152">
        <f t="shared" si="17"/>
        <v>0</v>
      </c>
      <c r="F42" s="70">
        <f t="shared" si="15"/>
        <v>0</v>
      </c>
      <c r="G42" s="152" t="str">
        <f t="shared" si="18"/>
        <v/>
      </c>
      <c r="H42" s="152" t="str">
        <f t="shared" si="19"/>
        <v/>
      </c>
      <c r="I42" s="70">
        <f t="shared" si="20"/>
        <v>0</v>
      </c>
      <c r="J42" s="152" t="str">
        <f t="shared" si="21"/>
        <v/>
      </c>
      <c r="K42" s="163"/>
    </row>
    <row r="43" spans="1:11" ht="18">
      <c r="A43" s="30"/>
      <c r="B43" s="150">
        <v>1616</v>
      </c>
      <c r="C43" s="151" t="str">
        <f>IF($B43="","",VLOOKUP($B43,Sheet_Items,2,0))</f>
        <v>在建工程（报表项目）</v>
      </c>
      <c r="D43" s="70">
        <f t="shared" si="13"/>
        <v>0</v>
      </c>
      <c r="E43" s="152">
        <f t="shared" si="17"/>
        <v>0</v>
      </c>
      <c r="F43" s="70">
        <f t="shared" si="15"/>
        <v>0</v>
      </c>
      <c r="G43" s="152" t="str">
        <f t="shared" si="18"/>
        <v/>
      </c>
      <c r="H43" s="152" t="str">
        <f t="shared" si="19"/>
        <v/>
      </c>
      <c r="I43" s="70">
        <f t="shared" si="20"/>
        <v>0</v>
      </c>
      <c r="J43" s="152" t="str">
        <f t="shared" si="21"/>
        <v/>
      </c>
      <c r="K43" s="163"/>
    </row>
    <row r="44" spans="1:11" ht="18">
      <c r="A44" s="30"/>
      <c r="B44" s="150">
        <v>1604</v>
      </c>
      <c r="C44" s="151" t="str">
        <f>IF($B44="","",VLOOKUP($B44,Sheet_Items,6,0))</f>
        <v>其中：在建工程</v>
      </c>
      <c r="D44" s="70">
        <f t="shared" si="13"/>
        <v>0</v>
      </c>
      <c r="E44" s="152">
        <f t="shared" si="17"/>
        <v>0</v>
      </c>
      <c r="F44" s="70">
        <f t="shared" si="15"/>
        <v>0</v>
      </c>
      <c r="G44" s="152" t="str">
        <f t="shared" si="18"/>
        <v/>
      </c>
      <c r="H44" s="152" t="str">
        <f t="shared" si="19"/>
        <v/>
      </c>
      <c r="I44" s="70">
        <f t="shared" si="20"/>
        <v>0</v>
      </c>
      <c r="J44" s="152" t="str">
        <f t="shared" si="21"/>
        <v/>
      </c>
      <c r="K44" s="163"/>
    </row>
    <row r="45" spans="1:11" ht="18">
      <c r="A45" s="30"/>
      <c r="B45" s="150">
        <v>1605</v>
      </c>
      <c r="C45" s="151" t="str">
        <f>IF($B45="","",VLOOKUP($B45,Sheet_Items,6,0))</f>
        <v>工程物资</v>
      </c>
      <c r="D45" s="70">
        <f t="shared" si="13"/>
        <v>0</v>
      </c>
      <c r="E45" s="152">
        <f t="shared" si="17"/>
        <v>0</v>
      </c>
      <c r="F45" s="70">
        <f t="shared" si="15"/>
        <v>0</v>
      </c>
      <c r="G45" s="152" t="str">
        <f t="shared" si="18"/>
        <v/>
      </c>
      <c r="H45" s="152" t="str">
        <f t="shared" si="19"/>
        <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t="str">
        <f t="shared" si="18"/>
        <v/>
      </c>
      <c r="H46" s="152" t="str">
        <f t="shared" si="19"/>
        <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t="str">
        <f t="shared" si="18"/>
        <v/>
      </c>
      <c r="H47" s="152" t="str">
        <f t="shared" si="19"/>
        <v/>
      </c>
      <c r="I47" s="70">
        <f t="shared" si="20"/>
        <v>0</v>
      </c>
      <c r="J47" s="152" t="str">
        <f t="shared" si="21"/>
        <v/>
      </c>
      <c r="K47" s="163"/>
    </row>
    <row r="48" spans="1:11" ht="18">
      <c r="A48" s="30"/>
      <c r="B48" s="150">
        <v>1701</v>
      </c>
      <c r="C48" s="151" t="str">
        <f t="shared" si="0"/>
        <v>无形资产</v>
      </c>
      <c r="D48" s="70">
        <f t="shared" si="13"/>
        <v>132000</v>
      </c>
      <c r="E48" s="152">
        <f t="shared" si="17"/>
        <v>2.9999999999999997E-4</v>
      </c>
      <c r="F48" s="70">
        <f t="shared" si="15"/>
        <v>0</v>
      </c>
      <c r="G48" s="152" t="str">
        <f t="shared" si="18"/>
        <v/>
      </c>
      <c r="H48" s="152" t="str">
        <f t="shared" si="19"/>
        <v/>
      </c>
      <c r="I48" s="70">
        <f t="shared" si="20"/>
        <v>-132000</v>
      </c>
      <c r="J48" s="152">
        <f t="shared" si="21"/>
        <v>-1</v>
      </c>
      <c r="K48" s="163"/>
    </row>
    <row r="49" spans="1:11" ht="18">
      <c r="A49" s="30"/>
      <c r="B49" s="150">
        <v>1700</v>
      </c>
      <c r="C49" s="151" t="str">
        <f t="shared" si="0"/>
        <v>开发支出</v>
      </c>
      <c r="D49" s="70">
        <f t="shared" si="13"/>
        <v>0</v>
      </c>
      <c r="E49" s="152">
        <f t="shared" si="17"/>
        <v>0</v>
      </c>
      <c r="F49" s="70">
        <f t="shared" si="15"/>
        <v>0</v>
      </c>
      <c r="G49" s="152" t="str">
        <f t="shared" si="18"/>
        <v/>
      </c>
      <c r="H49" s="152" t="str">
        <f t="shared" si="19"/>
        <v/>
      </c>
      <c r="I49" s="70">
        <f t="shared" si="20"/>
        <v>0</v>
      </c>
      <c r="J49" s="152" t="str">
        <f t="shared" si="21"/>
        <v/>
      </c>
      <c r="K49" s="163"/>
    </row>
    <row r="50" spans="1:11" ht="18">
      <c r="A50" s="30"/>
      <c r="B50" s="150">
        <v>1711</v>
      </c>
      <c r="C50" s="151" t="str">
        <f t="shared" si="0"/>
        <v>商誉</v>
      </c>
      <c r="D50" s="70">
        <f t="shared" si="13"/>
        <v>0</v>
      </c>
      <c r="E50" s="152">
        <f t="shared" si="17"/>
        <v>0</v>
      </c>
      <c r="F50" s="70">
        <f t="shared" si="15"/>
        <v>0</v>
      </c>
      <c r="G50" s="152" t="str">
        <f t="shared" si="18"/>
        <v/>
      </c>
      <c r="H50" s="152" t="str">
        <f t="shared" si="19"/>
        <v/>
      </c>
      <c r="I50" s="70">
        <f t="shared" si="20"/>
        <v>0</v>
      </c>
      <c r="J50" s="152" t="str">
        <f t="shared" si="21"/>
        <v/>
      </c>
      <c r="K50" s="163"/>
    </row>
    <row r="51" spans="1:11" ht="18">
      <c r="A51" s="30"/>
      <c r="B51" s="150">
        <v>1801</v>
      </c>
      <c r="C51" s="151" t="str">
        <f t="shared" si="0"/>
        <v>长期待摊费用</v>
      </c>
      <c r="D51" s="70">
        <f t="shared" si="13"/>
        <v>983014.49</v>
      </c>
      <c r="E51" s="152">
        <f t="shared" si="17"/>
        <v>2.2000000000000001E-3</v>
      </c>
      <c r="F51" s="70">
        <f t="shared" si="15"/>
        <v>0</v>
      </c>
      <c r="G51" s="152" t="str">
        <f t="shared" si="18"/>
        <v/>
      </c>
      <c r="H51" s="152" t="str">
        <f t="shared" si="19"/>
        <v/>
      </c>
      <c r="I51" s="70">
        <f t="shared" si="20"/>
        <v>-983014.49</v>
      </c>
      <c r="J51" s="152">
        <f t="shared" si="21"/>
        <v>-1</v>
      </c>
      <c r="K51" s="163"/>
    </row>
    <row r="52" spans="1:11" ht="18">
      <c r="A52" s="30"/>
      <c r="B52" s="150">
        <v>1811</v>
      </c>
      <c r="C52" s="151" t="str">
        <f t="shared" si="0"/>
        <v>递延所得税资产</v>
      </c>
      <c r="D52" s="70">
        <f t="shared" si="13"/>
        <v>0</v>
      </c>
      <c r="E52" s="152">
        <f t="shared" si="17"/>
        <v>0</v>
      </c>
      <c r="F52" s="70">
        <f t="shared" si="15"/>
        <v>0</v>
      </c>
      <c r="G52" s="152" t="str">
        <f t="shared" si="18"/>
        <v/>
      </c>
      <c r="H52" s="152" t="str">
        <f t="shared" si="19"/>
        <v/>
      </c>
      <c r="I52" s="70">
        <f t="shared" si="20"/>
        <v>0</v>
      </c>
      <c r="J52" s="152" t="str">
        <f t="shared" si="21"/>
        <v/>
      </c>
      <c r="K52" s="163"/>
    </row>
    <row r="53" spans="1:11" ht="18">
      <c r="A53" s="30"/>
      <c r="B53" s="150">
        <v>1996</v>
      </c>
      <c r="C53" s="151" t="str">
        <f t="shared" si="0"/>
        <v>其他非流动资产</v>
      </c>
      <c r="D53" s="70">
        <f t="shared" si="13"/>
        <v>0</v>
      </c>
      <c r="E53" s="152">
        <f t="shared" si="17"/>
        <v>0</v>
      </c>
      <c r="F53" s="70">
        <f t="shared" si="15"/>
        <v>0</v>
      </c>
      <c r="G53" s="152" t="str">
        <f t="shared" si="18"/>
        <v/>
      </c>
      <c r="H53" s="152" t="str">
        <f t="shared" si="19"/>
        <v/>
      </c>
      <c r="I53" s="70">
        <f t="shared" si="20"/>
        <v>0</v>
      </c>
      <c r="J53" s="152" t="str">
        <f t="shared" si="21"/>
        <v/>
      </c>
      <c r="K53" s="163"/>
    </row>
    <row r="54" spans="1:11" ht="18">
      <c r="A54" s="30"/>
      <c r="B54" s="150">
        <v>1998</v>
      </c>
      <c r="C54" s="153" t="str">
        <f t="shared" ref="C54:C93" si="22">IF($B54="","",VLOOKUP($B54,Sheet_Items,6,0))</f>
        <v>非流动资产合计</v>
      </c>
      <c r="D54" s="154">
        <f>SUM(D30:D53)-SUM(D41,D42,D44,D45)</f>
        <v>446956095.66000003</v>
      </c>
      <c r="E54" s="156">
        <f t="shared" ref="E54:I54" si="23">SUM(E30:E53)-SUM(E41,E42,E44,E45)</f>
        <v>0.9889</v>
      </c>
      <c r="F54" s="154">
        <f t="shared" si="23"/>
        <v>0</v>
      </c>
      <c r="G54" s="156">
        <f t="shared" si="23"/>
        <v>0</v>
      </c>
      <c r="H54" s="156">
        <f t="shared" si="23"/>
        <v>0</v>
      </c>
      <c r="I54" s="154">
        <f t="shared" si="23"/>
        <v>-446956095.66000003</v>
      </c>
      <c r="J54" s="152">
        <f t="shared" si="1"/>
        <v>-1</v>
      </c>
      <c r="K54" s="163"/>
    </row>
    <row r="55" spans="1:11" ht="18">
      <c r="A55" s="30"/>
      <c r="B55" s="150">
        <v>1999</v>
      </c>
      <c r="C55" s="153" t="str">
        <f t="shared" si="22"/>
        <v>资产总计</v>
      </c>
      <c r="D55" s="154">
        <f t="shared" ref="D55:I55" si="24">SUM(D28,D54)</f>
        <v>451984233.54000002</v>
      </c>
      <c r="E55" s="156">
        <f t="shared" si="24"/>
        <v>1.0001</v>
      </c>
      <c r="F55" s="154">
        <f t="shared" si="24"/>
        <v>0</v>
      </c>
      <c r="G55" s="156">
        <f t="shared" si="24"/>
        <v>0</v>
      </c>
      <c r="H55" s="156">
        <f t="shared" si="24"/>
        <v>0</v>
      </c>
      <c r="I55" s="154">
        <f t="shared" si="24"/>
        <v>-451984233.54000002</v>
      </c>
      <c r="J55" s="155">
        <f t="shared" si="1"/>
        <v>-1</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0</v>
      </c>
      <c r="G57" s="152" t="str">
        <f>IF(F$85=0,"",F57/F$85)</f>
        <v/>
      </c>
      <c r="H57" s="152" t="str">
        <f t="shared" si="25"/>
        <v/>
      </c>
      <c r="I57" s="70">
        <f t="shared" si="26"/>
        <v>0</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t="str">
        <f t="shared" ref="G58:G71" si="31">IF(F$85=0,"",F58/F$85)</f>
        <v/>
      </c>
      <c r="H58" s="152" t="str">
        <f t="shared" ref="H58:H71" si="32">IF(OR(G58="",E58=""),"",G58-E58)</f>
        <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t="str">
        <f t="shared" si="31"/>
        <v/>
      </c>
      <c r="H59" s="152" t="str">
        <f t="shared" si="32"/>
        <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t="str">
        <f t="shared" si="31"/>
        <v/>
      </c>
      <c r="H60" s="152" t="str">
        <f t="shared" si="32"/>
        <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t="str">
        <f t="shared" si="31"/>
        <v/>
      </c>
      <c r="H61" s="152" t="str">
        <f t="shared" si="32"/>
        <v/>
      </c>
      <c r="I61" s="70">
        <f t="shared" si="33"/>
        <v>0</v>
      </c>
      <c r="J61" s="152" t="str">
        <f t="shared" si="34"/>
        <v/>
      </c>
      <c r="K61" s="163"/>
    </row>
    <row r="62" spans="1:11" ht="18">
      <c r="A62" s="30"/>
      <c r="B62" s="150">
        <v>2202</v>
      </c>
      <c r="C62" s="151" t="str">
        <f t="shared" si="22"/>
        <v>应付账款</v>
      </c>
      <c r="D62" s="70">
        <f t="shared" si="28"/>
        <v>0</v>
      </c>
      <c r="E62" s="152">
        <f t="shared" si="30"/>
        <v>0</v>
      </c>
      <c r="F62" s="70">
        <f t="shared" si="29"/>
        <v>0</v>
      </c>
      <c r="G62" s="152" t="str">
        <f t="shared" si="31"/>
        <v/>
      </c>
      <c r="H62" s="152" t="str">
        <f t="shared" si="32"/>
        <v/>
      </c>
      <c r="I62" s="70">
        <f t="shared" si="33"/>
        <v>0</v>
      </c>
      <c r="J62" s="152" t="str">
        <f t="shared" si="34"/>
        <v/>
      </c>
      <c r="K62" s="163"/>
    </row>
    <row r="63" spans="1:11" ht="18">
      <c r="A63" s="30"/>
      <c r="B63" s="150">
        <v>2205</v>
      </c>
      <c r="C63" s="151" t="str">
        <f t="shared" si="22"/>
        <v>预收款项</v>
      </c>
      <c r="D63" s="70">
        <f t="shared" si="28"/>
        <v>0</v>
      </c>
      <c r="E63" s="152">
        <f t="shared" si="30"/>
        <v>0</v>
      </c>
      <c r="F63" s="70">
        <f t="shared" si="29"/>
        <v>0</v>
      </c>
      <c r="G63" s="152" t="str">
        <f t="shared" si="31"/>
        <v/>
      </c>
      <c r="H63" s="152" t="str">
        <f t="shared" si="32"/>
        <v/>
      </c>
      <c r="I63" s="70">
        <f t="shared" si="33"/>
        <v>0</v>
      </c>
      <c r="J63" s="152" t="str">
        <f t="shared" si="34"/>
        <v/>
      </c>
      <c r="K63" s="163"/>
    </row>
    <row r="64" spans="1:11" ht="18">
      <c r="A64" s="30"/>
      <c r="B64" s="150">
        <v>2211</v>
      </c>
      <c r="C64" s="151" t="str">
        <f t="shared" si="22"/>
        <v>应付职工薪酬</v>
      </c>
      <c r="D64" s="70">
        <f t="shared" si="28"/>
        <v>2712561.36</v>
      </c>
      <c r="E64" s="152">
        <f t="shared" si="30"/>
        <v>6.7999999999999996E-3</v>
      </c>
      <c r="F64" s="70">
        <f t="shared" si="29"/>
        <v>0</v>
      </c>
      <c r="G64" s="152" t="str">
        <f t="shared" si="31"/>
        <v/>
      </c>
      <c r="H64" s="152" t="str">
        <f t="shared" si="32"/>
        <v/>
      </c>
      <c r="I64" s="70">
        <f t="shared" si="33"/>
        <v>-2712561.36</v>
      </c>
      <c r="J64" s="152">
        <f t="shared" si="34"/>
        <v>-1</v>
      </c>
      <c r="K64" s="163"/>
    </row>
    <row r="65" spans="1:11" ht="18">
      <c r="A65" s="30"/>
      <c r="B65" s="150">
        <v>2221</v>
      </c>
      <c r="C65" s="151" t="str">
        <f t="shared" si="22"/>
        <v>应交税费</v>
      </c>
      <c r="D65" s="70">
        <f t="shared" si="28"/>
        <v>44562.07</v>
      </c>
      <c r="E65" s="152">
        <f t="shared" si="30"/>
        <v>1E-4</v>
      </c>
      <c r="F65" s="70">
        <f t="shared" si="29"/>
        <v>0</v>
      </c>
      <c r="G65" s="152" t="str">
        <f t="shared" si="31"/>
        <v/>
      </c>
      <c r="H65" s="152" t="str">
        <f t="shared" si="32"/>
        <v/>
      </c>
      <c r="I65" s="70">
        <f t="shared" si="33"/>
        <v>-44562.07</v>
      </c>
      <c r="J65" s="152">
        <f t="shared" si="34"/>
        <v>-1</v>
      </c>
      <c r="K65" s="163"/>
    </row>
    <row r="66" spans="1:11" ht="18">
      <c r="A66" s="30"/>
      <c r="B66" s="150">
        <v>2246</v>
      </c>
      <c r="C66" s="151" t="str">
        <f>IF($B66="","",VLOOKUP($B66,Sheet_Items,2,0))</f>
        <v>其他应付款（报表项目）</v>
      </c>
      <c r="D66" s="70">
        <f t="shared" si="28"/>
        <v>396457994.25</v>
      </c>
      <c r="E66" s="152">
        <f t="shared" si="30"/>
        <v>0.99309999999999998</v>
      </c>
      <c r="F66" s="70">
        <f t="shared" si="29"/>
        <v>0</v>
      </c>
      <c r="G66" s="152" t="str">
        <f t="shared" si="31"/>
        <v/>
      </c>
      <c r="H66" s="152" t="str">
        <f t="shared" si="32"/>
        <v/>
      </c>
      <c r="I66" s="70">
        <f t="shared" si="33"/>
        <v>-396457994.25</v>
      </c>
      <c r="J66" s="152">
        <f t="shared" si="34"/>
        <v>-1</v>
      </c>
      <c r="K66" s="163"/>
    </row>
    <row r="67" spans="1:11" ht="18">
      <c r="A67" s="30"/>
      <c r="B67" s="150">
        <v>2231</v>
      </c>
      <c r="C67" s="151" t="str">
        <f t="shared" si="22"/>
        <v>其中：应付利息</v>
      </c>
      <c r="D67" s="70">
        <f t="shared" si="28"/>
        <v>0</v>
      </c>
      <c r="E67" s="152">
        <f t="shared" si="30"/>
        <v>0</v>
      </c>
      <c r="F67" s="70">
        <f t="shared" si="29"/>
        <v>0</v>
      </c>
      <c r="G67" s="152" t="str">
        <f t="shared" si="31"/>
        <v/>
      </c>
      <c r="H67" s="152" t="str">
        <f t="shared" si="32"/>
        <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t="str">
        <f t="shared" si="31"/>
        <v/>
      </c>
      <c r="H68" s="152" t="str">
        <f t="shared" si="32"/>
        <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t="str">
        <f t="shared" si="31"/>
        <v/>
      </c>
      <c r="H69" s="152" t="str">
        <f t="shared" si="32"/>
        <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t="str">
        <f t="shared" si="31"/>
        <v/>
      </c>
      <c r="H70" s="152" t="str">
        <f t="shared" si="32"/>
        <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t="str">
        <f t="shared" si="31"/>
        <v/>
      </c>
      <c r="H71" s="152" t="str">
        <f t="shared" si="32"/>
        <v/>
      </c>
      <c r="I71" s="70">
        <f t="shared" si="33"/>
        <v>0</v>
      </c>
      <c r="J71" s="152" t="str">
        <f t="shared" si="34"/>
        <v/>
      </c>
      <c r="K71" s="163"/>
    </row>
    <row r="72" spans="1:11" ht="18">
      <c r="A72" s="30"/>
      <c r="B72" s="150">
        <v>2498</v>
      </c>
      <c r="C72" s="153" t="str">
        <f t="shared" si="22"/>
        <v>流动负债合计</v>
      </c>
      <c r="D72" s="154">
        <f>SUM(D57:D71)-SUM(D67,D68)</f>
        <v>399215117.68000001</v>
      </c>
      <c r="E72" s="156">
        <f t="shared" ref="E72:I72" si="35">SUM(E57:E71)-SUM(E67,E68)</f>
        <v>1</v>
      </c>
      <c r="F72" s="154">
        <f t="shared" si="35"/>
        <v>0</v>
      </c>
      <c r="G72" s="156">
        <f t="shared" si="35"/>
        <v>0</v>
      </c>
      <c r="H72" s="156">
        <f t="shared" si="35"/>
        <v>0</v>
      </c>
      <c r="I72" s="154">
        <f t="shared" si="35"/>
        <v>-399215117.68000001</v>
      </c>
      <c r="J72" s="152">
        <f t="shared" si="27"/>
        <v>-1</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t="str">
        <f>IF(F$85=0,"",F74/F$85)</f>
        <v/>
      </c>
      <c r="H74" s="152" t="str">
        <f t="shared" si="36"/>
        <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t="str">
        <f t="shared" ref="G75:G83" si="41">IF(F$85=0,"",F75/F$85)</f>
        <v/>
      </c>
      <c r="H75" s="152" t="str">
        <f t="shared" ref="H75:H83" si="42">IF(OR(G75="",E75=""),"",G75-E75)</f>
        <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t="str">
        <f t="shared" si="41"/>
        <v/>
      </c>
      <c r="H76" s="152" t="str">
        <f t="shared" si="42"/>
        <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t="str">
        <f t="shared" si="41"/>
        <v/>
      </c>
      <c r="H77" s="152" t="str">
        <f t="shared" si="42"/>
        <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t="str">
        <f t="shared" si="41"/>
        <v/>
      </c>
      <c r="H78" s="152" t="str">
        <f t="shared" si="42"/>
        <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t="str">
        <f t="shared" si="41"/>
        <v/>
      </c>
      <c r="H79" s="152" t="str">
        <f t="shared" si="42"/>
        <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t="str">
        <f t="shared" si="41"/>
        <v/>
      </c>
      <c r="H80" s="152" t="str">
        <f t="shared" si="42"/>
        <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t="str">
        <f t="shared" si="41"/>
        <v/>
      </c>
      <c r="H81" s="152" t="str">
        <f t="shared" si="42"/>
        <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t="str">
        <f t="shared" si="41"/>
        <v/>
      </c>
      <c r="H82" s="152" t="str">
        <f t="shared" si="42"/>
        <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t="str">
        <f t="shared" si="41"/>
        <v/>
      </c>
      <c r="H83" s="152" t="str">
        <f t="shared" si="42"/>
        <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399215117.68000001</v>
      </c>
      <c r="E85" s="156">
        <f>SUM(E72,E84)</f>
        <v>1</v>
      </c>
      <c r="F85" s="154">
        <f>SUM(F72,F84)</f>
        <v>0</v>
      </c>
      <c r="G85" s="156">
        <f>SUM(G72,G84)</f>
        <v>0</v>
      </c>
      <c r="H85" s="156"/>
      <c r="I85" s="154">
        <f>SUM(I72,I84)</f>
        <v>-399215117.68000001</v>
      </c>
      <c r="J85" s="155">
        <f t="shared" si="27"/>
        <v>-1</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100000000</v>
      </c>
      <c r="E87" s="152">
        <f>IF(D$98=0,"",D87/D$98)</f>
        <v>1.895</v>
      </c>
      <c r="F87" s="70">
        <f t="shared" ref="F87:F97" si="48">VLOOKUP($B87,Sheet_Trialbal,6,0)</f>
        <v>0</v>
      </c>
      <c r="G87" s="152">
        <f>IF(F$98=0,"",F87/F$98)</f>
        <v>0</v>
      </c>
      <c r="H87" s="152">
        <f t="shared" si="45"/>
        <v>-1.895</v>
      </c>
      <c r="I87" s="70">
        <f t="shared" si="46"/>
        <v>-100000000</v>
      </c>
      <c r="J87" s="152">
        <f t="shared" si="27"/>
        <v>-1</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0</v>
      </c>
      <c r="G89" s="152">
        <f t="shared" si="50"/>
        <v>0</v>
      </c>
      <c r="H89" s="152">
        <f t="shared" si="51"/>
        <v>0</v>
      </c>
      <c r="I89" s="70">
        <f t="shared" si="52"/>
        <v>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0</v>
      </c>
      <c r="E93" s="152">
        <f t="shared" si="49"/>
        <v>0</v>
      </c>
      <c r="F93" s="70">
        <f t="shared" si="48"/>
        <v>0</v>
      </c>
      <c r="G93" s="152">
        <f t="shared" si="50"/>
        <v>0</v>
      </c>
      <c r="H93" s="152">
        <f t="shared" si="51"/>
        <v>0</v>
      </c>
      <c r="I93" s="70">
        <f t="shared" si="52"/>
        <v>0</v>
      </c>
      <c r="J93" s="152" t="str">
        <f t="shared" si="53"/>
        <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-47230884.140000001</v>
      </c>
      <c r="E95" s="152">
        <f t="shared" si="49"/>
        <v>-0.89500000000000002</v>
      </c>
      <c r="F95" s="70">
        <f t="shared" si="48"/>
        <v>-25297789.149999999</v>
      </c>
      <c r="G95" s="152">
        <f t="shared" si="50"/>
        <v>1</v>
      </c>
      <c r="H95" s="152">
        <f t="shared" si="51"/>
        <v>1.895</v>
      </c>
      <c r="I95" s="70">
        <f t="shared" si="52"/>
        <v>21933094.989999998</v>
      </c>
      <c r="J95" s="152">
        <f t="shared" si="53"/>
        <v>-0.46439999999999998</v>
      </c>
      <c r="K95" s="163"/>
    </row>
    <row r="96" spans="1:11" ht="18">
      <c r="A96" s="30"/>
      <c r="B96" s="150">
        <v>4298</v>
      </c>
      <c r="C96" s="164" t="str">
        <f t="shared" si="54"/>
        <v>归属于母公司所有者权益合计</v>
      </c>
      <c r="D96" s="154">
        <f>SUM(D87:D89,-D90,D91:D95)</f>
        <v>52769115.859999999</v>
      </c>
      <c r="E96" s="155">
        <f t="shared" ref="E96:E97" si="55">IF(D$98=0,"",D96/D$98)</f>
        <v>1</v>
      </c>
      <c r="F96" s="154">
        <f>SUM(F87:F89,-F90,F91:F95)</f>
        <v>-25297789.149999999</v>
      </c>
      <c r="G96" s="155">
        <f t="shared" ref="G96:G97" si="56">IF(F$98=0,"",F96/F$98)</f>
        <v>1</v>
      </c>
      <c r="H96" s="155">
        <f t="shared" si="45"/>
        <v>0</v>
      </c>
      <c r="I96" s="154">
        <f>SUM(I87:I89,-I90,I91:I95)</f>
        <v>-78066905.010000005</v>
      </c>
      <c r="J96" s="152">
        <f t="shared" si="27"/>
        <v>-1.4794</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52769115.859999999</v>
      </c>
      <c r="E98" s="156">
        <f t="shared" si="60"/>
        <v>1</v>
      </c>
      <c r="F98" s="154">
        <f t="shared" si="60"/>
        <v>-25297789.149999999</v>
      </c>
      <c r="G98" s="156">
        <f t="shared" si="60"/>
        <v>1</v>
      </c>
      <c r="H98" s="156">
        <f t="shared" si="60"/>
        <v>0</v>
      </c>
      <c r="I98" s="154">
        <f t="shared" si="60"/>
        <v>-78066905.010000005</v>
      </c>
      <c r="J98" s="152">
        <f t="shared" si="27"/>
        <v>-1.4794</v>
      </c>
      <c r="K98" s="163"/>
    </row>
    <row r="99" spans="1:11" ht="18">
      <c r="A99" s="30"/>
      <c r="B99" s="150">
        <v>5000</v>
      </c>
      <c r="C99" s="153" t="str">
        <f t="shared" si="54"/>
        <v>负债和所有者权益总计</v>
      </c>
      <c r="D99" s="154">
        <f>SUM(D85,D98)</f>
        <v>451984233.54000002</v>
      </c>
      <c r="E99" s="152"/>
      <c r="F99" s="154">
        <f>SUM(F85,F98)</f>
        <v>-25297789.149999999</v>
      </c>
      <c r="G99" s="152"/>
      <c r="H99" s="152" t="str">
        <f t="shared" ref="H99:H101" si="61">IF(OR(G99="",E99=""),"",G99-E99)</f>
        <v/>
      </c>
      <c r="I99" s="154">
        <f>SUM(I85,I98)</f>
        <v>-477282022.69</v>
      </c>
      <c r="J99" s="152">
        <f t="shared" si="27"/>
        <v>-1.056</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6282.79</v>
      </c>
      <c r="E101" s="152"/>
      <c r="F101" s="70">
        <f t="shared" ref="F101:F114" si="66">VLOOKUP($B101,Sheet_Trialbal,6,0)</f>
        <v>328458.53999999998</v>
      </c>
      <c r="G101" s="152"/>
      <c r="H101" s="152" t="str">
        <f t="shared" si="61"/>
        <v/>
      </c>
      <c r="I101" s="70">
        <f t="shared" si="62"/>
        <v>322175.75</v>
      </c>
      <c r="J101" s="152">
        <f t="shared" si="63"/>
        <v>51.2791</v>
      </c>
      <c r="K101" s="163"/>
    </row>
    <row r="102" spans="1:11" ht="18">
      <c r="A102" s="30"/>
      <c r="B102" s="150">
        <v>6401</v>
      </c>
      <c r="C102" s="151" t="str">
        <f t="shared" si="64"/>
        <v>营业成本</v>
      </c>
      <c r="D102" s="70">
        <f t="shared" si="65"/>
        <v>0</v>
      </c>
      <c r="E102" s="152"/>
      <c r="F102" s="70">
        <f t="shared" si="66"/>
        <v>8990453.4299999997</v>
      </c>
      <c r="G102" s="152"/>
      <c r="H102" s="152" t="str">
        <f t="shared" ref="H102:H114" si="67">IF(OR(G102="",E102=""),"",G102-E102)</f>
        <v/>
      </c>
      <c r="I102" s="70">
        <f t="shared" ref="I102:I114" si="68">IF(OR(F102="",D102=""),"",F102-D102)</f>
        <v>8990453.4299999997</v>
      </c>
      <c r="J102" s="152" t="str">
        <f t="shared" ref="J102:J114" si="69">IF(OR(I102="",D102="",D102=0),"",I102/D102)</f>
        <v/>
      </c>
      <c r="K102" s="163"/>
    </row>
    <row r="103" spans="1:11" ht="18">
      <c r="A103" s="30"/>
      <c r="B103" s="150">
        <v>6600</v>
      </c>
      <c r="C103" s="151" t="str">
        <f t="shared" si="64"/>
        <v>税金及附加</v>
      </c>
      <c r="D103" s="70">
        <f t="shared" si="65"/>
        <v>102037.26</v>
      </c>
      <c r="E103" s="152"/>
      <c r="F103" s="70">
        <f t="shared" si="66"/>
        <v>88392.34</v>
      </c>
      <c r="G103" s="152"/>
      <c r="H103" s="152" t="str">
        <f t="shared" si="67"/>
        <v/>
      </c>
      <c r="I103" s="70">
        <f t="shared" si="68"/>
        <v>-13644.92</v>
      </c>
      <c r="J103" s="152">
        <f t="shared" si="69"/>
        <v>-0.13370000000000001</v>
      </c>
      <c r="K103" s="163"/>
    </row>
    <row r="104" spans="1:11" ht="18">
      <c r="A104" s="30"/>
      <c r="B104" s="150">
        <v>6601</v>
      </c>
      <c r="C104" s="151" t="str">
        <f t="shared" si="64"/>
        <v>销售费用</v>
      </c>
      <c r="D104" s="70">
        <f t="shared" si="65"/>
        <v>533561.96</v>
      </c>
      <c r="E104" s="152"/>
      <c r="F104" s="70">
        <f t="shared" si="66"/>
        <v>6019256.5999999996</v>
      </c>
      <c r="G104" s="152"/>
      <c r="H104" s="152" t="str">
        <f t="shared" si="67"/>
        <v/>
      </c>
      <c r="I104" s="70">
        <f t="shared" si="68"/>
        <v>5485694.6399999997</v>
      </c>
      <c r="J104" s="152">
        <f t="shared" si="69"/>
        <v>10.2813</v>
      </c>
      <c r="K104" s="163"/>
    </row>
    <row r="105" spans="1:11" ht="18">
      <c r="A105" s="30"/>
      <c r="B105" s="150">
        <v>6602</v>
      </c>
      <c r="C105" s="151" t="str">
        <f t="shared" si="64"/>
        <v>管理费用</v>
      </c>
      <c r="D105" s="70">
        <f t="shared" si="65"/>
        <v>10602460.369999999</v>
      </c>
      <c r="E105" s="152"/>
      <c r="F105" s="70">
        <f t="shared" si="66"/>
        <v>15303416.08</v>
      </c>
      <c r="G105" s="152"/>
      <c r="H105" s="152" t="str">
        <f t="shared" si="67"/>
        <v/>
      </c>
      <c r="I105" s="70">
        <f t="shared" si="68"/>
        <v>4700955.71</v>
      </c>
      <c r="J105" s="152">
        <f t="shared" si="69"/>
        <v>0.44340000000000002</v>
      </c>
      <c r="K105" s="163"/>
    </row>
    <row r="106" spans="1:11" ht="18">
      <c r="A106" s="30"/>
      <c r="B106" s="150">
        <v>6606</v>
      </c>
      <c r="C106" s="151" t="str">
        <f t="shared" si="64"/>
        <v>研发费用</v>
      </c>
      <c r="D106" s="70">
        <f t="shared" si="65"/>
        <v>6800845.5</v>
      </c>
      <c r="E106" s="152"/>
      <c r="F106" s="70">
        <f t="shared" si="66"/>
        <v>0</v>
      </c>
      <c r="G106" s="152"/>
      <c r="H106" s="152" t="str">
        <f t="shared" si="67"/>
        <v/>
      </c>
      <c r="I106" s="70">
        <f t="shared" si="68"/>
        <v>-6800845.5</v>
      </c>
      <c r="J106" s="152">
        <f t="shared" si="69"/>
        <v>-1</v>
      </c>
      <c r="K106" s="163"/>
    </row>
    <row r="107" spans="1:11" ht="18">
      <c r="A107" s="30"/>
      <c r="B107" s="150">
        <v>6603</v>
      </c>
      <c r="C107" s="151" t="str">
        <f t="shared" si="64"/>
        <v>财务费用</v>
      </c>
      <c r="D107" s="70">
        <f t="shared" si="65"/>
        <v>4448695.43</v>
      </c>
      <c r="E107" s="152"/>
      <c r="F107" s="70">
        <f t="shared" si="66"/>
        <v>1495429.05</v>
      </c>
      <c r="G107" s="152"/>
      <c r="H107" s="152" t="str">
        <f t="shared" si="67"/>
        <v/>
      </c>
      <c r="I107" s="70">
        <f t="shared" si="68"/>
        <v>-2953266.38</v>
      </c>
      <c r="J107" s="152">
        <f t="shared" si="69"/>
        <v>-0.66379999999999995</v>
      </c>
      <c r="K107" s="163"/>
    </row>
    <row r="108" spans="1:11" ht="18">
      <c r="A108" s="30"/>
      <c r="B108" s="150">
        <v>6181</v>
      </c>
      <c r="C108" s="151" t="str">
        <f t="shared" si="64"/>
        <v>其他收益</v>
      </c>
      <c r="D108" s="70">
        <f t="shared" si="65"/>
        <v>0</v>
      </c>
      <c r="E108" s="152"/>
      <c r="F108" s="70">
        <f t="shared" si="66"/>
        <v>10113.33</v>
      </c>
      <c r="G108" s="152"/>
      <c r="H108" s="152" t="str">
        <f t="shared" si="67"/>
        <v/>
      </c>
      <c r="I108" s="70">
        <f t="shared" si="68"/>
        <v>10113.33</v>
      </c>
      <c r="J108" s="152" t="str">
        <f t="shared" si="69"/>
        <v/>
      </c>
      <c r="K108" s="163"/>
    </row>
    <row r="109" spans="1:11" ht="18">
      <c r="A109" s="30"/>
      <c r="B109" s="150">
        <v>6111</v>
      </c>
      <c r="C109" s="151" t="str">
        <f t="shared" si="64"/>
        <v>投资收益</v>
      </c>
      <c r="D109" s="70">
        <f t="shared" si="65"/>
        <v>0</v>
      </c>
      <c r="E109" s="152"/>
      <c r="F109" s="70">
        <f t="shared" si="66"/>
        <v>0</v>
      </c>
      <c r="G109" s="152"/>
      <c r="H109" s="152" t="str">
        <f t="shared" si="67"/>
        <v/>
      </c>
      <c r="I109" s="70">
        <f t="shared" si="68"/>
        <v>0</v>
      </c>
      <c r="J109" s="152" t="str">
        <f t="shared" si="69"/>
        <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3895.59</v>
      </c>
      <c r="G112" s="152"/>
      <c r="H112" s="152" t="str">
        <f t="shared" si="67"/>
        <v/>
      </c>
      <c r="I112" s="70">
        <f t="shared" si="68"/>
        <v>3895.59</v>
      </c>
      <c r="J112" s="152" t="str">
        <f t="shared" si="69"/>
        <v/>
      </c>
      <c r="K112" s="163"/>
    </row>
    <row r="113" spans="1:11" ht="24">
      <c r="A113" s="30"/>
      <c r="B113" s="150">
        <v>6671</v>
      </c>
      <c r="C113" s="151" t="str">
        <f>IF($B113="","",VLOOKUP($B113,Sheet_Items,6,0))</f>
        <v>资产减值损失（损失以“-”号填列）</v>
      </c>
      <c r="D113" s="70">
        <f t="shared" si="65"/>
        <v>-29565.119999999999</v>
      </c>
      <c r="E113" s="152"/>
      <c r="F113" s="70">
        <f t="shared" si="66"/>
        <v>0</v>
      </c>
      <c r="G113" s="152"/>
      <c r="H113" s="152" t="str">
        <f t="shared" si="67"/>
        <v/>
      </c>
      <c r="I113" s="70">
        <f t="shared" si="68"/>
        <v>29565.119999999999</v>
      </c>
      <c r="J113" s="152">
        <f t="shared" si="69"/>
        <v>-1</v>
      </c>
      <c r="K113" s="163"/>
    </row>
    <row r="114" spans="1:11" ht="18">
      <c r="A114" s="30"/>
      <c r="B114" s="150">
        <v>6171</v>
      </c>
      <c r="C114" s="151" t="str">
        <f t="shared" si="64"/>
        <v>资产处置收益</v>
      </c>
      <c r="D114" s="70">
        <f t="shared" si="65"/>
        <v>0</v>
      </c>
      <c r="E114" s="152"/>
      <c r="F114" s="70">
        <f t="shared" si="66"/>
        <v>0</v>
      </c>
      <c r="G114" s="152"/>
      <c r="H114" s="152" t="str">
        <f t="shared" si="67"/>
        <v/>
      </c>
      <c r="I114" s="70">
        <f t="shared" si="68"/>
        <v>0</v>
      </c>
      <c r="J114" s="152" t="str">
        <f t="shared" si="69"/>
        <v/>
      </c>
      <c r="K114" s="163"/>
    </row>
    <row r="115" spans="1:11" ht="18">
      <c r="A115" s="30"/>
      <c r="B115" s="150">
        <v>6689</v>
      </c>
      <c r="C115" s="153" t="str">
        <f t="shared" si="64"/>
        <v>营业利润</v>
      </c>
      <c r="D115" s="154">
        <f>SUM(D101)-SUM(D102:D107)+SUM(D108:D114)</f>
        <v>-22510882.850000001</v>
      </c>
      <c r="E115" s="152">
        <f t="shared" ref="E115:I115" si="70">SUM(E101)-SUM(E102:E107)+SUM(E108:E114)</f>
        <v>0</v>
      </c>
      <c r="F115" s="154">
        <f t="shared" si="70"/>
        <v>-31554480.039999999</v>
      </c>
      <c r="G115" s="152">
        <f t="shared" si="70"/>
        <v>0</v>
      </c>
      <c r="H115" s="152">
        <f t="shared" si="70"/>
        <v>0</v>
      </c>
      <c r="I115" s="154">
        <f t="shared" si="70"/>
        <v>-9043597.1899999995</v>
      </c>
      <c r="J115" s="152">
        <f t="shared" si="63"/>
        <v>0.4017</v>
      </c>
      <c r="K115" s="163"/>
    </row>
    <row r="116" spans="1:11" ht="18">
      <c r="A116" s="30"/>
      <c r="B116" s="150">
        <v>6710</v>
      </c>
      <c r="C116" s="151" t="str">
        <f t="shared" si="64"/>
        <v>营业外收入</v>
      </c>
      <c r="D116" s="70">
        <f>VLOOKUP($B116,Sheet_Trialbal,10,0)</f>
        <v>0</v>
      </c>
      <c r="E116" s="152"/>
      <c r="F116" s="70">
        <f>VLOOKUP($B116,Sheet_Trialbal,6,0)</f>
        <v>0</v>
      </c>
      <c r="G116" s="152"/>
      <c r="H116" s="152" t="str">
        <f t="shared" ref="H116:H125" si="71">IF(OR(G116="",E116=""),"",G116-E116)</f>
        <v/>
      </c>
      <c r="I116" s="70">
        <f>IF(OR(F116="",D116=""),"",F116-D116)</f>
        <v>0</v>
      </c>
      <c r="J116" s="152" t="str">
        <f t="shared" si="63"/>
        <v/>
      </c>
      <c r="K116" s="163"/>
    </row>
    <row r="117" spans="1:11" ht="18">
      <c r="A117" s="30"/>
      <c r="B117" s="150">
        <v>6711</v>
      </c>
      <c r="C117" s="151" t="str">
        <f t="shared" si="64"/>
        <v>营业外支出</v>
      </c>
      <c r="D117" s="70">
        <f>VLOOKUP($B117,Sheet_Trialbal,10,0)</f>
        <v>0</v>
      </c>
      <c r="E117" s="152"/>
      <c r="F117" s="70">
        <f>VLOOKUP($B117,Sheet_Trialbal,6,0)</f>
        <v>0</v>
      </c>
      <c r="G117" s="152"/>
      <c r="H117" s="152" t="str">
        <f t="shared" si="71"/>
        <v/>
      </c>
      <c r="I117" s="70">
        <f>IF(OR(F117="",D117=""),"",F117-D117)</f>
        <v>0</v>
      </c>
      <c r="J117" s="152" t="str">
        <f t="shared" si="63"/>
        <v/>
      </c>
      <c r="K117" s="163"/>
    </row>
    <row r="118" spans="1:11" ht="18">
      <c r="A118" s="30"/>
      <c r="B118" s="150">
        <v>6788</v>
      </c>
      <c r="C118" s="153" t="str">
        <f t="shared" si="64"/>
        <v>利润总额</v>
      </c>
      <c r="D118" s="154">
        <f>SUM(D115,D116,-D117)</f>
        <v>-22510882.850000001</v>
      </c>
      <c r="E118" s="152"/>
      <c r="F118" s="154">
        <f>SUM(F115,F116,-F117)</f>
        <v>-31554480.039999999</v>
      </c>
      <c r="G118" s="152"/>
      <c r="H118" s="152" t="str">
        <f t="shared" si="71"/>
        <v/>
      </c>
      <c r="I118" s="154">
        <f>SUM(I115,I116,-I117)</f>
        <v>-9043597.1899999995</v>
      </c>
      <c r="J118" s="155">
        <f t="shared" si="63"/>
        <v>0.4017</v>
      </c>
      <c r="K118" s="163"/>
    </row>
    <row r="119" spans="1:11" ht="18">
      <c r="A119" s="30"/>
      <c r="B119" s="150">
        <v>6791</v>
      </c>
      <c r="C119" s="151" t="str">
        <f t="shared" si="64"/>
        <v>所得税费用</v>
      </c>
      <c r="D119" s="70">
        <f>VLOOKUP($B119,Sheet_Trialbal,10,0)</f>
        <v>0</v>
      </c>
      <c r="E119" s="152"/>
      <c r="F119" s="70">
        <f>VLOOKUP($B119,Sheet_Trialbal,6,0)</f>
        <v>-6256690.8899999997</v>
      </c>
      <c r="G119" s="152"/>
      <c r="H119" s="152" t="str">
        <f t="shared" si="71"/>
        <v/>
      </c>
      <c r="I119" s="70">
        <f t="shared" ref="I119:I125" si="72">IF(OR(F119="",D119=""),"",F119-D119)</f>
        <v>-6256690.8899999997</v>
      </c>
      <c r="J119" s="152" t="str">
        <f t="shared" si="63"/>
        <v/>
      </c>
      <c r="K119" s="163"/>
    </row>
    <row r="120" spans="1:11" ht="18">
      <c r="A120" s="30"/>
      <c r="B120" s="150">
        <v>6799</v>
      </c>
      <c r="C120" s="153" t="str">
        <f t="shared" si="64"/>
        <v>净利润</v>
      </c>
      <c r="D120" s="154">
        <f>SUM(D118,-D119)</f>
        <v>-22510882.850000001</v>
      </c>
      <c r="E120" s="152"/>
      <c r="F120" s="154">
        <f>SUM(F118,-F119)</f>
        <v>-25297789.149999999</v>
      </c>
      <c r="G120" s="152"/>
      <c r="H120" s="152" t="str">
        <f t="shared" si="71"/>
        <v/>
      </c>
      <c r="I120" s="154">
        <f t="shared" si="72"/>
        <v>-2786906.3</v>
      </c>
      <c r="J120" s="155">
        <f t="shared" si="63"/>
        <v>0.12379999999999999</v>
      </c>
      <c r="K120" s="163"/>
    </row>
    <row r="121" spans="1:11" ht="18">
      <c r="A121" s="30"/>
      <c r="B121" s="150">
        <v>6811</v>
      </c>
      <c r="C121" s="151" t="str">
        <f t="shared" si="64"/>
        <v>归属于母公司所有者的净利润</v>
      </c>
      <c r="D121" s="70">
        <f>VLOOKUP($B121,Sheet_Trialbal,10,0)</f>
        <v>-22510882.850000001</v>
      </c>
      <c r="E121" s="152"/>
      <c r="F121" s="70">
        <f>VLOOKUP($B121,Sheet_Trialbal,6,0)</f>
        <v>-25297789.149999999</v>
      </c>
      <c r="G121" s="152"/>
      <c r="H121" s="152" t="str">
        <f t="shared" si="71"/>
        <v/>
      </c>
      <c r="I121" s="70">
        <f t="shared" si="72"/>
        <v>-2786906.3</v>
      </c>
      <c r="J121" s="152">
        <f t="shared" si="63"/>
        <v>0.12379999999999999</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-22510882.850000001</v>
      </c>
      <c r="E124" s="152"/>
      <c r="F124" s="154">
        <f>SUM(F120,F123)</f>
        <v>-25297789.149999999</v>
      </c>
      <c r="G124" s="152"/>
      <c r="H124" s="152" t="str">
        <f t="shared" si="71"/>
        <v/>
      </c>
      <c r="I124" s="154">
        <f t="shared" si="72"/>
        <v>-2786906.3</v>
      </c>
      <c r="J124" s="155">
        <f t="shared" si="63"/>
        <v>0.12379999999999999</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华软金信科技（北京）有限公司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43861</v>
      </c>
      <c r="H3" s="14" t="s">
        <v>2524</v>
      </c>
      <c r="I3" s="2747" t="s">
        <v>6598</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6282.79</v>
      </c>
      <c r="E10" s="70"/>
      <c r="F10" s="70">
        <f>VLOOKUP($B10,Sheet_Trialbal,6,0)</f>
        <v>328458.53999999998</v>
      </c>
      <c r="G10" s="70"/>
      <c r="H10" s="3316"/>
      <c r="I10" s="3317"/>
      <c r="J10" s="101" t="s">
        <v>5063</v>
      </c>
    </row>
    <row r="11" spans="1:10" ht="18">
      <c r="A11" s="30"/>
      <c r="B11" s="31"/>
      <c r="C11" s="72" t="s">
        <v>5076</v>
      </c>
      <c r="D11" s="70">
        <f>D10-D106</f>
        <v>6282.79</v>
      </c>
      <c r="E11" s="70"/>
      <c r="F11" s="70">
        <f>F10-F106</f>
        <v>-8661994.8900000006</v>
      </c>
      <c r="G11" s="70"/>
      <c r="H11" s="73"/>
      <c r="I11" s="56"/>
      <c r="J11" s="96"/>
    </row>
    <row r="12" spans="1:10" ht="18">
      <c r="A12" s="30"/>
      <c r="B12" s="31">
        <v>6111</v>
      </c>
      <c r="C12" s="72" t="s">
        <v>656</v>
      </c>
      <c r="D12" s="70">
        <f>VLOOKUP($B12,Sheet_Trialbal,10,0)</f>
        <v>0</v>
      </c>
      <c r="E12" s="70"/>
      <c r="F12" s="70">
        <f>VLOOKUP($B12,Sheet_Trialbal,6,0)</f>
        <v>0</v>
      </c>
      <c r="G12" s="70"/>
      <c r="H12" s="74" t="s">
        <v>5059</v>
      </c>
      <c r="I12" s="56"/>
      <c r="J12" s="96"/>
    </row>
    <row r="13" spans="1:10" ht="18">
      <c r="A13" s="30"/>
      <c r="B13" s="31">
        <v>6689</v>
      </c>
      <c r="C13" s="72" t="s">
        <v>833</v>
      </c>
      <c r="D13" s="70">
        <f>VLOOKUP($B13,Sheet_Trialbal,10,0)</f>
        <v>-22510882.850000001</v>
      </c>
      <c r="E13" s="70"/>
      <c r="F13" s="70">
        <f>VLOOKUP($B13,Sheet_Trialbal,6,0)</f>
        <v>-31554480.039999999</v>
      </c>
      <c r="G13" s="70"/>
      <c r="H13" s="3316"/>
      <c r="I13" s="3317"/>
      <c r="J13" s="101" t="s">
        <v>5063</v>
      </c>
    </row>
    <row r="14" spans="1:10" ht="18">
      <c r="A14" s="30"/>
      <c r="B14" s="31">
        <v>6799</v>
      </c>
      <c r="C14" s="72" t="s">
        <v>871</v>
      </c>
      <c r="D14" s="70">
        <f>VLOOKUP($B14,Sheet_Trialbal,10,0)</f>
        <v>-22510882.850000001</v>
      </c>
      <c r="E14" s="70"/>
      <c r="F14" s="70">
        <f>VLOOKUP($B14,Sheet_Trialbal,6,0)</f>
        <v>-25297789.149999999</v>
      </c>
      <c r="G14" s="70"/>
      <c r="H14" s="3316"/>
      <c r="I14" s="3317"/>
      <c r="J14" s="101" t="s">
        <v>5063</v>
      </c>
    </row>
    <row r="15" spans="1:10" ht="18">
      <c r="A15" s="30"/>
      <c r="B15" s="31">
        <v>6811</v>
      </c>
      <c r="C15" s="72" t="s">
        <v>5077</v>
      </c>
      <c r="D15" s="70">
        <f>VLOOKUP($B15,Sheet_Trialbal,10,0)</f>
        <v>-22510882.850000001</v>
      </c>
      <c r="E15" s="70"/>
      <c r="F15" s="70">
        <f>VLOOKUP($B15,Sheet_Trialbal,6,0)</f>
        <v>-25297789.149999999</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1</v>
      </c>
      <c r="E17" s="70"/>
      <c r="F17" s="75">
        <f>IF(F10=0,"",F11/F10)</f>
        <v>-26.371700000000001</v>
      </c>
      <c r="G17" s="70"/>
      <c r="H17" s="34"/>
      <c r="I17" s="56"/>
      <c r="J17" s="101" t="s">
        <v>5014</v>
      </c>
    </row>
    <row r="18" spans="1:10" ht="18">
      <c r="A18" s="30"/>
      <c r="B18" s="31"/>
      <c r="C18" s="72" t="s">
        <v>5015</v>
      </c>
      <c r="D18" s="75">
        <f>IF(D$10=0,"",D13/D$10)</f>
        <v>-3582.9436999999998</v>
      </c>
      <c r="E18" s="70"/>
      <c r="F18" s="75">
        <f>IF(F$10=0,"",F13/F$10)</f>
        <v>-96.068399999999997</v>
      </c>
      <c r="G18" s="70"/>
      <c r="H18" s="34"/>
      <c r="I18" s="56"/>
      <c r="J18" s="101" t="s">
        <v>5016</v>
      </c>
    </row>
    <row r="19" spans="1:10" ht="18">
      <c r="A19" s="30"/>
      <c r="B19" s="31"/>
      <c r="C19" s="72" t="s">
        <v>5017</v>
      </c>
      <c r="D19" s="75">
        <f>IF(D$82=0,"",D14/D$82)</f>
        <v>-4.9799999999999997E-2</v>
      </c>
      <c r="E19" s="70"/>
      <c r="F19" s="75" t="str">
        <f>IF(F$82=0,"",F14/F$82)</f>
        <v/>
      </c>
      <c r="G19" s="70"/>
      <c r="H19" s="34"/>
      <c r="I19" s="56"/>
      <c r="J19" s="101" t="s">
        <v>5018</v>
      </c>
    </row>
    <row r="20" spans="1:10" ht="18">
      <c r="A20" s="30"/>
      <c r="B20" s="31"/>
      <c r="C20" s="72" t="s">
        <v>5019</v>
      </c>
      <c r="D20" s="75">
        <f>IF(D87=0,"",D14/D87)</f>
        <v>-0.42659999999999998</v>
      </c>
      <c r="E20" s="70"/>
      <c r="F20" s="75">
        <f>IF(F87=0,"",F14/F87)</f>
        <v>1</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t="str">
        <f>IF(D74=0,"",D$10/D74)</f>
        <v/>
      </c>
      <c r="E22" s="70"/>
      <c r="F22" s="70" t="str">
        <f>IF(F74=0,"",F$10/F74)</f>
        <v/>
      </c>
      <c r="G22" s="70"/>
      <c r="H22" s="34"/>
      <c r="I22" s="56"/>
      <c r="J22" s="101" t="s">
        <v>5023</v>
      </c>
    </row>
    <row r="23" spans="1:10" ht="18">
      <c r="A23" s="30"/>
      <c r="B23" s="31"/>
      <c r="C23" s="72" t="s">
        <v>5024</v>
      </c>
      <c r="D23" s="70" t="str">
        <f>IF(D79=0,"",D106/D79)</f>
        <v/>
      </c>
      <c r="E23" s="70"/>
      <c r="F23" s="70" t="str">
        <f>IF(F79=0,"",F106/F79)</f>
        <v/>
      </c>
      <c r="G23" s="70"/>
      <c r="H23" s="34"/>
      <c r="I23" s="56"/>
      <c r="J23" s="101" t="s">
        <v>5025</v>
      </c>
    </row>
    <row r="24" spans="1:10" ht="18">
      <c r="A24" s="30"/>
      <c r="B24" s="31"/>
      <c r="C24" s="72" t="s">
        <v>5026</v>
      </c>
      <c r="D24" s="70">
        <f>IF(D83=0,"",D$10/D83)</f>
        <v>0</v>
      </c>
      <c r="E24" s="70"/>
      <c r="F24" s="70">
        <f>IF(F83=0,"",F$10/F83)</f>
        <v>0</v>
      </c>
      <c r="G24" s="70"/>
      <c r="H24" s="34"/>
      <c r="I24" s="56"/>
      <c r="J24" s="101" t="s">
        <v>5027</v>
      </c>
    </row>
    <row r="25" spans="1:10" ht="18">
      <c r="A25" s="30"/>
      <c r="B25" s="31"/>
      <c r="C25" s="72" t="s">
        <v>5028</v>
      </c>
      <c r="D25" s="70">
        <f>IF(D85=0,"",D$10/D85)</f>
        <v>0</v>
      </c>
      <c r="E25" s="70"/>
      <c r="F25" s="70" t="str">
        <f>IF(F85=0,"",F$10/F85)</f>
        <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0.01</v>
      </c>
      <c r="E27" s="70"/>
      <c r="F27" s="70" t="str">
        <f>IF(F$84=0,"",F80/F$84)</f>
        <v/>
      </c>
      <c r="G27" s="70"/>
      <c r="H27" s="34"/>
      <c r="I27" s="56"/>
      <c r="J27" s="101" t="s">
        <v>5032</v>
      </c>
    </row>
    <row r="28" spans="1:10" ht="18">
      <c r="A28" s="30"/>
      <c r="B28" s="31"/>
      <c r="C28" s="72" t="s">
        <v>5033</v>
      </c>
      <c r="D28" s="70">
        <f>IF(D$84=0,"",D81/D$84)</f>
        <v>0.01</v>
      </c>
      <c r="E28" s="70"/>
      <c r="F28" s="70" t="str">
        <f>IF(F$84=0,"",F81/F$84)</f>
        <v/>
      </c>
      <c r="G28" s="70"/>
      <c r="H28" s="34"/>
      <c r="I28" s="56"/>
      <c r="J28" s="101" t="s">
        <v>5034</v>
      </c>
    </row>
    <row r="29" spans="1:10" ht="18">
      <c r="A29" s="30"/>
      <c r="B29" s="31"/>
      <c r="C29" s="72" t="s">
        <v>5035</v>
      </c>
      <c r="D29" s="70">
        <f>IF(D$84=0,"",D109/D$84)</f>
        <v>0</v>
      </c>
      <c r="E29" s="70"/>
      <c r="F29" s="70" t="str">
        <f>IF(F$84=0,"",F109/F$84)</f>
        <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0.88329999999999997</v>
      </c>
      <c r="E31" s="75"/>
      <c r="F31" s="75" t="str">
        <f>IF(F82=0,"",F86/F82)</f>
        <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1772.4645</v>
      </c>
      <c r="E34" s="70"/>
      <c r="F34" s="75">
        <f>IF(F$10=0,"",(F107+F108)/F$10)</f>
        <v>64.917400000000001</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51.2791</v>
      </c>
      <c r="G36" s="75"/>
      <c r="H36" s="34"/>
      <c r="I36" s="56"/>
      <c r="J36" s="101" t="s">
        <v>5041</v>
      </c>
    </row>
    <row r="37" spans="1:10" ht="18">
      <c r="A37" s="30"/>
      <c r="B37" s="31"/>
      <c r="C37" s="72" t="s">
        <v>5042</v>
      </c>
      <c r="D37" s="75" t="str">
        <f>IF(H13=0,"",(D13-H13)/H13)</f>
        <v/>
      </c>
      <c r="E37" s="75"/>
      <c r="F37" s="75">
        <f>IF(D13=0,"",(F13-D13)/D13)</f>
        <v>0.4017</v>
      </c>
      <c r="G37" s="75"/>
      <c r="H37" s="34"/>
      <c r="I37" s="56"/>
      <c r="J37" s="101" t="s">
        <v>5043</v>
      </c>
    </row>
    <row r="38" spans="1:10" ht="18">
      <c r="A38" s="30"/>
      <c r="B38" s="31"/>
      <c r="C38" s="72" t="s">
        <v>5044</v>
      </c>
      <c r="D38" s="75" t="str">
        <f>IF(H14=0,"",(D14-H14)/H14)</f>
        <v/>
      </c>
      <c r="E38" s="75"/>
      <c r="F38" s="75">
        <f>IF(D14=0,"",(F14-D14)/D14)</f>
        <v>0.12379999999999999</v>
      </c>
      <c r="G38" s="75"/>
      <c r="H38" s="34"/>
      <c r="I38" s="56"/>
      <c r="J38" s="101" t="s">
        <v>5045</v>
      </c>
    </row>
    <row r="39" spans="1:10" ht="18">
      <c r="A39" s="30"/>
      <c r="B39" s="31"/>
      <c r="C39" s="72" t="s">
        <v>5046</v>
      </c>
      <c r="D39" s="75" t="str">
        <f>IF(H87=0,"",(D87-H87)/H87)</f>
        <v/>
      </c>
      <c r="E39" s="75"/>
      <c r="F39" s="75">
        <f>IF(D87=0,"",(F87-D87)/D87)</f>
        <v>-1.4794</v>
      </c>
      <c r="G39" s="75"/>
      <c r="H39" s="34"/>
      <c r="I39" s="56"/>
      <c r="J39" s="101" t="s">
        <v>5047</v>
      </c>
    </row>
    <row r="40" spans="1:10" ht="18">
      <c r="A40" s="30"/>
      <c r="B40" s="31"/>
      <c r="C40" s="72" t="s">
        <v>5048</v>
      </c>
      <c r="D40" s="75" t="str">
        <f>IF(H82=0,"",(D82-H82)/H82)</f>
        <v/>
      </c>
      <c r="E40" s="75"/>
      <c r="F40" s="75">
        <f>IF(D82=0,"",(F82-D82)/D82)</f>
        <v>-1</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-373677.21</v>
      </c>
      <c r="E42" s="70"/>
      <c r="F42" s="70">
        <f>VLOOKUP($B42,Sheet_Trialbal,6,0)</f>
        <v>-281457.98</v>
      </c>
      <c r="G42" s="70"/>
      <c r="H42" s="34"/>
      <c r="I42" s="56"/>
      <c r="J42" s="96"/>
    </row>
    <row r="43" spans="1:10" ht="18">
      <c r="A43" s="30"/>
      <c r="B43" s="31">
        <v>7099</v>
      </c>
      <c r="C43" s="72" t="s">
        <v>5089</v>
      </c>
      <c r="D43" s="70">
        <f>VLOOKUP($B43,Sheet_Trialbal,10,0)</f>
        <v>54079648.780000001</v>
      </c>
      <c r="E43" s="70"/>
      <c r="F43" s="70">
        <f>VLOOKUP($B43,Sheet_Trialbal,6,0)</f>
        <v>-30666355.469999999</v>
      </c>
      <c r="G43" s="70"/>
      <c r="H43" s="34"/>
      <c r="I43" s="56"/>
      <c r="J43" s="96"/>
    </row>
    <row r="44" spans="1:10" ht="18">
      <c r="A44" s="30"/>
      <c r="B44" s="31">
        <v>7001</v>
      </c>
      <c r="C44" s="72" t="s">
        <v>5090</v>
      </c>
      <c r="D44" s="70">
        <f>VLOOKUP($B44,Sheet_Trialbal,10,0)</f>
        <v>0</v>
      </c>
      <c r="E44" s="70"/>
      <c r="F44" s="70">
        <f>VLOOKUP($B44,Sheet_Trialbal,6,0)</f>
        <v>343138.18</v>
      </c>
      <c r="G44" s="70"/>
      <c r="H44" s="34"/>
      <c r="I44" s="56"/>
      <c r="J44" s="96"/>
    </row>
    <row r="45" spans="1:10" ht="24">
      <c r="A45" s="30"/>
      <c r="B45" s="31"/>
      <c r="C45" s="72" t="s">
        <v>5091</v>
      </c>
      <c r="D45" s="75">
        <f>IF(D$10=0,"",D44/D$10)</f>
        <v>0</v>
      </c>
      <c r="E45" s="70"/>
      <c r="F45" s="75">
        <f>IF(F$10=0,"",F44/F$10)</f>
        <v>1.0447</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320" t="s">
        <v>5059</v>
      </c>
      <c r="I68" s="3321"/>
      <c r="J68" s="97" t="s">
        <v>5060</v>
      </c>
    </row>
    <row r="69" spans="1:10" ht="18">
      <c r="A69" s="30"/>
      <c r="B69" s="108"/>
      <c r="C69" s="109" t="s">
        <v>5061</v>
      </c>
      <c r="D69" s="110"/>
      <c r="E69" s="111"/>
      <c r="F69" s="110"/>
      <c r="G69" s="110"/>
      <c r="H69" s="3322"/>
      <c r="I69" s="3323"/>
      <c r="J69" s="96"/>
    </row>
    <row r="70" spans="1:10" ht="18">
      <c r="A70" s="30"/>
      <c r="B70" s="112"/>
      <c r="C70" s="113" t="s">
        <v>5062</v>
      </c>
      <c r="D70" s="114"/>
      <c r="E70" s="115"/>
      <c r="F70" s="114"/>
      <c r="G70" s="114"/>
      <c r="H70" s="3324"/>
      <c r="I70" s="3325"/>
      <c r="J70" s="96"/>
    </row>
    <row r="71" spans="1:10" ht="18">
      <c r="A71" s="30"/>
      <c r="B71" s="116">
        <v>1122</v>
      </c>
      <c r="C71" s="113" t="s">
        <v>124</v>
      </c>
      <c r="D71" s="117">
        <f>VLOOKUP($B71,Sheet_Trialbal,10,0)</f>
        <v>0</v>
      </c>
      <c r="E71" s="117"/>
      <c r="F71" s="117">
        <f>VLOOKUP($B71,Sheet_Trialbal,6,0)</f>
        <v>0</v>
      </c>
      <c r="G71" s="117"/>
      <c r="H71" s="3318"/>
      <c r="I71" s="3319"/>
      <c r="J71" s="101" t="s">
        <v>5063</v>
      </c>
    </row>
    <row r="72" spans="1:10" ht="18">
      <c r="A72" s="30"/>
      <c r="B72" s="116">
        <v>1122.1231</v>
      </c>
      <c r="C72" s="113" t="s">
        <v>5064</v>
      </c>
      <c r="D72" s="114">
        <f>VLOOKUP($B72,Sheet_Trialbal,10,0)</f>
        <v>0</v>
      </c>
      <c r="E72" s="114"/>
      <c r="F72" s="114">
        <f>VLOOKUP($B72,Sheet_Trialbal,6,0)</f>
        <v>0</v>
      </c>
      <c r="G72" s="114"/>
      <c r="H72" s="3318"/>
      <c r="I72" s="3319"/>
      <c r="J72" s="101" t="s">
        <v>5063</v>
      </c>
    </row>
    <row r="73" spans="1:10" ht="18">
      <c r="A73" s="30"/>
      <c r="B73" s="116"/>
      <c r="C73" s="113" t="s">
        <v>5065</v>
      </c>
      <c r="D73" s="118">
        <f>D71+D72</f>
        <v>0</v>
      </c>
      <c r="E73" s="118"/>
      <c r="F73" s="118">
        <f>F71+F72</f>
        <v>0</v>
      </c>
      <c r="G73" s="118"/>
      <c r="H73" s="3312">
        <f>H71+H72</f>
        <v>0</v>
      </c>
      <c r="I73" s="3313">
        <f>I71+I72</f>
        <v>0</v>
      </c>
      <c r="J73" s="96"/>
    </row>
    <row r="74" spans="1:10" ht="18">
      <c r="A74" s="30"/>
      <c r="B74" s="116"/>
      <c r="C74" s="120" t="s">
        <v>5066</v>
      </c>
      <c r="D74" s="118">
        <f>(D73+H73)/2</f>
        <v>0</v>
      </c>
      <c r="E74" s="118"/>
      <c r="F74" s="118">
        <f>(D73+F73)/2</f>
        <v>0</v>
      </c>
      <c r="G74" s="118"/>
      <c r="H74" s="3312"/>
      <c r="I74" s="3313"/>
      <c r="J74" s="96"/>
    </row>
    <row r="75" spans="1:10" ht="18">
      <c r="A75" s="30"/>
      <c r="B75" s="116">
        <v>1125</v>
      </c>
      <c r="C75" s="113" t="s">
        <v>162</v>
      </c>
      <c r="D75" s="117">
        <f>VLOOKUP($B75,Sheet_Trialbal,10,0)</f>
        <v>496233.65</v>
      </c>
      <c r="E75" s="117"/>
      <c r="F75" s="117">
        <f>VLOOKUP($B75,Sheet_Trialbal,6,0)</f>
        <v>0</v>
      </c>
      <c r="G75" s="117"/>
      <c r="H75" s="3312"/>
      <c r="I75" s="3313"/>
      <c r="J75" s="96"/>
    </row>
    <row r="76" spans="1:10" ht="18">
      <c r="A76" s="30"/>
      <c r="B76" s="116">
        <v>1400</v>
      </c>
      <c r="C76" s="113" t="s">
        <v>229</v>
      </c>
      <c r="D76" s="117">
        <f>VLOOKUP($B76,Sheet_Trialbal,10,0)</f>
        <v>0</v>
      </c>
      <c r="E76" s="117"/>
      <c r="F76" s="117">
        <f>VLOOKUP($B76,Sheet_Trialbal,6,0)</f>
        <v>0</v>
      </c>
      <c r="G76" s="117"/>
      <c r="H76" s="3318"/>
      <c r="I76" s="3319"/>
      <c r="J76" s="101" t="s">
        <v>5063</v>
      </c>
    </row>
    <row r="77" spans="1:10" ht="18">
      <c r="A77" s="30"/>
      <c r="B77" s="116">
        <v>1400.1470999999999</v>
      </c>
      <c r="C77" s="113" t="s">
        <v>5067</v>
      </c>
      <c r="D77" s="114">
        <f>VLOOKUP($B77,Sheet_Trialbal,10,0)</f>
        <v>0</v>
      </c>
      <c r="E77" s="114"/>
      <c r="F77" s="114">
        <f>VLOOKUP($B77,Sheet_Trialbal,6,0)</f>
        <v>0</v>
      </c>
      <c r="G77" s="114"/>
      <c r="H77" s="3318"/>
      <c r="I77" s="3319"/>
      <c r="J77" s="101" t="s">
        <v>5063</v>
      </c>
    </row>
    <row r="78" spans="1:10" ht="18">
      <c r="A78" s="30"/>
      <c r="B78" s="116"/>
      <c r="C78" s="113" t="s">
        <v>5068</v>
      </c>
      <c r="D78" s="118">
        <f>D76+D77</f>
        <v>0</v>
      </c>
      <c r="E78" s="118"/>
      <c r="F78" s="118">
        <f>F76+F77</f>
        <v>0</v>
      </c>
      <c r="G78" s="118"/>
      <c r="H78" s="3312">
        <f>H76+H77</f>
        <v>0</v>
      </c>
      <c r="I78" s="3313">
        <f>I76+I77</f>
        <v>0</v>
      </c>
      <c r="J78" s="96"/>
    </row>
    <row r="79" spans="1:10" ht="18">
      <c r="A79" s="30"/>
      <c r="B79" s="116"/>
      <c r="C79" s="120" t="s">
        <v>5069</v>
      </c>
      <c r="D79" s="118">
        <f>(D78+H78)/2</f>
        <v>0</v>
      </c>
      <c r="E79" s="118"/>
      <c r="F79" s="118">
        <f>(D78+F78)/2</f>
        <v>0</v>
      </c>
      <c r="G79" s="118"/>
      <c r="H79" s="3312"/>
      <c r="I79" s="3313"/>
      <c r="J79" s="96"/>
    </row>
    <row r="80" spans="1:10" ht="18">
      <c r="A80" s="30"/>
      <c r="B80" s="116">
        <v>1498</v>
      </c>
      <c r="C80" s="113" t="s">
        <v>286</v>
      </c>
      <c r="D80" s="117">
        <f>VLOOKUP($B80,Sheet_Trialbal,10,0)</f>
        <v>5028137.88</v>
      </c>
      <c r="E80" s="117"/>
      <c r="F80" s="117">
        <f>VLOOKUP($B80,Sheet_Trialbal,6,0)</f>
        <v>0</v>
      </c>
      <c r="G80" s="117"/>
      <c r="H80" s="3312"/>
      <c r="I80" s="3313"/>
      <c r="J80" s="96"/>
    </row>
    <row r="81" spans="1:10" ht="18">
      <c r="A81" s="30"/>
      <c r="B81" s="116"/>
      <c r="C81" s="120" t="s">
        <v>5070</v>
      </c>
      <c r="D81" s="118">
        <f>D80-D75-D76</f>
        <v>4531904.2300000004</v>
      </c>
      <c r="E81" s="118"/>
      <c r="F81" s="118">
        <f>F80-F75-F76</f>
        <v>0</v>
      </c>
      <c r="G81" s="118"/>
      <c r="H81" s="3312"/>
      <c r="I81" s="3313"/>
      <c r="J81" s="96"/>
    </row>
    <row r="82" spans="1:10" ht="18">
      <c r="A82" s="30"/>
      <c r="B82" s="116">
        <v>1999</v>
      </c>
      <c r="C82" s="113" t="s">
        <v>5071</v>
      </c>
      <c r="D82" s="117">
        <f>VLOOKUP($B82,Sheet_Trialbal,10,0)</f>
        <v>451984233.54000002</v>
      </c>
      <c r="E82" s="117"/>
      <c r="F82" s="117">
        <f>VLOOKUP($B82,Sheet_Trialbal,6,0)</f>
        <v>0</v>
      </c>
      <c r="G82" s="117"/>
      <c r="H82" s="3318"/>
      <c r="I82" s="3319"/>
      <c r="J82" s="101" t="s">
        <v>5063</v>
      </c>
    </row>
    <row r="83" spans="1:10" ht="18">
      <c r="A83" s="30"/>
      <c r="B83" s="116"/>
      <c r="C83" s="120" t="s">
        <v>5072</v>
      </c>
      <c r="D83" s="118">
        <f>(D82+H82)/2</f>
        <v>225992116.77000001</v>
      </c>
      <c r="E83" s="118"/>
      <c r="F83" s="118">
        <f>(D82+F82)/2</f>
        <v>225992116.77000001</v>
      </c>
      <c r="G83" s="117"/>
      <c r="H83" s="3312"/>
      <c r="I83" s="3313"/>
      <c r="J83" s="96"/>
    </row>
    <row r="84" spans="1:10" ht="18">
      <c r="A84" s="30"/>
      <c r="B84" s="116">
        <v>2498</v>
      </c>
      <c r="C84" s="113" t="s">
        <v>566</v>
      </c>
      <c r="D84" s="117">
        <f>VLOOKUP($B84,Sheet_Trialbal,10,0)</f>
        <v>399215117.68000001</v>
      </c>
      <c r="E84" s="117"/>
      <c r="F84" s="117">
        <f>VLOOKUP($B84,Sheet_Trialbal,6,0)</f>
        <v>0</v>
      </c>
      <c r="G84" s="117"/>
      <c r="H84" s="3312"/>
      <c r="I84" s="3313"/>
      <c r="J84" s="96"/>
    </row>
    <row r="85" spans="1:10" ht="18">
      <c r="A85" s="30"/>
      <c r="B85" s="116"/>
      <c r="C85" s="113" t="s">
        <v>5073</v>
      </c>
      <c r="D85" s="118">
        <f>D80-D84</f>
        <v>-394186979.80000001</v>
      </c>
      <c r="E85" s="118"/>
      <c r="F85" s="118">
        <f>F80-F84</f>
        <v>0</v>
      </c>
      <c r="G85" s="118"/>
      <c r="H85" s="3312"/>
      <c r="I85" s="3313"/>
      <c r="J85" s="96"/>
    </row>
    <row r="86" spans="1:10" ht="18">
      <c r="A86" s="30"/>
      <c r="B86" s="116">
        <v>2999</v>
      </c>
      <c r="C86" s="113" t="s">
        <v>5074</v>
      </c>
      <c r="D86" s="117">
        <f>VLOOKUP($B86,Sheet_Trialbal,10,0)</f>
        <v>399215117.68000001</v>
      </c>
      <c r="E86" s="117"/>
      <c r="F86" s="117">
        <f>VLOOKUP($B86,Sheet_Trialbal,6,0)</f>
        <v>0</v>
      </c>
      <c r="G86" s="117"/>
      <c r="H86" s="3312"/>
      <c r="I86" s="3313"/>
      <c r="J86" s="96"/>
    </row>
    <row r="87" spans="1:10" ht="18">
      <c r="A87" s="30"/>
      <c r="B87" s="116">
        <v>4999</v>
      </c>
      <c r="C87" s="113" t="s">
        <v>5075</v>
      </c>
      <c r="D87" s="117">
        <f>VLOOKUP($B87,Sheet_Trialbal,10,0)</f>
        <v>52769115.859999999</v>
      </c>
      <c r="E87" s="117"/>
      <c r="F87" s="117">
        <f>VLOOKUP($B87,Sheet_Trialbal,6,0)</f>
        <v>-25297789.149999999</v>
      </c>
      <c r="G87" s="117"/>
      <c r="H87" s="3312"/>
      <c r="I87" s="3313"/>
      <c r="J87" s="101" t="s">
        <v>5063</v>
      </c>
    </row>
    <row r="88" spans="1:10" ht="18">
      <c r="A88" s="30"/>
      <c r="B88" s="116"/>
      <c r="C88" s="113"/>
      <c r="D88" s="117"/>
      <c r="E88" s="117"/>
      <c r="F88" s="117"/>
      <c r="G88" s="117"/>
      <c r="H88" s="3326"/>
      <c r="I88" s="3327"/>
      <c r="J88" s="101"/>
    </row>
    <row r="89" spans="1:10" ht="18">
      <c r="A89" s="30"/>
      <c r="B89" s="116"/>
      <c r="C89" s="113"/>
      <c r="D89" s="117"/>
      <c r="E89" s="117"/>
      <c r="F89" s="117"/>
      <c r="G89" s="117"/>
      <c r="H89" s="3312"/>
      <c r="I89" s="3313"/>
      <c r="J89" s="101"/>
    </row>
    <row r="90" spans="1:10" ht="18">
      <c r="A90" s="30"/>
      <c r="B90" s="116"/>
      <c r="C90" s="113"/>
      <c r="D90" s="117"/>
      <c r="E90" s="117"/>
      <c r="F90" s="117"/>
      <c r="G90" s="117"/>
      <c r="H90" s="3312"/>
      <c r="I90" s="3313"/>
      <c r="J90" s="101"/>
    </row>
    <row r="91" spans="1:10" ht="18">
      <c r="A91" s="30"/>
      <c r="B91" s="116"/>
      <c r="C91" s="113"/>
      <c r="D91" s="117"/>
      <c r="E91" s="117"/>
      <c r="F91" s="117"/>
      <c r="G91" s="117"/>
      <c r="H91" s="3312"/>
      <c r="I91" s="3313"/>
      <c r="J91" s="101"/>
    </row>
    <row r="92" spans="1:10" ht="18">
      <c r="A92" s="30"/>
      <c r="B92" s="116"/>
      <c r="C92" s="113"/>
      <c r="D92" s="117"/>
      <c r="E92" s="117"/>
      <c r="F92" s="117"/>
      <c r="G92" s="117"/>
      <c r="H92" s="3312"/>
      <c r="I92" s="3313"/>
      <c r="J92" s="101"/>
    </row>
    <row r="93" spans="1:10" ht="18">
      <c r="A93" s="30"/>
      <c r="B93" s="116"/>
      <c r="C93" s="113"/>
      <c r="D93" s="117"/>
      <c r="E93" s="117"/>
      <c r="F93" s="117"/>
      <c r="G93" s="117"/>
      <c r="H93" s="3312"/>
      <c r="I93" s="3313"/>
      <c r="J93" s="101"/>
    </row>
    <row r="94" spans="1:10" ht="18">
      <c r="A94" s="30"/>
      <c r="B94" s="116"/>
      <c r="C94" s="113"/>
      <c r="D94" s="117"/>
      <c r="E94" s="117"/>
      <c r="F94" s="117"/>
      <c r="G94" s="117"/>
      <c r="H94" s="3312"/>
      <c r="I94" s="3313"/>
      <c r="J94" s="101"/>
    </row>
    <row r="95" spans="1:10" ht="18">
      <c r="A95" s="30"/>
      <c r="B95" s="116"/>
      <c r="C95" s="113"/>
      <c r="D95" s="117"/>
      <c r="E95" s="117"/>
      <c r="F95" s="117"/>
      <c r="G95" s="117"/>
      <c r="H95" s="3312"/>
      <c r="I95" s="3313"/>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312"/>
      <c r="I100" s="3313"/>
      <c r="J100" s="101"/>
    </row>
    <row r="101" spans="1:10" ht="18">
      <c r="A101" s="30"/>
      <c r="B101" s="116"/>
      <c r="C101" s="113"/>
      <c r="D101" s="117"/>
      <c r="E101" s="117"/>
      <c r="F101" s="117"/>
      <c r="G101" s="117"/>
      <c r="H101" s="3312"/>
      <c r="I101" s="3313"/>
      <c r="J101" s="101"/>
    </row>
    <row r="102" spans="1:10" ht="18">
      <c r="A102" s="30"/>
      <c r="B102" s="116"/>
      <c r="C102" s="113"/>
      <c r="D102" s="117"/>
      <c r="E102" s="117"/>
      <c r="F102" s="117"/>
      <c r="G102" s="117"/>
      <c r="H102" s="3312"/>
      <c r="I102" s="3313"/>
      <c r="J102" s="101"/>
    </row>
    <row r="103" spans="1:10" ht="18">
      <c r="A103" s="30"/>
      <c r="B103" s="116"/>
      <c r="C103" s="113"/>
      <c r="D103" s="117"/>
      <c r="E103" s="117"/>
      <c r="F103" s="117"/>
      <c r="G103" s="117"/>
      <c r="H103" s="3312"/>
      <c r="I103" s="3313"/>
      <c r="J103" s="101"/>
    </row>
    <row r="104" spans="1:10" ht="18">
      <c r="A104" s="30"/>
      <c r="B104" s="116"/>
      <c r="C104" s="113"/>
      <c r="D104" s="117"/>
      <c r="E104" s="117"/>
      <c r="F104" s="117"/>
      <c r="G104" s="117"/>
      <c r="H104" s="3312"/>
      <c r="I104" s="3313"/>
      <c r="J104" s="101"/>
    </row>
    <row r="105" spans="1:10" ht="18">
      <c r="A105" s="30"/>
      <c r="B105" s="116"/>
      <c r="C105" s="113"/>
      <c r="D105" s="117"/>
      <c r="E105" s="117"/>
      <c r="F105" s="117"/>
      <c r="G105" s="117"/>
      <c r="H105" s="3312"/>
      <c r="I105" s="3313"/>
      <c r="J105" s="101"/>
    </row>
    <row r="106" spans="1:10" ht="18">
      <c r="A106" s="30"/>
      <c r="B106" s="116">
        <v>6401</v>
      </c>
      <c r="C106" s="113" t="s">
        <v>671</v>
      </c>
      <c r="D106" s="117">
        <f>VLOOKUP($B106,Sheet_Trialbal,10,0)</f>
        <v>0</v>
      </c>
      <c r="E106" s="117"/>
      <c r="F106" s="117">
        <f>VLOOKUP($B106,Sheet_Trialbal,6,0)</f>
        <v>8990453.4299999997</v>
      </c>
      <c r="G106" s="117"/>
      <c r="H106" s="3312"/>
      <c r="I106" s="3313"/>
      <c r="J106" s="96"/>
    </row>
    <row r="107" spans="1:10" ht="18">
      <c r="A107" s="30"/>
      <c r="B107" s="116">
        <v>6601</v>
      </c>
      <c r="C107" s="113" t="s">
        <v>680</v>
      </c>
      <c r="D107" s="117">
        <f>VLOOKUP($B107,Sheet_Trialbal,10,0)</f>
        <v>533561.96</v>
      </c>
      <c r="E107" s="117"/>
      <c r="F107" s="117">
        <f>VLOOKUP($B107,Sheet_Trialbal,6,0)</f>
        <v>6019256.5999999996</v>
      </c>
      <c r="G107" s="117"/>
      <c r="H107" s="3312"/>
      <c r="I107" s="3313"/>
      <c r="J107" s="96"/>
    </row>
    <row r="108" spans="1:10" ht="18">
      <c r="A108" s="30"/>
      <c r="B108" s="116">
        <v>6602</v>
      </c>
      <c r="C108" s="113" t="s">
        <v>685</v>
      </c>
      <c r="D108" s="117">
        <f>VLOOKUP($B108,Sheet_Trialbal,10,0)</f>
        <v>10602460.369999999</v>
      </c>
      <c r="E108" s="117"/>
      <c r="F108" s="117">
        <f>VLOOKUP($B108,Sheet_Trialbal,6,0)</f>
        <v>15303416.08</v>
      </c>
      <c r="G108" s="117"/>
      <c r="H108" s="3312"/>
      <c r="I108" s="3313"/>
      <c r="J108" s="96"/>
    </row>
    <row r="109" spans="1:10" ht="18">
      <c r="A109" s="30"/>
      <c r="B109" s="121">
        <v>7399</v>
      </c>
      <c r="C109" s="122" t="s">
        <v>2272</v>
      </c>
      <c r="D109" s="123">
        <f>VLOOKUP($B109,Sheet_Trialbal,10,0)</f>
        <v>340266.93</v>
      </c>
      <c r="E109" s="123"/>
      <c r="F109" s="123">
        <f>VLOOKUP($B109,Sheet_Trialbal,6,0)</f>
        <v>58808.95</v>
      </c>
      <c r="G109" s="123"/>
      <c r="H109" s="3314"/>
      <c r="I109" s="3315"/>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华软金信科技（北京）有限公司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43861</v>
      </c>
      <c r="H3" s="14" t="s">
        <v>2524</v>
      </c>
      <c r="I3" s="2748" t="s">
        <v>6599</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ColWidth="9.140625"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6658</v>
      </c>
      <c r="C1" s="2901"/>
      <c r="D1" s="2902" t="str">
        <f>Lead!$E$9</f>
        <v>孙健</v>
      </c>
      <c r="E1" s="2903"/>
      <c r="F1" s="2903"/>
      <c r="G1" s="2904"/>
      <c r="H1" s="2904"/>
      <c r="I1" s="2904"/>
      <c r="J1" s="2904"/>
      <c r="K1" s="2905"/>
    </row>
    <row r="2" spans="1:11" ht="26.1" customHeight="1">
      <c r="A2" s="2907" t="str">
        <f>TEXT(Lead!$F$9,"yyyy-m-d")</f>
        <v>2020-1-31</v>
      </c>
      <c r="B2" s="2908"/>
      <c r="C2" s="2908"/>
      <c r="D2" s="2908"/>
      <c r="E2" s="2908"/>
      <c r="F2" s="2909"/>
      <c r="G2" s="2910"/>
      <c r="H2" s="2910"/>
      <c r="I2" s="2910"/>
      <c r="J2" s="2911"/>
      <c r="K2" s="2912"/>
    </row>
    <row r="3" spans="1:11">
      <c r="A3" s="2913" t="s">
        <v>6659</v>
      </c>
      <c r="B3" s="2914" t="str">
        <f>Lead!$C$5</f>
        <v>华软金信科技（北京）有限公司</v>
      </c>
      <c r="C3" s="2915"/>
      <c r="D3" s="2915"/>
      <c r="E3" s="2915"/>
      <c r="F3" s="2909"/>
      <c r="G3" s="2910"/>
      <c r="H3" s="2910"/>
      <c r="I3" s="2910"/>
      <c r="J3" s="2916" t="str">
        <f>""&amp;$B$1</f>
        <v>9000A</v>
      </c>
      <c r="K3" s="2912"/>
    </row>
    <row r="4" spans="1:11">
      <c r="A4" s="2917" t="s">
        <v>6660</v>
      </c>
      <c r="B4" s="2918" t="s">
        <v>6660</v>
      </c>
      <c r="C4" s="2915"/>
      <c r="D4" s="2915"/>
      <c r="E4" s="2915"/>
      <c r="F4" s="2909"/>
      <c r="G4" s="2910"/>
      <c r="H4" s="2910"/>
      <c r="I4" s="2910"/>
      <c r="J4" s="2919" t="str">
        <f>$D$1&amp;" "&amp;IF($A$2="","",TEXT($A$2,"YYYY-M-D"))</f>
        <v>孙健 2020-1-31</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6661</v>
      </c>
      <c r="C8" s="3330" t="s">
        <v>6662</v>
      </c>
      <c r="D8" s="3330"/>
      <c r="E8" s="3330"/>
      <c r="F8" s="3330"/>
      <c r="G8" s="3330"/>
      <c r="H8" s="2930" t="s">
        <v>6663</v>
      </c>
      <c r="I8" s="2931" t="s">
        <v>6664</v>
      </c>
      <c r="J8" s="2932" t="s">
        <v>6665</v>
      </c>
      <c r="K8" s="2905"/>
    </row>
    <row r="9" spans="1:11" s="2928" customFormat="1" ht="39.75" customHeight="1">
      <c r="A9" s="2925"/>
      <c r="B9" s="2933">
        <v>1</v>
      </c>
      <c r="C9" s="3331" t="s">
        <v>6666</v>
      </c>
      <c r="D9" s="3332"/>
      <c r="E9" s="3332"/>
      <c r="F9" s="3332"/>
      <c r="G9" s="3332"/>
      <c r="H9" s="2934"/>
      <c r="I9" s="2935"/>
      <c r="J9" s="2936"/>
      <c r="K9" s="2905"/>
    </row>
    <row r="10" spans="1:11" s="2928" customFormat="1" ht="51" customHeight="1">
      <c r="A10" s="2925"/>
      <c r="B10" s="2933">
        <v>2</v>
      </c>
      <c r="C10" s="3331" t="s">
        <v>6667</v>
      </c>
      <c r="D10" s="3332"/>
      <c r="E10" s="3332"/>
      <c r="F10" s="3332"/>
      <c r="G10" s="3332"/>
      <c r="H10" s="2934"/>
      <c r="I10" s="2935"/>
      <c r="J10" s="2937"/>
      <c r="K10" s="2905"/>
    </row>
    <row r="11" spans="1:11" s="2928" customFormat="1" ht="20.25" customHeight="1">
      <c r="A11" s="2925"/>
      <c r="B11" s="2938" t="s">
        <v>6668</v>
      </c>
      <c r="C11" s="3328" t="s">
        <v>6669</v>
      </c>
      <c r="D11" s="3329"/>
      <c r="E11" s="3329"/>
      <c r="F11" s="3329"/>
      <c r="G11" s="3329"/>
      <c r="H11" s="2939"/>
      <c r="I11" s="2935"/>
      <c r="J11" s="2936"/>
      <c r="K11" s="2905"/>
    </row>
    <row r="12" spans="1:11" s="2928" customFormat="1" ht="31.5" customHeight="1">
      <c r="A12" s="2925"/>
      <c r="B12" s="2938" t="s">
        <v>6670</v>
      </c>
      <c r="C12" s="3328" t="s">
        <v>6671</v>
      </c>
      <c r="D12" s="3329"/>
      <c r="E12" s="3329"/>
      <c r="F12" s="3329"/>
      <c r="G12" s="3329"/>
      <c r="H12" s="2939"/>
      <c r="I12" s="2935"/>
      <c r="J12" s="2936"/>
      <c r="K12" s="2905"/>
    </row>
    <row r="13" spans="1:11" s="2928" customFormat="1" ht="39" customHeight="1">
      <c r="A13" s="2925"/>
      <c r="B13" s="2938" t="s">
        <v>6672</v>
      </c>
      <c r="C13" s="3328" t="s">
        <v>6673</v>
      </c>
      <c r="D13" s="3329"/>
      <c r="E13" s="3329"/>
      <c r="F13" s="3329"/>
      <c r="G13" s="3329"/>
      <c r="H13" s="2939"/>
      <c r="I13" s="2935"/>
      <c r="J13" s="2936"/>
      <c r="K13" s="2905"/>
    </row>
    <row r="14" spans="1:11" s="2928" customFormat="1" ht="69" customHeight="1">
      <c r="A14" s="2925"/>
      <c r="B14" s="2933">
        <v>3</v>
      </c>
      <c r="C14" s="3331" t="s">
        <v>6674</v>
      </c>
      <c r="D14" s="3332"/>
      <c r="E14" s="3332"/>
      <c r="F14" s="3332"/>
      <c r="G14" s="3332"/>
      <c r="H14" s="2934"/>
      <c r="I14" s="2940"/>
      <c r="J14" s="2937"/>
      <c r="K14" s="2905"/>
    </row>
    <row r="15" spans="1:11" s="2928" customFormat="1" ht="41.25" customHeight="1">
      <c r="A15" s="2925"/>
      <c r="B15" s="2938" t="s">
        <v>6668</v>
      </c>
      <c r="C15" s="3328" t="s">
        <v>6675</v>
      </c>
      <c r="D15" s="3333"/>
      <c r="E15" s="3333"/>
      <c r="F15" s="3333"/>
      <c r="G15" s="3333"/>
      <c r="H15" s="2941"/>
      <c r="I15" s="2935"/>
      <c r="J15" s="2936"/>
      <c r="K15" s="2905"/>
    </row>
    <row r="16" spans="1:11" s="2928" customFormat="1" ht="38.25" customHeight="1">
      <c r="A16" s="2925"/>
      <c r="B16" s="2938" t="s">
        <v>6670</v>
      </c>
      <c r="C16" s="3328" t="s">
        <v>6676</v>
      </c>
      <c r="D16" s="3333"/>
      <c r="E16" s="3333"/>
      <c r="F16" s="3333"/>
      <c r="G16" s="3333"/>
      <c r="H16" s="2941"/>
      <c r="I16" s="2935"/>
      <c r="J16" s="2936"/>
      <c r="K16" s="2905"/>
    </row>
    <row r="17" spans="1:11" s="2928" customFormat="1" ht="53.25" customHeight="1">
      <c r="A17" s="2925"/>
      <c r="B17" s="2938" t="s">
        <v>6672</v>
      </c>
      <c r="C17" s="3328" t="s">
        <v>6677</v>
      </c>
      <c r="D17" s="3329"/>
      <c r="E17" s="3329"/>
      <c r="F17" s="3329"/>
      <c r="G17" s="3329"/>
      <c r="H17" s="2939"/>
      <c r="I17" s="2935"/>
      <c r="J17" s="2936"/>
      <c r="K17" s="2905"/>
    </row>
    <row r="18" spans="1:11" s="2928" customFormat="1" ht="39" customHeight="1">
      <c r="A18" s="2925"/>
      <c r="B18" s="2933" t="s">
        <v>6678</v>
      </c>
      <c r="C18" s="3328" t="s">
        <v>6679</v>
      </c>
      <c r="D18" s="3329"/>
      <c r="E18" s="3329"/>
      <c r="F18" s="3329"/>
      <c r="G18" s="3329"/>
      <c r="H18" s="2942"/>
      <c r="I18" s="2935"/>
      <c r="J18" s="2936"/>
      <c r="K18" s="2905"/>
    </row>
    <row r="19" spans="1:11" s="2928" customFormat="1" ht="53.25" customHeight="1">
      <c r="A19" s="2925"/>
      <c r="B19" s="2933" t="s">
        <v>6680</v>
      </c>
      <c r="C19" s="3328" t="s">
        <v>6681</v>
      </c>
      <c r="D19" s="3329"/>
      <c r="E19" s="3329"/>
      <c r="F19" s="3329"/>
      <c r="G19" s="3329"/>
      <c r="H19" s="2942"/>
      <c r="I19" s="2935"/>
      <c r="J19" s="2936"/>
      <c r="K19" s="2905"/>
    </row>
    <row r="20" spans="1:11" s="2928" customFormat="1" ht="53.25" customHeight="1">
      <c r="A20" s="2925"/>
      <c r="B20" s="2933" t="s">
        <v>6682</v>
      </c>
      <c r="C20" s="3328" t="s">
        <v>6683</v>
      </c>
      <c r="D20" s="3329"/>
      <c r="E20" s="3329"/>
      <c r="F20" s="3329"/>
      <c r="G20" s="3329"/>
      <c r="H20" s="2942"/>
      <c r="I20" s="2935"/>
      <c r="J20" s="2936"/>
      <c r="K20" s="2905"/>
    </row>
    <row r="21" spans="1:11" s="2928" customFormat="1" ht="42.75" customHeight="1">
      <c r="A21" s="2925"/>
      <c r="B21" s="2933" t="s">
        <v>6684</v>
      </c>
      <c r="C21" s="3328" t="s">
        <v>6685</v>
      </c>
      <c r="D21" s="3329"/>
      <c r="E21" s="3329"/>
      <c r="F21" s="3329"/>
      <c r="G21" s="3329"/>
      <c r="H21" s="2942"/>
      <c r="I21" s="2935"/>
      <c r="J21" s="2936"/>
      <c r="K21" s="2905"/>
    </row>
    <row r="22" spans="1:11" s="2928" customFormat="1" ht="60.75" customHeight="1">
      <c r="A22" s="2925"/>
      <c r="B22" s="2933" t="s">
        <v>6686</v>
      </c>
      <c r="C22" s="3328" t="s">
        <v>6687</v>
      </c>
      <c r="D22" s="3329"/>
      <c r="E22" s="3329"/>
      <c r="F22" s="3329"/>
      <c r="G22" s="3329"/>
      <c r="H22" s="2942"/>
      <c r="I22" s="2935"/>
      <c r="J22" s="2936"/>
      <c r="K22" s="2905"/>
    </row>
    <row r="23" spans="1:11" s="2928" customFormat="1" ht="36" customHeight="1">
      <c r="A23" s="2925"/>
      <c r="B23" s="2933" t="s">
        <v>6688</v>
      </c>
      <c r="C23" s="3328" t="s">
        <v>6689</v>
      </c>
      <c r="D23" s="3329"/>
      <c r="E23" s="3329"/>
      <c r="F23" s="3329"/>
      <c r="G23" s="3329"/>
      <c r="H23" s="2942"/>
      <c r="I23" s="2935"/>
      <c r="J23" s="2936"/>
      <c r="K23" s="2905"/>
    </row>
    <row r="24" spans="1:11" s="2928" customFormat="1" ht="42" customHeight="1">
      <c r="A24" s="2925"/>
      <c r="B24" s="2938" t="s">
        <v>6690</v>
      </c>
      <c r="C24" s="3328" t="s">
        <v>6691</v>
      </c>
      <c r="D24" s="3329"/>
      <c r="E24" s="3329"/>
      <c r="F24" s="3329"/>
      <c r="G24" s="3329"/>
      <c r="H24" s="2939"/>
      <c r="I24" s="2935"/>
      <c r="J24" s="2936"/>
      <c r="K24" s="2905"/>
    </row>
    <row r="25" spans="1:11" s="2928" customFormat="1" ht="40.5" customHeight="1">
      <c r="A25" s="2925"/>
      <c r="B25" s="2933">
        <v>4</v>
      </c>
      <c r="C25" s="3331" t="s">
        <v>6692</v>
      </c>
      <c r="D25" s="3332"/>
      <c r="E25" s="3332"/>
      <c r="F25" s="3332"/>
      <c r="G25" s="3332"/>
      <c r="H25" s="2934"/>
      <c r="I25" s="2935"/>
      <c r="J25" s="2936"/>
      <c r="K25" s="2905"/>
    </row>
    <row r="26" spans="1:11" s="2928" customFormat="1" ht="117" customHeight="1">
      <c r="A26" s="2925"/>
      <c r="B26" s="2933">
        <v>5</v>
      </c>
      <c r="C26" s="3331" t="s">
        <v>6693</v>
      </c>
      <c r="D26" s="3332"/>
      <c r="E26" s="3332"/>
      <c r="F26" s="3332"/>
      <c r="G26" s="3332"/>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6694</v>
      </c>
      <c r="C29" s="2945"/>
      <c r="D29" s="2945"/>
      <c r="E29" s="2945"/>
      <c r="F29" s="2945"/>
      <c r="G29" s="2945"/>
      <c r="H29" s="2945"/>
      <c r="I29" s="2945"/>
      <c r="J29" s="2945"/>
      <c r="K29" s="2946"/>
    </row>
    <row r="30" spans="1:11">
      <c r="B30" s="2948" t="s">
        <v>6695</v>
      </c>
    </row>
    <row r="130" spans="2:10">
      <c r="B130" s="2949"/>
      <c r="C130" s="2950"/>
      <c r="D130" s="2950"/>
      <c r="E130" s="2950"/>
      <c r="F130" s="2950"/>
      <c r="G130" s="2950"/>
      <c r="H130" s="2950"/>
      <c r="I130" s="2950"/>
      <c r="J130" s="2950"/>
    </row>
    <row r="131" spans="2:10">
      <c r="B131" s="3336"/>
      <c r="C131" s="3337"/>
      <c r="D131" s="3337"/>
      <c r="E131" s="3337"/>
      <c r="F131" s="3337"/>
      <c r="G131" s="3337"/>
      <c r="H131" s="3337"/>
      <c r="I131" s="3337"/>
      <c r="J131" s="3337"/>
    </row>
    <row r="132" spans="2:10">
      <c r="B132" s="3337"/>
      <c r="C132" s="3337"/>
      <c r="D132" s="3337"/>
      <c r="E132" s="3337"/>
      <c r="F132" s="3337"/>
      <c r="G132" s="3337"/>
      <c r="H132" s="3337"/>
      <c r="I132" s="3337"/>
      <c r="J132" s="3337"/>
    </row>
    <row r="133" spans="2:10">
      <c r="B133" s="3337"/>
      <c r="C133" s="3337"/>
      <c r="D133" s="3337"/>
      <c r="E133" s="3337"/>
      <c r="F133" s="3337"/>
      <c r="G133" s="3337"/>
      <c r="H133" s="3337"/>
      <c r="I133" s="3337"/>
      <c r="J133" s="3337"/>
    </row>
    <row r="134" spans="2:10">
      <c r="B134" s="2950"/>
      <c r="C134" s="2950"/>
      <c r="D134" s="2950"/>
      <c r="E134" s="2950"/>
      <c r="F134" s="2950"/>
      <c r="G134" s="2950"/>
      <c r="H134" s="2950"/>
      <c r="I134" s="2950"/>
      <c r="J134" s="2950"/>
    </row>
    <row r="135" spans="2:10">
      <c r="B135" s="3338"/>
      <c r="C135" s="3339"/>
      <c r="D135" s="3339"/>
      <c r="E135" s="3339"/>
      <c r="F135" s="3339"/>
      <c r="G135" s="3339"/>
      <c r="H135" s="3339"/>
      <c r="I135" s="3339"/>
      <c r="J135" s="3339"/>
    </row>
    <row r="136" spans="2:10" ht="56.25" customHeight="1">
      <c r="B136" s="3337"/>
      <c r="C136" s="3337"/>
      <c r="D136" s="3337"/>
      <c r="E136" s="3337"/>
      <c r="F136" s="3337"/>
      <c r="G136" s="3337"/>
      <c r="H136" s="3337"/>
      <c r="I136" s="3337"/>
      <c r="J136" s="3337"/>
    </row>
    <row r="137" spans="2:10">
      <c r="B137" s="2951"/>
      <c r="C137" s="2951"/>
      <c r="D137" s="2951"/>
      <c r="E137" s="2951"/>
      <c r="F137" s="2951"/>
      <c r="G137" s="2951"/>
      <c r="H137" s="2951"/>
      <c r="I137" s="2951"/>
      <c r="J137" s="2951"/>
    </row>
    <row r="138" spans="2:10">
      <c r="B138" s="3337"/>
      <c r="C138" s="3337"/>
      <c r="D138" s="3337"/>
      <c r="E138" s="3337"/>
      <c r="F138" s="3337"/>
      <c r="G138" s="3337"/>
      <c r="H138" s="3337"/>
      <c r="I138" s="3337"/>
      <c r="J138" s="3337"/>
    </row>
    <row r="139" spans="2:10">
      <c r="B139" s="2952"/>
      <c r="C139" s="2952"/>
      <c r="D139" s="2952"/>
      <c r="E139" s="2952"/>
      <c r="F139" s="2952"/>
      <c r="G139" s="2952"/>
      <c r="H139" s="2952"/>
      <c r="I139" s="2952"/>
      <c r="J139" s="2952"/>
    </row>
    <row r="140" spans="2:10">
      <c r="B140" s="3340"/>
      <c r="C140" s="3340"/>
      <c r="D140" s="3340"/>
      <c r="E140" s="3340"/>
      <c r="F140" s="3340"/>
      <c r="G140" s="3340"/>
      <c r="H140" s="3340"/>
      <c r="I140" s="3340"/>
      <c r="J140" s="3340"/>
    </row>
    <row r="141" spans="2:10">
      <c r="B141" s="2952"/>
      <c r="C141" s="2952"/>
      <c r="D141" s="2952"/>
      <c r="E141" s="2952"/>
      <c r="F141" s="2952"/>
      <c r="G141" s="2952"/>
      <c r="H141" s="2952"/>
      <c r="I141" s="2952"/>
      <c r="J141" s="2952"/>
    </row>
    <row r="142" spans="2:10">
      <c r="B142" s="3340"/>
      <c r="C142" s="3340"/>
      <c r="D142" s="3340"/>
      <c r="E142" s="3340"/>
      <c r="F142" s="3340"/>
      <c r="G142" s="3340"/>
      <c r="H142" s="3340"/>
      <c r="I142" s="3340"/>
      <c r="J142" s="3340"/>
    </row>
    <row r="143" spans="2:10">
      <c r="B143" s="2952"/>
      <c r="C143" s="2952"/>
      <c r="D143" s="2952"/>
      <c r="E143" s="2952"/>
      <c r="F143" s="2952"/>
      <c r="G143" s="2952"/>
      <c r="H143" s="2952"/>
      <c r="I143" s="2952"/>
      <c r="J143" s="2952"/>
    </row>
    <row r="144" spans="2:10">
      <c r="B144" s="3340"/>
      <c r="C144" s="3340"/>
      <c r="D144" s="3340"/>
      <c r="E144" s="3340"/>
      <c r="F144" s="3340"/>
      <c r="G144" s="3340"/>
      <c r="H144" s="3340"/>
      <c r="I144" s="3340"/>
      <c r="J144" s="3340"/>
    </row>
    <row r="145" spans="2:10">
      <c r="B145" s="2952"/>
      <c r="C145" s="2952"/>
      <c r="D145" s="2952"/>
      <c r="E145" s="2952"/>
      <c r="F145" s="2952"/>
      <c r="G145" s="2952"/>
      <c r="H145" s="2952"/>
      <c r="I145" s="2952"/>
      <c r="J145" s="2952"/>
    </row>
    <row r="146" spans="2:10">
      <c r="B146" s="3338"/>
      <c r="C146" s="3339"/>
      <c r="D146" s="3339"/>
      <c r="E146" s="3339"/>
      <c r="F146" s="3339"/>
      <c r="G146" s="3339"/>
      <c r="H146" s="3339"/>
      <c r="I146" s="3339"/>
      <c r="J146" s="3339"/>
    </row>
    <row r="147" spans="2:10">
      <c r="B147" s="3334"/>
      <c r="C147" s="3335"/>
      <c r="D147" s="3335"/>
      <c r="E147" s="3335"/>
      <c r="F147" s="3335"/>
      <c r="G147" s="3335"/>
      <c r="H147" s="3335"/>
      <c r="I147" s="3335"/>
      <c r="J147" s="3335"/>
    </row>
    <row r="148" spans="2:10">
      <c r="B148" s="3341"/>
      <c r="C148" s="3341"/>
      <c r="D148" s="3341"/>
      <c r="E148" s="3341"/>
      <c r="F148" s="3341"/>
      <c r="G148" s="3341"/>
      <c r="H148" s="3341"/>
      <c r="I148" s="3341"/>
      <c r="J148" s="3341"/>
    </row>
    <row r="149" spans="2:10">
      <c r="B149" s="3334"/>
      <c r="C149" s="3335"/>
      <c r="D149" s="3335"/>
      <c r="E149" s="3335"/>
      <c r="F149" s="3335"/>
      <c r="G149" s="3335"/>
      <c r="H149" s="3335"/>
      <c r="I149" s="3335"/>
      <c r="J149" s="3335"/>
    </row>
    <row r="150" spans="2:10" ht="63" customHeight="1">
      <c r="B150" s="3341"/>
      <c r="C150" s="3341"/>
      <c r="D150" s="3341"/>
      <c r="E150" s="3341"/>
      <c r="F150" s="3341"/>
      <c r="G150" s="3341"/>
      <c r="H150" s="3341"/>
      <c r="I150" s="3341"/>
      <c r="J150" s="3341"/>
    </row>
    <row r="151" spans="2:10" ht="36" customHeight="1">
      <c r="B151" s="3341"/>
      <c r="C151" s="3341"/>
      <c r="D151" s="3341"/>
      <c r="E151" s="3341"/>
      <c r="F151" s="3341"/>
      <c r="G151" s="3341"/>
      <c r="H151" s="3341"/>
      <c r="I151" s="3341"/>
      <c r="J151" s="3341"/>
    </row>
    <row r="152" spans="2:10" ht="42" customHeight="1">
      <c r="B152" s="3340"/>
      <c r="C152" s="3340"/>
      <c r="D152" s="3340"/>
      <c r="E152" s="3340"/>
      <c r="F152" s="3340"/>
      <c r="G152" s="3340"/>
      <c r="H152" s="3340"/>
      <c r="I152" s="3340"/>
      <c r="J152" s="3340"/>
    </row>
    <row r="153" spans="2:10" ht="47.25" customHeight="1">
      <c r="B153" s="3340"/>
      <c r="C153" s="3340"/>
      <c r="D153" s="3340"/>
      <c r="E153" s="3340"/>
      <c r="F153" s="3340"/>
      <c r="G153" s="3340"/>
      <c r="H153" s="3340"/>
      <c r="I153" s="3340"/>
      <c r="J153" s="3340"/>
    </row>
    <row r="154" spans="2:10" ht="51" customHeight="1">
      <c r="B154" s="3340"/>
      <c r="C154" s="3340"/>
      <c r="D154" s="3340"/>
      <c r="E154" s="3340"/>
      <c r="F154" s="3340"/>
      <c r="G154" s="3340"/>
      <c r="H154" s="3340"/>
      <c r="I154" s="3340"/>
      <c r="J154" s="3340"/>
    </row>
    <row r="155" spans="2:10">
      <c r="B155" s="3334"/>
      <c r="C155" s="3335"/>
      <c r="D155" s="3335"/>
      <c r="E155" s="3335"/>
      <c r="F155" s="3335"/>
      <c r="G155" s="3335"/>
      <c r="H155" s="3335"/>
      <c r="I155" s="3335"/>
      <c r="J155" s="3335"/>
    </row>
    <row r="156" spans="2:10" ht="30" customHeight="1">
      <c r="B156" s="3341"/>
      <c r="C156" s="3341"/>
      <c r="D156" s="3341"/>
      <c r="E156" s="3341"/>
      <c r="F156" s="3341"/>
      <c r="G156" s="3341"/>
      <c r="H156" s="3341"/>
      <c r="I156" s="3341"/>
      <c r="J156" s="3341"/>
    </row>
    <row r="157" spans="2:10" ht="29.25" customHeight="1">
      <c r="B157" s="3341"/>
      <c r="C157" s="3341"/>
      <c r="D157" s="3341"/>
      <c r="E157" s="3341"/>
      <c r="F157" s="3341"/>
      <c r="G157" s="3341"/>
      <c r="H157" s="3341"/>
      <c r="I157" s="3341"/>
      <c r="J157" s="3341"/>
    </row>
    <row r="158" spans="2:10" ht="37.5" customHeight="1">
      <c r="B158" s="3340"/>
      <c r="C158" s="3340"/>
      <c r="D158" s="3340"/>
      <c r="E158" s="3340"/>
      <c r="F158" s="3340"/>
      <c r="G158" s="3340"/>
      <c r="H158" s="3340"/>
      <c r="I158" s="3340"/>
      <c r="J158" s="3340"/>
    </row>
    <row r="159" spans="2:10" ht="56.25" customHeight="1">
      <c r="B159" s="3340"/>
      <c r="C159" s="3340"/>
      <c r="D159" s="3340"/>
      <c r="E159" s="3340"/>
      <c r="F159" s="3340"/>
      <c r="G159" s="3340"/>
      <c r="H159" s="3340"/>
      <c r="I159" s="3340"/>
      <c r="J159" s="3340"/>
    </row>
    <row r="160" spans="2:10">
      <c r="B160" s="3334"/>
      <c r="C160" s="3335"/>
      <c r="D160" s="3335"/>
      <c r="E160" s="3335"/>
      <c r="F160" s="3335"/>
      <c r="G160" s="3335"/>
      <c r="H160" s="3335"/>
      <c r="I160" s="3335"/>
      <c r="J160" s="3335"/>
    </row>
    <row r="161" spans="2:10">
      <c r="B161" s="3334"/>
      <c r="C161" s="3335"/>
      <c r="D161" s="3335"/>
      <c r="E161" s="3335"/>
      <c r="F161" s="3335"/>
      <c r="G161" s="3335"/>
      <c r="H161" s="3335"/>
      <c r="I161" s="3335"/>
      <c r="J161" s="3335"/>
    </row>
    <row r="162" spans="2:10" ht="35.25" customHeight="1">
      <c r="B162" s="3341"/>
      <c r="C162" s="3341"/>
      <c r="D162" s="3341"/>
      <c r="E162" s="3341"/>
      <c r="F162" s="3341"/>
      <c r="G162" s="3341"/>
      <c r="H162" s="3341"/>
      <c r="I162" s="3341"/>
      <c r="J162" s="3341"/>
    </row>
    <row r="163" spans="2:10" ht="33.75" customHeight="1">
      <c r="B163" s="3340"/>
      <c r="C163" s="3340"/>
      <c r="D163" s="3340"/>
      <c r="E163" s="3340"/>
      <c r="F163" s="3340"/>
      <c r="G163" s="3340"/>
      <c r="H163" s="3340"/>
      <c r="I163" s="3340"/>
      <c r="J163" s="3340"/>
    </row>
    <row r="164" spans="2:10">
      <c r="B164" s="3335"/>
      <c r="C164" s="3335"/>
      <c r="D164" s="3335"/>
      <c r="E164" s="3335"/>
      <c r="F164" s="3335"/>
      <c r="G164" s="3335"/>
      <c r="H164" s="3335"/>
      <c r="I164" s="3335"/>
      <c r="J164" s="3335"/>
    </row>
    <row r="165" spans="2:10" ht="25.5" customHeight="1">
      <c r="B165" s="3334"/>
      <c r="C165" s="3335"/>
      <c r="D165" s="3335"/>
      <c r="E165" s="3335"/>
      <c r="F165" s="3335"/>
      <c r="G165" s="3335"/>
      <c r="H165" s="3335"/>
      <c r="I165" s="3335"/>
      <c r="J165" s="3335"/>
    </row>
    <row r="166" spans="2:10" ht="27" customHeight="1">
      <c r="B166" s="3341"/>
      <c r="C166" s="3341"/>
      <c r="D166" s="3341"/>
      <c r="E166" s="3341"/>
      <c r="F166" s="3341"/>
      <c r="G166" s="3341"/>
      <c r="H166" s="3341"/>
      <c r="I166" s="3341"/>
      <c r="J166" s="3341"/>
    </row>
    <row r="167" spans="2:10" ht="38.25" customHeight="1">
      <c r="B167" s="3340"/>
      <c r="C167" s="3340"/>
      <c r="D167" s="3340"/>
      <c r="E167" s="3340"/>
      <c r="F167" s="3340"/>
      <c r="G167" s="3340"/>
      <c r="H167" s="3340"/>
      <c r="I167" s="3340"/>
      <c r="J167" s="3340"/>
    </row>
    <row r="168" spans="2:10" ht="56.25" customHeight="1">
      <c r="B168" s="3340"/>
      <c r="C168" s="3340"/>
      <c r="D168" s="3340"/>
      <c r="E168" s="3340"/>
      <c r="F168" s="3340"/>
      <c r="G168" s="3340"/>
      <c r="H168" s="3340"/>
      <c r="I168" s="3340"/>
      <c r="J168" s="3340"/>
    </row>
    <row r="169" spans="2:10" ht="74.25" customHeight="1">
      <c r="B169" s="3340"/>
      <c r="C169" s="3340"/>
      <c r="D169" s="3340"/>
      <c r="E169" s="3340"/>
      <c r="F169" s="3340"/>
      <c r="G169" s="3340"/>
      <c r="H169" s="3340"/>
      <c r="I169" s="3340"/>
      <c r="J169" s="3340"/>
    </row>
    <row r="170" spans="2:10" ht="205.5" customHeight="1">
      <c r="B170" s="3340"/>
      <c r="C170" s="3340"/>
      <c r="D170" s="3340"/>
      <c r="E170" s="3340"/>
      <c r="F170" s="3340"/>
      <c r="G170" s="3340"/>
      <c r="H170" s="3340"/>
      <c r="I170" s="3340"/>
      <c r="J170" s="3340"/>
    </row>
    <row r="171" spans="2:10" ht="52.5" customHeight="1">
      <c r="B171" s="3340"/>
      <c r="C171" s="3340"/>
      <c r="D171" s="3340"/>
      <c r="E171" s="3340"/>
      <c r="F171" s="3340"/>
      <c r="G171" s="3340"/>
      <c r="H171" s="3340"/>
      <c r="I171" s="3340"/>
      <c r="J171" s="3340"/>
    </row>
    <row r="172" spans="2:10" ht="31.5" customHeight="1">
      <c r="B172" s="3342"/>
      <c r="C172" s="3342"/>
      <c r="D172" s="3342"/>
      <c r="E172" s="3342"/>
      <c r="F172" s="3342"/>
      <c r="G172" s="3342"/>
      <c r="H172" s="3342"/>
      <c r="I172" s="3342"/>
      <c r="J172" s="3342"/>
    </row>
    <row r="173" spans="2:10">
      <c r="B173" s="3335"/>
      <c r="C173" s="3335"/>
      <c r="D173" s="3335"/>
      <c r="E173" s="3335"/>
      <c r="F173" s="3335"/>
      <c r="G173" s="3335"/>
      <c r="H173" s="3335"/>
      <c r="I173" s="3335"/>
      <c r="J173" s="3335"/>
    </row>
    <row r="174" spans="2:10" ht="33" customHeight="1">
      <c r="B174" s="3340"/>
      <c r="C174" s="3340"/>
      <c r="D174" s="3340"/>
      <c r="E174" s="3340"/>
      <c r="F174" s="3340"/>
      <c r="G174" s="3340"/>
      <c r="H174" s="3340"/>
      <c r="I174" s="3340"/>
      <c r="J174" s="3340"/>
    </row>
    <row r="175" spans="2:10" ht="48" customHeight="1">
      <c r="B175" s="3342"/>
      <c r="C175" s="3342"/>
      <c r="D175" s="3342"/>
      <c r="E175" s="3342"/>
      <c r="F175" s="3342"/>
      <c r="G175" s="3342"/>
      <c r="H175" s="3342"/>
      <c r="I175" s="3342"/>
      <c r="J175" s="3342"/>
    </row>
    <row r="176" spans="2:10" ht="55.5" customHeight="1">
      <c r="B176" s="3342"/>
      <c r="C176" s="3342"/>
      <c r="D176" s="3342"/>
      <c r="E176" s="3342"/>
      <c r="F176" s="3342"/>
      <c r="G176" s="3342"/>
      <c r="H176" s="3342"/>
      <c r="I176" s="3342"/>
      <c r="J176" s="3342"/>
    </row>
    <row r="177" spans="2:10" ht="42" customHeight="1">
      <c r="B177" s="3342"/>
      <c r="C177" s="3342"/>
      <c r="D177" s="3342"/>
      <c r="E177" s="3342"/>
      <c r="F177" s="3342"/>
      <c r="G177" s="3342"/>
      <c r="H177" s="3342"/>
      <c r="I177" s="3342"/>
      <c r="J177" s="3342"/>
    </row>
    <row r="178" spans="2:10">
      <c r="B178" s="3334"/>
      <c r="C178" s="3335"/>
      <c r="D178" s="3335"/>
      <c r="E178" s="3335"/>
      <c r="F178" s="3335"/>
      <c r="G178" s="3335"/>
      <c r="H178" s="3335"/>
      <c r="I178" s="3335"/>
      <c r="J178" s="3335"/>
    </row>
    <row r="179" spans="2:10" ht="32.25" customHeight="1">
      <c r="B179" s="3341"/>
      <c r="C179" s="3341"/>
      <c r="D179" s="3341"/>
      <c r="E179" s="3341"/>
      <c r="F179" s="3341"/>
      <c r="G179" s="3341"/>
      <c r="H179" s="3341"/>
      <c r="I179" s="3341"/>
      <c r="J179" s="3341"/>
    </row>
    <row r="180" spans="2:10" ht="35.25" customHeight="1">
      <c r="B180" s="3340"/>
      <c r="C180" s="3340"/>
      <c r="D180" s="3340"/>
      <c r="E180" s="3340"/>
      <c r="F180" s="3340"/>
      <c r="G180" s="3340"/>
      <c r="H180" s="3340"/>
      <c r="I180" s="3340"/>
      <c r="J180" s="3340"/>
    </row>
    <row r="181" spans="2:10" ht="31.5" customHeight="1">
      <c r="B181" s="3341"/>
      <c r="C181" s="3341"/>
      <c r="D181" s="3341"/>
      <c r="E181" s="3341"/>
      <c r="F181" s="3341"/>
      <c r="G181" s="3341"/>
      <c r="H181" s="3341"/>
      <c r="I181" s="3341"/>
      <c r="J181" s="3341"/>
    </row>
    <row r="182" spans="2:10">
      <c r="B182" s="3334"/>
      <c r="C182" s="3335"/>
      <c r="D182" s="3335"/>
      <c r="E182" s="3335"/>
      <c r="F182" s="3335"/>
      <c r="G182" s="3335"/>
      <c r="H182" s="3335"/>
      <c r="I182" s="3335"/>
      <c r="J182" s="3335"/>
    </row>
    <row r="183" spans="2:10" ht="32.25" customHeight="1">
      <c r="B183" s="3341"/>
      <c r="C183" s="3341"/>
      <c r="D183" s="3341"/>
      <c r="E183" s="3341"/>
      <c r="F183" s="3341"/>
      <c r="G183" s="3341"/>
      <c r="H183" s="3341"/>
      <c r="I183" s="3341"/>
      <c r="J183" s="3341"/>
    </row>
    <row r="184" spans="2:10" ht="36" customHeight="1">
      <c r="B184" s="3341"/>
      <c r="C184" s="3341"/>
      <c r="D184" s="3341"/>
      <c r="E184" s="3341"/>
      <c r="F184" s="3341"/>
      <c r="G184" s="3341"/>
      <c r="H184" s="3341"/>
      <c r="I184" s="3341"/>
      <c r="J184" s="3341"/>
    </row>
    <row r="185" spans="2:10" ht="44.25" customHeight="1">
      <c r="B185" s="3340"/>
      <c r="C185" s="3340"/>
      <c r="D185" s="3340"/>
      <c r="E185" s="3340"/>
      <c r="F185" s="3340"/>
      <c r="G185" s="3340"/>
      <c r="H185" s="3340"/>
      <c r="I185" s="3340"/>
      <c r="J185" s="3340"/>
    </row>
    <row r="186" spans="2:10" ht="35.25" customHeight="1">
      <c r="B186" s="3340"/>
      <c r="C186" s="3340"/>
      <c r="D186" s="3340"/>
      <c r="E186" s="3340"/>
      <c r="F186" s="3340"/>
      <c r="G186" s="3340"/>
      <c r="H186" s="3340"/>
      <c r="I186" s="3340"/>
      <c r="J186" s="3340"/>
    </row>
    <row r="187" spans="2:10">
      <c r="B187" s="3334"/>
      <c r="C187" s="3335"/>
      <c r="D187" s="3335"/>
      <c r="E187" s="3335"/>
      <c r="F187" s="3335"/>
      <c r="G187" s="3335"/>
      <c r="H187" s="3335"/>
      <c r="I187" s="3335"/>
      <c r="J187" s="3335"/>
    </row>
    <row r="188" spans="2:10" ht="36" customHeight="1">
      <c r="B188" s="3341"/>
      <c r="C188" s="3341"/>
      <c r="D188" s="3341"/>
      <c r="E188" s="3341"/>
      <c r="F188" s="3341"/>
      <c r="G188" s="3341"/>
      <c r="H188" s="3341"/>
      <c r="I188" s="3341"/>
      <c r="J188" s="3341"/>
    </row>
    <row r="189" spans="2:10" ht="66.75" customHeight="1">
      <c r="B189" s="3340"/>
      <c r="C189" s="3340"/>
      <c r="D189" s="3340"/>
      <c r="E189" s="3340"/>
      <c r="F189" s="3340"/>
      <c r="G189" s="3340"/>
      <c r="H189" s="3340"/>
      <c r="I189" s="3340"/>
      <c r="J189" s="3340"/>
    </row>
    <row r="190" spans="2:10">
      <c r="B190" s="3334"/>
      <c r="C190" s="3335"/>
      <c r="D190" s="3335"/>
      <c r="E190" s="3335"/>
      <c r="F190" s="3335"/>
      <c r="G190" s="3335"/>
      <c r="H190" s="3335"/>
      <c r="I190" s="3335"/>
      <c r="J190" s="3335"/>
    </row>
    <row r="191" spans="2:10" ht="39.75" customHeight="1">
      <c r="B191" s="3341"/>
      <c r="C191" s="3341"/>
      <c r="D191" s="3341"/>
      <c r="E191" s="3341"/>
      <c r="F191" s="3341"/>
      <c r="G191" s="3341"/>
      <c r="H191" s="3341"/>
      <c r="I191" s="3341"/>
      <c r="J191" s="3341"/>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ColWidth="9.140625"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6696</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2020-1-31</v>
      </c>
      <c r="B2" s="2908"/>
      <c r="C2" s="2908"/>
      <c r="D2" s="2908"/>
      <c r="E2" s="2908"/>
      <c r="F2" s="2909"/>
      <c r="G2" s="2909"/>
      <c r="H2" s="2909"/>
      <c r="I2" s="2909"/>
      <c r="J2" s="2909"/>
      <c r="K2" s="2909"/>
      <c r="L2" s="2910"/>
      <c r="M2" s="2910"/>
      <c r="N2" s="2910"/>
      <c r="O2" s="2910"/>
      <c r="P2" s="2911"/>
      <c r="Q2" s="2912"/>
    </row>
    <row r="3" spans="1:17">
      <c r="A3" s="2913" t="s">
        <v>6697</v>
      </c>
      <c r="B3" s="2914" t="str">
        <f>Lead!$C$5</f>
        <v>华软金信科技（北京）有限公司</v>
      </c>
      <c r="C3" s="2915"/>
      <c r="D3" s="2915"/>
      <c r="E3" s="2915"/>
      <c r="F3" s="2953"/>
      <c r="G3" s="2953"/>
      <c r="H3" s="2953"/>
      <c r="I3" s="2953"/>
      <c r="J3" s="2953"/>
      <c r="K3" s="2909"/>
      <c r="L3" s="2910"/>
      <c r="M3" s="2910"/>
      <c r="N3" s="2910"/>
      <c r="O3" s="2910"/>
      <c r="P3" s="2916" t="str">
        <f>""&amp;$B$1</f>
        <v>9002B</v>
      </c>
      <c r="Q3" s="2912"/>
    </row>
    <row r="4" spans="1:17">
      <c r="A4" s="2901" t="s">
        <v>6698</v>
      </c>
      <c r="B4" s="2918" t="s">
        <v>6699</v>
      </c>
      <c r="C4" s="2915"/>
      <c r="D4" s="2915"/>
      <c r="E4" s="2915"/>
      <c r="F4" s="2953"/>
      <c r="G4" s="2953"/>
      <c r="H4" s="2953"/>
      <c r="I4" s="2953"/>
      <c r="J4" s="2953"/>
      <c r="K4" s="2909"/>
      <c r="L4" s="2910"/>
      <c r="M4" s="2910"/>
      <c r="N4" s="2910"/>
      <c r="O4" s="2910"/>
      <c r="P4" s="2919" t="str">
        <f>$D$1&amp;" "&amp;IF($A$2="","",TEXT($A$2,"YYYY-M-D"))</f>
        <v>孙健 2020-1-31</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344" t="s">
        <v>6661</v>
      </c>
      <c r="C7" s="3346" t="s">
        <v>6700</v>
      </c>
      <c r="D7" s="3346" t="s">
        <v>6701</v>
      </c>
      <c r="E7" s="3346" t="s">
        <v>6702</v>
      </c>
      <c r="F7" s="3343" t="s">
        <v>6703</v>
      </c>
      <c r="G7" s="3343"/>
      <c r="H7" s="3343" t="s">
        <v>6704</v>
      </c>
      <c r="I7" s="3343"/>
      <c r="J7" s="3343" t="s">
        <v>6705</v>
      </c>
      <c r="K7" s="3343"/>
      <c r="L7" s="3343" t="s">
        <v>6706</v>
      </c>
      <c r="M7" s="3343"/>
      <c r="N7" s="3346" t="s">
        <v>6707</v>
      </c>
      <c r="O7" s="3348" t="s">
        <v>6708</v>
      </c>
      <c r="P7" s="3349" t="s">
        <v>6709</v>
      </c>
      <c r="Q7" s="2905"/>
    </row>
    <row r="8" spans="1:17" s="2928" customFormat="1" ht="18" customHeight="1">
      <c r="A8" s="2925"/>
      <c r="B8" s="3345"/>
      <c r="C8" s="3347"/>
      <c r="D8" s="3347"/>
      <c r="E8" s="3347"/>
      <c r="F8" s="2955" t="s">
        <v>6710</v>
      </c>
      <c r="G8" s="2955" t="s">
        <v>6711</v>
      </c>
      <c r="H8" s="2955" t="s">
        <v>6710</v>
      </c>
      <c r="I8" s="2955" t="s">
        <v>6711</v>
      </c>
      <c r="J8" s="2955" t="s">
        <v>6710</v>
      </c>
      <c r="K8" s="2955" t="s">
        <v>6711</v>
      </c>
      <c r="L8" s="2955" t="s">
        <v>6710</v>
      </c>
      <c r="M8" s="2955" t="s">
        <v>6711</v>
      </c>
      <c r="N8" s="3347"/>
      <c r="O8" s="3347"/>
      <c r="P8" s="3350"/>
      <c r="Q8" s="2905"/>
    </row>
    <row r="9" spans="1:17" s="2928" customFormat="1" ht="18" customHeight="1">
      <c r="A9" s="2925"/>
      <c r="B9" s="2956" t="s">
        <v>6712</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6713</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6714</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6713</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6715</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6716</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6713</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6717</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6694</v>
      </c>
      <c r="Q34" s="2946"/>
    </row>
    <row r="35" spans="1:17">
      <c r="B35" s="2948" t="s">
        <v>6695</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ColWidth="9.140625"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6718</v>
      </c>
      <c r="C1" s="2901"/>
      <c r="D1" s="2902" t="str">
        <f>Lead!$E$9</f>
        <v>孙健</v>
      </c>
      <c r="E1" s="2903"/>
      <c r="F1" s="2903"/>
      <c r="G1" s="2904"/>
      <c r="H1" s="2904"/>
      <c r="I1" s="2905"/>
    </row>
    <row r="2" spans="1:9" ht="26.1" customHeight="1">
      <c r="A2" s="2907" t="str">
        <f>TEXT(Lead!$F$9,"yyyy-m-d")</f>
        <v>2020-1-31</v>
      </c>
      <c r="B2" s="2908"/>
      <c r="C2" s="2908"/>
      <c r="D2" s="2908"/>
      <c r="E2" s="2908"/>
      <c r="F2" s="2909"/>
      <c r="G2" s="2910"/>
      <c r="H2" s="2911"/>
      <c r="I2" s="2912"/>
    </row>
    <row r="3" spans="1:9">
      <c r="A3" s="2913" t="s">
        <v>6719</v>
      </c>
      <c r="B3" s="2914" t="str">
        <f>Lead!$C$5</f>
        <v>华软金信科技（北京）有限公司</v>
      </c>
      <c r="C3" s="2915"/>
      <c r="D3" s="2915"/>
      <c r="E3" s="2915"/>
      <c r="F3" s="2909"/>
      <c r="G3" s="2910"/>
      <c r="H3" s="2916" t="str">
        <f>""&amp;$B$1</f>
        <v>9002C</v>
      </c>
      <c r="I3" s="2912"/>
    </row>
    <row r="4" spans="1:9">
      <c r="A4" s="2901" t="s">
        <v>6720</v>
      </c>
      <c r="B4" s="2918" t="s">
        <v>6721</v>
      </c>
      <c r="C4" s="2915"/>
      <c r="D4" s="2915"/>
      <c r="E4" s="2915"/>
      <c r="F4" s="2909"/>
      <c r="G4" s="2910"/>
      <c r="H4" s="2919" t="str">
        <f>$D$1&amp;" "&amp;IF($A$2="","",TEXT($A$2,"YYYY-M-D"))</f>
        <v>孙健 2020-1-31</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6722</v>
      </c>
      <c r="C8" s="2976" t="s">
        <v>6723</v>
      </c>
      <c r="D8" s="2976" t="s">
        <v>6724</v>
      </c>
      <c r="E8" s="2976" t="s">
        <v>6725</v>
      </c>
      <c r="F8" s="2976" t="s">
        <v>6726</v>
      </c>
      <c r="G8" s="2976" t="s">
        <v>6708</v>
      </c>
      <c r="H8" s="2977" t="s">
        <v>6709</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6694</v>
      </c>
      <c r="C26" s="2945"/>
      <c r="D26" s="2945"/>
      <c r="E26" s="2945"/>
      <c r="F26" s="2945"/>
      <c r="G26" s="2945"/>
      <c r="H26" s="2945"/>
      <c r="I26" s="2946"/>
    </row>
    <row r="27" spans="1:9">
      <c r="B27" s="2948" t="s">
        <v>6695</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ColWidth="9.140625"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6727</v>
      </c>
      <c r="C1" s="2901"/>
      <c r="D1" s="2902" t="str">
        <f>Lead!$E$9</f>
        <v>孙健</v>
      </c>
      <c r="E1" s="2903"/>
      <c r="F1" s="2904"/>
      <c r="G1" s="2904"/>
      <c r="H1" s="2904"/>
      <c r="I1" s="2905"/>
    </row>
    <row r="2" spans="1:9" ht="26.1" customHeight="1">
      <c r="A2" s="2907" t="str">
        <f>TEXT(Lead!$F$9,"yyyy-m-d")</f>
        <v>2020-1-31</v>
      </c>
      <c r="B2" s="2908"/>
      <c r="C2" s="2908"/>
      <c r="D2" s="2908"/>
      <c r="E2" s="2908"/>
      <c r="F2" s="2910"/>
      <c r="G2" s="2910"/>
      <c r="H2" s="2911"/>
      <c r="I2" s="2912"/>
    </row>
    <row r="3" spans="1:9">
      <c r="A3" s="2913" t="s">
        <v>6728</v>
      </c>
      <c r="B3" s="2914" t="str">
        <f>Lead!$C$5</f>
        <v>华软金信科技（北京）有限公司</v>
      </c>
      <c r="C3" s="2915"/>
      <c r="D3" s="2915"/>
      <c r="E3" s="2908"/>
      <c r="F3" s="2910"/>
      <c r="G3" s="2910"/>
      <c r="H3" s="2916" t="str">
        <f>""&amp;$B$1</f>
        <v>9000B</v>
      </c>
      <c r="I3" s="2912"/>
    </row>
    <row r="4" spans="1:9">
      <c r="A4" s="2901" t="s">
        <v>6729</v>
      </c>
      <c r="B4" s="2918" t="s">
        <v>6730</v>
      </c>
      <c r="C4" s="2915"/>
      <c r="D4" s="2915"/>
      <c r="E4" s="2908"/>
      <c r="F4" s="2910"/>
      <c r="G4" s="2910"/>
      <c r="H4" s="2919" t="str">
        <f>$D$1&amp;" "&amp;IF($A$2="","",TEXT($A$2,"YYYY-M-D"))</f>
        <v>孙健 2020-1-31</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6731</v>
      </c>
      <c r="C7" s="2989"/>
      <c r="D7" s="2990"/>
      <c r="E7" s="2990"/>
      <c r="F7" s="2990"/>
      <c r="G7" s="2990"/>
      <c r="H7" s="2927"/>
      <c r="I7" s="2905"/>
    </row>
    <row r="8" spans="1:9" s="2928" customFormat="1" ht="42" customHeight="1">
      <c r="A8" s="2925"/>
      <c r="B8" s="2991" t="s">
        <v>2650</v>
      </c>
      <c r="C8" s="2992" t="s">
        <v>6732</v>
      </c>
      <c r="D8" s="2992" t="s">
        <v>6733</v>
      </c>
      <c r="E8" s="3357" t="s">
        <v>6734</v>
      </c>
      <c r="F8" s="3358"/>
      <c r="G8" s="2992" t="s">
        <v>6735</v>
      </c>
      <c r="H8" s="2993" t="s">
        <v>6175</v>
      </c>
      <c r="I8" s="2905"/>
    </row>
    <row r="9" spans="1:9" s="2928" customFormat="1" ht="21" customHeight="1">
      <c r="A9" s="2925"/>
      <c r="B9" s="2994"/>
      <c r="C9" s="2995"/>
      <c r="D9" s="2996"/>
      <c r="E9" s="3351"/>
      <c r="F9" s="3352"/>
      <c r="G9" s="2997"/>
      <c r="H9" s="2998"/>
      <c r="I9" s="2905"/>
    </row>
    <row r="10" spans="1:9" s="2928" customFormat="1" ht="20.25" customHeight="1">
      <c r="A10" s="2925"/>
      <c r="B10" s="2999"/>
      <c r="C10" s="3000"/>
      <c r="D10" s="3000"/>
      <c r="E10" s="3353"/>
      <c r="F10" s="3354"/>
      <c r="G10" s="3001"/>
      <c r="H10" s="3002"/>
      <c r="I10" s="2905"/>
    </row>
    <row r="11" spans="1:9" s="2928" customFormat="1" ht="20.25" customHeight="1">
      <c r="A11" s="2925"/>
      <c r="B11" s="2999"/>
      <c r="C11" s="3000"/>
      <c r="D11" s="3000"/>
      <c r="E11" s="3353"/>
      <c r="F11" s="3354"/>
      <c r="G11" s="3001"/>
      <c r="H11" s="3002"/>
      <c r="I11" s="2905"/>
    </row>
    <row r="12" spans="1:9" s="2928" customFormat="1" ht="20.25" customHeight="1">
      <c r="A12" s="2925"/>
      <c r="B12" s="3003"/>
      <c r="C12" s="3004"/>
      <c r="D12" s="3004"/>
      <c r="E12" s="3355"/>
      <c r="F12" s="3356"/>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6736</v>
      </c>
      <c r="C14" s="3007"/>
      <c r="D14" s="3008"/>
      <c r="E14" s="3008"/>
      <c r="F14" s="3008"/>
      <c r="G14" s="3009"/>
      <c r="H14" s="2927"/>
      <c r="I14" s="2905"/>
    </row>
    <row r="15" spans="1:9" s="2928" customFormat="1" ht="45" customHeight="1">
      <c r="A15" s="2925"/>
      <c r="B15" s="2991" t="s">
        <v>2650</v>
      </c>
      <c r="C15" s="2992" t="s">
        <v>6732</v>
      </c>
      <c r="D15" s="2992" t="s">
        <v>6733</v>
      </c>
      <c r="E15" s="3357" t="s">
        <v>6734</v>
      </c>
      <c r="F15" s="3358"/>
      <c r="G15" s="2992" t="s">
        <v>6735</v>
      </c>
      <c r="H15" s="2993" t="s">
        <v>6175</v>
      </c>
      <c r="I15" s="2905"/>
    </row>
    <row r="16" spans="1:9" s="2928" customFormat="1" ht="20.25" customHeight="1">
      <c r="A16" s="2925"/>
      <c r="B16" s="2994"/>
      <c r="C16" s="2995"/>
      <c r="D16" s="2996"/>
      <c r="E16" s="3351"/>
      <c r="F16" s="3352"/>
      <c r="G16" s="2997"/>
      <c r="H16" s="2998"/>
      <c r="I16" s="2905"/>
    </row>
    <row r="17" spans="1:9" s="2928" customFormat="1" ht="20.25" customHeight="1">
      <c r="A17" s="2925"/>
      <c r="B17" s="2999"/>
      <c r="C17" s="3000"/>
      <c r="D17" s="3000"/>
      <c r="E17" s="3353"/>
      <c r="F17" s="3354"/>
      <c r="G17" s="3001"/>
      <c r="H17" s="3002"/>
      <c r="I17" s="2905"/>
    </row>
    <row r="18" spans="1:9" s="2928" customFormat="1" ht="20.25" customHeight="1">
      <c r="A18" s="2925"/>
      <c r="B18" s="2999"/>
      <c r="C18" s="3000"/>
      <c r="D18" s="3000"/>
      <c r="E18" s="3353"/>
      <c r="F18" s="3354"/>
      <c r="G18" s="3001"/>
      <c r="H18" s="3002"/>
      <c r="I18" s="2905"/>
    </row>
    <row r="19" spans="1:9" s="2928" customFormat="1" ht="20.25" customHeight="1">
      <c r="A19" s="2925"/>
      <c r="B19" s="3003"/>
      <c r="C19" s="3004"/>
      <c r="D19" s="3004"/>
      <c r="E19" s="3355"/>
      <c r="F19" s="3356"/>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6737</v>
      </c>
      <c r="C21" s="2990"/>
      <c r="D21" s="2990"/>
      <c r="E21" s="2990"/>
      <c r="F21" s="2990"/>
      <c r="G21" s="2990"/>
      <c r="H21" s="2927"/>
      <c r="I21" s="2905"/>
    </row>
    <row r="22" spans="1:9" s="2928" customFormat="1" ht="20.25" customHeight="1">
      <c r="A22" s="2925"/>
      <c r="B22" s="3011" t="s">
        <v>6738</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6739</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6740</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6741</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6694</v>
      </c>
      <c r="C39" s="2945"/>
      <c r="D39" s="2945"/>
      <c r="E39" s="2945"/>
      <c r="F39" s="2945"/>
      <c r="G39" s="2945"/>
      <c r="H39" s="2945"/>
      <c r="I39" s="2946"/>
    </row>
    <row r="40" spans="1:9">
      <c r="B40" s="2948" t="s">
        <v>6695</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ColWidth="9.140625"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6742</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6743</v>
      </c>
      <c r="B3" s="2914" t="str">
        <f>Lead!$C$5</f>
        <v>华软金信科技（北京）有限公司</v>
      </c>
      <c r="C3" s="2915"/>
      <c r="D3" s="2915"/>
      <c r="E3" s="2915"/>
      <c r="F3" s="2953"/>
      <c r="G3" s="2953"/>
      <c r="H3" s="2909"/>
      <c r="I3" s="2910"/>
      <c r="J3" s="2910"/>
      <c r="K3" s="2916" t="str">
        <f>""&amp;$B$1</f>
        <v>9000C</v>
      </c>
      <c r="L3" s="2912"/>
    </row>
    <row r="4" spans="1:12">
      <c r="A4" s="2917" t="s">
        <v>6744</v>
      </c>
      <c r="B4" s="2918" t="s">
        <v>6745</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6746</v>
      </c>
      <c r="C7" s="2926"/>
      <c r="D7" s="2926"/>
      <c r="E7" s="2926"/>
      <c r="F7" s="2926"/>
      <c r="G7" s="2926"/>
      <c r="H7" s="2926"/>
      <c r="I7" s="2927"/>
      <c r="J7" s="2927"/>
      <c r="K7" s="2927"/>
      <c r="L7" s="2905"/>
    </row>
    <row r="8" spans="1:12" s="2928" customFormat="1" ht="20.25" customHeight="1">
      <c r="A8" s="2925"/>
      <c r="B8" s="3013" t="s">
        <v>6747</v>
      </c>
      <c r="C8" s="2926"/>
      <c r="D8" s="2926"/>
      <c r="E8" s="2926"/>
      <c r="F8" s="2926"/>
      <c r="G8" s="2926"/>
      <c r="H8" s="2926"/>
      <c r="I8" s="2927"/>
      <c r="J8" s="2927"/>
      <c r="K8" s="2927"/>
      <c r="L8" s="2905"/>
    </row>
    <row r="9" spans="1:12" s="2928" customFormat="1" ht="20.25" customHeight="1">
      <c r="A9" s="2925"/>
      <c r="B9" s="3014"/>
      <c r="C9" s="3015"/>
      <c r="D9" s="3359" t="s">
        <v>2887</v>
      </c>
      <c r="E9" s="3359"/>
      <c r="F9" s="3359"/>
      <c r="G9" s="3359"/>
      <c r="H9" s="3359"/>
      <c r="I9" s="3359"/>
      <c r="J9" s="3359"/>
      <c r="K9" s="3360"/>
      <c r="L9" s="2905"/>
    </row>
    <row r="10" spans="1:12" s="2928" customFormat="1" ht="20.25" customHeight="1">
      <c r="A10" s="2925"/>
      <c r="B10" s="3016" t="s">
        <v>6748</v>
      </c>
      <c r="C10" s="3017" t="s">
        <v>6749</v>
      </c>
      <c r="D10" s="3017" t="s">
        <v>6750</v>
      </c>
      <c r="E10" s="3017" t="s">
        <v>6751</v>
      </c>
      <c r="F10" s="3017" t="s">
        <v>6752</v>
      </c>
      <c r="G10" s="3017" t="s">
        <v>6753</v>
      </c>
      <c r="H10" s="3017" t="s">
        <v>6754</v>
      </c>
      <c r="I10" s="3017" t="s">
        <v>6755</v>
      </c>
      <c r="J10" s="3017" t="s">
        <v>6756</v>
      </c>
      <c r="K10" s="3018" t="s">
        <v>6757</v>
      </c>
      <c r="L10" s="2905"/>
    </row>
    <row r="11" spans="1:12" s="2928" customFormat="1" ht="20.25" customHeight="1">
      <c r="A11" s="2925"/>
      <c r="B11" s="3016" t="s">
        <v>6758</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6759</v>
      </c>
      <c r="C12" s="3019"/>
      <c r="D12" s="3020">
        <f>SUMIF(AJE!$R$9:$R$38,"1",AJE!$O$9:$O$38)</f>
        <v>0</v>
      </c>
      <c r="E12" s="3020">
        <f>SUMIF(AJE!$R$9:$R$38,"1",AJE!$P$9:$P$38)</f>
        <v>0</v>
      </c>
      <c r="F12" s="3020">
        <f>SUMIF(AJE!$R$9:$R$38,"2",AJE!$O$9:$O$38)</f>
        <v>0</v>
      </c>
      <c r="G12" s="3020">
        <f>SUMIF(AJE!$R$9:$R$38,"2",AJE!$P$9:$P$38)</f>
        <v>0</v>
      </c>
      <c r="H12" s="3020">
        <f>SUMIF(AJE!$R$9:$R$38,"4",AJE!$O$9:$O$38)+SUMIF(AJE!$R$9:$R$38,"8",AJE!$O$9:$O$38)</f>
        <v>0</v>
      </c>
      <c r="I12" s="3020">
        <f>SUMIF(AJE!$R$9:$R$38,"4",AJE!$P$9:$P$38)+SUMIF(AJE!$R$9:$R$38,"8",AJE!$P$9:$P$38)</f>
        <v>0</v>
      </c>
      <c r="J12" s="3020">
        <f>SUMIF(AJE!$R$9:$R$38,"6",AJE!$O$9:$O$38)</f>
        <v>0</v>
      </c>
      <c r="K12" s="3021">
        <f>SUMIF(AJE!$R$9:$R$38,"6",AJE!$P$9:$P$38)</f>
        <v>0</v>
      </c>
      <c r="L12" s="3022" t="str">
        <f>IF(AND(SUM(D12,F12,H12,J12)=0,SUM(E12,G12,I12,K12)=0),"",IF(ROUND(SUM(D12,F12,H12,J12)-SUM(E12,G12,I12,K12),2)=0,"借贷平衡!","借贷相差："&amp;(TEXT(SUM(D12,F12,H12,J12)-SUM(E12,G12,I12,K12),"#,0.00"))))</f>
        <v/>
      </c>
    </row>
    <row r="13" spans="1:12" s="2928" customFormat="1" ht="20.25" customHeight="1">
      <c r="A13" s="2925"/>
      <c r="B13" s="3023" t="s">
        <v>6760</v>
      </c>
      <c r="C13" s="3024"/>
      <c r="D13" s="3025">
        <f>SUM(D11:D12)</f>
        <v>0</v>
      </c>
      <c r="E13" s="3025">
        <f t="shared" ref="E13:K13" si="0">SUM(E11:E12)</f>
        <v>0</v>
      </c>
      <c r="F13" s="3025">
        <f t="shared" si="0"/>
        <v>0</v>
      </c>
      <c r="G13" s="3025">
        <f t="shared" si="0"/>
        <v>0</v>
      </c>
      <c r="H13" s="3025">
        <f t="shared" si="0"/>
        <v>0</v>
      </c>
      <c r="I13" s="3025">
        <f t="shared" si="0"/>
        <v>0</v>
      </c>
      <c r="J13" s="3025">
        <f t="shared" si="0"/>
        <v>0</v>
      </c>
      <c r="K13" s="3026">
        <f t="shared" si="0"/>
        <v>0</v>
      </c>
      <c r="L13" s="3022" t="str">
        <f>IF(AND(SUM(D13,F13,H13,J13)=0,SUM(E13,G13,I13,K13)=0),"",IF(ROUND(SUM(D13,F13,H13,J13)-SUM(E13,G13,I13,K13),2)=0,"借贷平衡!","借贷相差："&amp;(TEXT(SUM(D13,F13,H13,J13)-SUM(E13,G13,I13,K13),"#,0.00"))))</f>
        <v/>
      </c>
    </row>
    <row r="14" spans="1:12" s="2928" customFormat="1" ht="20.25" customHeight="1">
      <c r="A14" s="2925"/>
      <c r="B14" s="3013" t="s">
        <v>6761</v>
      </c>
      <c r="C14" s="2926"/>
      <c r="D14" s="3027"/>
      <c r="E14" s="2926"/>
      <c r="F14" s="3027"/>
      <c r="G14" s="2926"/>
      <c r="H14" s="2926"/>
      <c r="I14" s="2927"/>
      <c r="J14" s="2927"/>
      <c r="K14" s="2927"/>
      <c r="L14" s="2905"/>
    </row>
    <row r="15" spans="1:12" s="2928" customFormat="1" ht="20.25" customHeight="1">
      <c r="A15" s="2925"/>
      <c r="B15" s="3013" t="s">
        <v>6762</v>
      </c>
      <c r="C15" s="2926"/>
      <c r="D15" s="2926"/>
      <c r="E15" s="2926"/>
      <c r="F15" s="2926"/>
      <c r="G15" s="3028" t="s">
        <v>6763</v>
      </c>
      <c r="H15" s="2926"/>
      <c r="I15" s="2927"/>
      <c r="J15" s="2927"/>
      <c r="K15" s="2927"/>
      <c r="L15" s="2905"/>
    </row>
    <row r="16" spans="1:12" s="2928" customFormat="1" ht="42.75" customHeight="1">
      <c r="A16" s="2925"/>
      <c r="B16" s="3361" t="s">
        <v>6764</v>
      </c>
      <c r="C16" s="3362"/>
      <c r="D16" s="3362"/>
      <c r="E16" s="3362"/>
      <c r="F16" s="3362"/>
      <c r="G16" s="3362"/>
      <c r="H16" s="3362"/>
      <c r="I16" s="3362"/>
      <c r="J16" s="3362"/>
      <c r="K16" s="3362"/>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6765</v>
      </c>
      <c r="C18" s="3034"/>
      <c r="D18" s="3034"/>
      <c r="E18" s="3034"/>
      <c r="F18" s="3034"/>
      <c r="G18" s="3034"/>
      <c r="H18" s="3034"/>
      <c r="I18" s="3035"/>
      <c r="J18" s="3035"/>
      <c r="K18" s="3036"/>
      <c r="L18" s="2905"/>
    </row>
    <row r="19" spans="1:12" s="2928" customFormat="1" ht="20.25" customHeight="1">
      <c r="A19" s="2925"/>
      <c r="B19" s="3012" t="s">
        <v>6766</v>
      </c>
      <c r="C19" s="2926"/>
      <c r="D19" s="2926"/>
      <c r="E19" s="2926"/>
      <c r="F19" s="2926"/>
      <c r="G19" s="2926"/>
      <c r="H19" s="2926"/>
      <c r="I19" s="2927"/>
      <c r="J19" s="2927"/>
      <c r="K19" s="2927"/>
      <c r="L19" s="2905"/>
    </row>
    <row r="20" spans="1:12" s="2928" customFormat="1" ht="20.25" customHeight="1">
      <c r="A20" s="2925"/>
      <c r="B20" s="3013" t="s">
        <v>6767</v>
      </c>
      <c r="C20" s="2926"/>
      <c r="D20" s="2926"/>
      <c r="E20" s="2926"/>
      <c r="F20" s="2926"/>
      <c r="G20" s="2926"/>
      <c r="H20" s="2926"/>
      <c r="I20" s="2927"/>
      <c r="J20" s="2927"/>
      <c r="K20" s="2927"/>
      <c r="L20" s="2905"/>
    </row>
    <row r="21" spans="1:12" s="2928" customFormat="1" ht="20.25" customHeight="1">
      <c r="A21" s="2925"/>
      <c r="B21" s="2926" t="s">
        <v>6768</v>
      </c>
      <c r="C21" s="2926"/>
      <c r="D21" s="2926"/>
      <c r="E21" s="2926"/>
      <c r="F21" s="3037" t="s">
        <v>2887</v>
      </c>
      <c r="G21" s="2926"/>
      <c r="H21" s="2926"/>
      <c r="I21" s="2927"/>
      <c r="J21" s="2927"/>
      <c r="K21" s="2927"/>
      <c r="L21" s="2905"/>
    </row>
    <row r="22" spans="1:12" s="2928" customFormat="1" ht="20.25" customHeight="1">
      <c r="A22" s="2925"/>
      <c r="B22" s="2926" t="s">
        <v>6769</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6770</v>
      </c>
      <c r="C24" s="3028"/>
      <c r="D24" s="3028"/>
      <c r="E24" s="3028"/>
      <c r="F24" s="3028"/>
      <c r="G24" s="2926"/>
      <c r="H24" s="2926"/>
      <c r="I24" s="2927"/>
      <c r="J24" s="2927"/>
      <c r="K24" s="3039"/>
      <c r="L24" s="2905"/>
    </row>
    <row r="25" spans="1:12" s="2928" customFormat="1" ht="20.25" customHeight="1">
      <c r="A25" s="2925"/>
      <c r="B25" s="3033" t="s">
        <v>6771</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6772</v>
      </c>
      <c r="C27" s="2926"/>
      <c r="D27" s="2926"/>
      <c r="E27" s="2926"/>
      <c r="F27" s="2926"/>
      <c r="G27" s="2926"/>
      <c r="H27" s="2926"/>
      <c r="I27" s="2927"/>
      <c r="J27" s="2927"/>
      <c r="K27" s="2927"/>
      <c r="L27" s="2905"/>
    </row>
    <row r="28" spans="1:12" s="2928" customFormat="1" ht="20.25" customHeight="1">
      <c r="A28" s="2925"/>
      <c r="B28" s="2926" t="s">
        <v>6773</v>
      </c>
      <c r="C28" s="2926"/>
      <c r="D28" s="2926"/>
      <c r="E28" s="2926"/>
      <c r="F28" s="3037" t="s">
        <v>2887</v>
      </c>
      <c r="G28" s="2926"/>
      <c r="H28" s="2926"/>
      <c r="I28" s="2927"/>
      <c r="J28" s="2927"/>
      <c r="K28" s="2927"/>
      <c r="L28" s="2905"/>
    </row>
    <row r="29" spans="1:12" s="2928" customFormat="1" ht="20.25" customHeight="1">
      <c r="A29" s="2925"/>
      <c r="B29" s="2926" t="s">
        <v>6774</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6775</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6694</v>
      </c>
      <c r="C34" s="2945"/>
      <c r="D34" s="2945"/>
      <c r="E34" s="2945"/>
      <c r="F34" s="2945"/>
      <c r="G34" s="2945"/>
      <c r="H34" s="2945"/>
      <c r="I34" s="2945"/>
      <c r="J34" s="2945"/>
      <c r="K34" s="2945"/>
      <c r="L34" s="2946"/>
    </row>
    <row r="35" spans="1:12">
      <c r="B35" s="2948" t="s">
        <v>6695</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topLeftCell="A19" workbookViewId="0">
      <selection activeCell="N7" sqref="N7"/>
    </sheetView>
  </sheetViews>
  <sheetFormatPr defaultColWidth="9.140625"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6776</v>
      </c>
      <c r="C1" s="2901"/>
      <c r="D1" s="2902" t="str">
        <f>Lead!$E$9</f>
        <v>孙健</v>
      </c>
      <c r="E1" s="2903"/>
      <c r="F1" s="2903"/>
      <c r="G1" s="2903"/>
      <c r="H1" s="2903"/>
      <c r="I1" s="2904"/>
      <c r="J1" s="2904"/>
      <c r="K1" s="2904"/>
      <c r="L1" s="2905"/>
    </row>
    <row r="2" spans="1:12" ht="26.1" customHeight="1">
      <c r="A2" s="2907" t="str">
        <f>TEXT(Lead!$F$9,"yyyy-m-d")</f>
        <v>2020-1-31</v>
      </c>
      <c r="B2" s="2908"/>
      <c r="C2" s="2908"/>
      <c r="D2" s="2908"/>
      <c r="E2" s="2908"/>
      <c r="F2" s="2909"/>
      <c r="G2" s="2909"/>
      <c r="H2" s="2909"/>
      <c r="I2" s="2910"/>
      <c r="J2" s="2910"/>
      <c r="K2" s="2911"/>
      <c r="L2" s="2912"/>
    </row>
    <row r="3" spans="1:12">
      <c r="A3" s="2913" t="s">
        <v>6777</v>
      </c>
      <c r="B3" s="2914" t="str">
        <f>Lead!$C$5</f>
        <v>华软金信科技（北京）有限公司</v>
      </c>
      <c r="C3" s="2915"/>
      <c r="D3" s="2915"/>
      <c r="E3" s="2915"/>
      <c r="F3" s="2953"/>
      <c r="G3" s="2953"/>
      <c r="H3" s="2909"/>
      <c r="I3" s="2910"/>
      <c r="J3" s="2910"/>
      <c r="K3" s="2916" t="str">
        <f>""&amp;$B$1</f>
        <v>9000D</v>
      </c>
      <c r="L3" s="2912"/>
    </row>
    <row r="4" spans="1:12">
      <c r="A4" s="2901" t="s">
        <v>6778</v>
      </c>
      <c r="B4" s="2918" t="s">
        <v>6779</v>
      </c>
      <c r="C4" s="2915"/>
      <c r="D4" s="2915"/>
      <c r="E4" s="2915"/>
      <c r="F4" s="2953"/>
      <c r="G4" s="2953"/>
      <c r="H4" s="2909"/>
      <c r="I4" s="2910"/>
      <c r="J4" s="2910"/>
      <c r="K4" s="2919" t="str">
        <f>$D$1&amp;" "&amp;IF($A$2="","",TEXT($A$2,"YYYY-M-D"))</f>
        <v>孙健 2020-1-31</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6780</v>
      </c>
      <c r="C7" s="2926"/>
      <c r="D7" s="2926"/>
      <c r="E7" s="2926"/>
      <c r="F7" s="2926"/>
      <c r="G7" s="2926"/>
      <c r="H7" s="2926"/>
      <c r="I7" s="2927"/>
      <c r="J7" s="2927"/>
      <c r="K7" s="2927"/>
      <c r="L7" s="2905"/>
    </row>
    <row r="8" spans="1:12" s="2928" customFormat="1" ht="20.25" customHeight="1">
      <c r="A8" s="2925"/>
      <c r="B8" s="2926"/>
      <c r="C8" s="3014" t="s">
        <v>6781</v>
      </c>
      <c r="D8" s="3041"/>
      <c r="E8" s="3041"/>
      <c r="F8" s="3041"/>
      <c r="G8" s="3041"/>
      <c r="H8" s="3041"/>
      <c r="I8" s="3042"/>
      <c r="J8" s="3042"/>
      <c r="K8" s="3042"/>
      <c r="L8" s="2905"/>
    </row>
    <row r="9" spans="1:12" s="2928" customFormat="1" ht="20.25" customHeight="1">
      <c r="A9" s="2925"/>
      <c r="B9" s="2926"/>
      <c r="C9" s="3043" t="s">
        <v>6782</v>
      </c>
      <c r="D9" s="3044"/>
      <c r="E9" s="3044"/>
      <c r="F9" s="3044"/>
      <c r="G9" s="3044"/>
      <c r="H9" s="3044"/>
      <c r="I9" s="3045"/>
      <c r="J9" s="3045"/>
      <c r="K9" s="3045"/>
      <c r="L9" s="2905"/>
    </row>
    <row r="10" spans="1:12" s="2928" customFormat="1" ht="20.25" customHeight="1">
      <c r="A10" s="2925"/>
      <c r="B10" s="2926"/>
      <c r="C10" s="3043" t="s">
        <v>6783</v>
      </c>
      <c r="D10" s="3044"/>
      <c r="E10" s="3044"/>
      <c r="F10" s="3044"/>
      <c r="G10" s="3044"/>
      <c r="H10" s="3044"/>
      <c r="I10" s="3045"/>
      <c r="J10" s="3045"/>
      <c r="K10" s="3045"/>
      <c r="L10" s="2905"/>
    </row>
    <row r="11" spans="1:12" s="2928" customFormat="1" ht="20.25" customHeight="1">
      <c r="A11" s="2925"/>
      <c r="B11" s="2926"/>
      <c r="C11" s="3046" t="s">
        <v>6784</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6785</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6786</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6787</v>
      </c>
      <c r="C23" s="2926"/>
      <c r="D23" s="2926"/>
      <c r="E23" s="2926"/>
      <c r="F23" s="2926"/>
      <c r="G23" s="2926"/>
      <c r="H23" s="2926"/>
      <c r="I23" s="2927"/>
      <c r="J23" s="2927"/>
      <c r="K23" s="2927"/>
      <c r="L23" s="2905"/>
    </row>
    <row r="24" spans="1:12" s="2928" customFormat="1" ht="20.25" customHeight="1">
      <c r="A24" s="2925"/>
      <c r="B24" s="3052"/>
      <c r="C24" s="3014" t="s">
        <v>6781</v>
      </c>
      <c r="D24" s="3041"/>
      <c r="E24" s="3041"/>
      <c r="F24" s="3041"/>
      <c r="G24" s="3041"/>
      <c r="H24" s="3041"/>
      <c r="I24" s="3042"/>
      <c r="J24" s="3042"/>
      <c r="K24" s="3042"/>
      <c r="L24" s="2905"/>
    </row>
    <row r="25" spans="1:12" s="2928" customFormat="1" ht="20.25" customHeight="1">
      <c r="A25" s="2925"/>
      <c r="B25" s="3052"/>
      <c r="C25" s="3043" t="s">
        <v>6788</v>
      </c>
      <c r="D25" s="3044"/>
      <c r="E25" s="3044"/>
      <c r="F25" s="3044"/>
      <c r="G25" s="3044"/>
      <c r="H25" s="3044"/>
      <c r="I25" s="3045"/>
      <c r="J25" s="3045"/>
      <c r="K25" s="3045"/>
      <c r="L25" s="2905"/>
    </row>
    <row r="26" spans="1:12" s="2928" customFormat="1" ht="20.25" customHeight="1">
      <c r="A26" s="2925"/>
      <c r="B26" s="3052"/>
      <c r="C26" s="3043" t="s">
        <v>6783</v>
      </c>
      <c r="D26" s="3044"/>
      <c r="E26" s="3044"/>
      <c r="F26" s="3044"/>
      <c r="G26" s="3044"/>
      <c r="H26" s="3044"/>
      <c r="I26" s="3045"/>
      <c r="J26" s="3045"/>
      <c r="K26" s="3045"/>
      <c r="L26" s="2905"/>
    </row>
    <row r="27" spans="1:12" s="2928" customFormat="1" ht="20.25" customHeight="1">
      <c r="A27" s="2925"/>
      <c r="B27" s="3052"/>
      <c r="C27" s="3046" t="s">
        <v>6784</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6789</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6790</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6694</v>
      </c>
      <c r="C42" s="2945"/>
      <c r="D42" s="2945"/>
      <c r="E42" s="2945"/>
      <c r="F42" s="2945"/>
      <c r="G42" s="2945"/>
      <c r="H42" s="2945"/>
      <c r="I42" s="2945"/>
      <c r="J42" s="2945"/>
      <c r="K42" s="2945"/>
      <c r="L42" s="2946"/>
    </row>
    <row r="43" spans="1:12">
      <c r="B43" s="2948" t="s">
        <v>6695</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129</vt:i4>
      </vt:variant>
    </vt:vector>
  </HeadingPairs>
  <TitlesOfParts>
    <vt:vector size="159" baseType="lpstr">
      <vt:lpstr>Lead</vt:lpstr>
      <vt:lpstr>noteChecks</vt:lpstr>
      <vt:lpstr>Checks</vt:lpstr>
      <vt:lpstr>preBS</vt:lpstr>
      <vt:lpstr>preIS</vt:lpstr>
      <vt:lpstr>preCF</vt:lpstr>
      <vt:lpstr>preCE</vt:lpstr>
      <vt:lpstr>BS</vt:lpstr>
      <vt:lpstr>IS</vt:lpstr>
      <vt:lpstr>CF</vt:lpstr>
      <vt:lpstr>CE</vt:lpstr>
      <vt:lpstr>TB</vt:lpstr>
      <vt:lpstr>AJE</vt:lpstr>
      <vt:lpstr>CFJE</vt:lpstr>
      <vt:lpstr>UJE</vt:lpstr>
      <vt:lpstr>AJE1</vt:lpstr>
      <vt:lpstr>Notes</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2020-04-14T16:17:05Z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